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filterPrivacy="1" defaultThemeVersion="166925"/>
  <xr:revisionPtr revIDLastSave="0" documentId="8_{E78B306D-7052-47AE-9FA8-5829708AA4B3}" xr6:coauthVersionLast="47" xr6:coauthVersionMax="47" xr10:uidLastSave="{00000000-0000-0000-0000-000000000000}"/>
  <bookViews>
    <workbookView xWindow="1152" yWindow="1152" windowWidth="17280" windowHeight="8964" tabRatio="930" xr2:uid="{D08F449B-5208-41F9-B6B4-22ED7FD50F6F}"/>
  </bookViews>
  <sheets>
    <sheet name="Question 2" sheetId="13" r:id="rId1"/>
    <sheet name="Question 5" sheetId="11" r:id="rId2"/>
    <sheet name="Question 8" sheetId="10" r:id="rId3"/>
    <sheet name="Question 9" sheetId="14" r:id="rId4"/>
    <sheet name="Question 11" sheetId="12" r:id="rId5"/>
    <sheet name="Overview Case Study" sheetId="4" r:id="rId6"/>
    <sheet name="Pension Case Study" sheetId="6" r:id="rId7"/>
    <sheet name="Retiree Health Case Study" sheetId="5" r:id="rId8"/>
  </sheets>
  <externalReferences>
    <externalReference r:id="rId9"/>
  </externalReferences>
  <definedNames>
    <definedName name="canflag">'[1]Overview - Canada'!$N$1</definedName>
    <definedName name="_xlnm.Print_Area" localSheetId="5">'Overview Case Study'!$A$1:$A$70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1" i="11" l="1"/>
  <c r="O22" i="11"/>
  <c r="O23" i="11"/>
  <c r="O24" i="11"/>
  <c r="O25" i="11"/>
  <c r="O26" i="11"/>
  <c r="O27" i="11"/>
  <c r="O28" i="11"/>
  <c r="O29" i="11"/>
  <c r="O30" i="11"/>
  <c r="O31" i="11"/>
  <c r="O32" i="11"/>
  <c r="O33" i="11"/>
  <c r="O34" i="11"/>
  <c r="N21" i="11"/>
  <c r="N22" i="11"/>
  <c r="N23" i="11"/>
  <c r="N24" i="11"/>
  <c r="N25" i="11"/>
  <c r="N26" i="11"/>
  <c r="N27" i="11"/>
  <c r="N28" i="11"/>
  <c r="N29" i="11"/>
  <c r="N30" i="11"/>
  <c r="N31" i="11"/>
  <c r="N32" i="11"/>
  <c r="N33" i="11"/>
  <c r="N34" i="11"/>
  <c r="O20" i="11"/>
  <c r="N20" i="11"/>
  <c r="L21" i="11"/>
  <c r="M21" i="11"/>
  <c r="L22" i="11"/>
  <c r="M22" i="11"/>
  <c r="P22" i="11" s="1"/>
  <c r="L23" i="11"/>
  <c r="M23" i="11"/>
  <c r="L24" i="11"/>
  <c r="M24" i="11"/>
  <c r="L25" i="11"/>
  <c r="M25" i="11"/>
  <c r="L26" i="11"/>
  <c r="M26" i="11"/>
  <c r="P26" i="11" s="1"/>
  <c r="L27" i="11"/>
  <c r="M27" i="11"/>
  <c r="L28" i="11"/>
  <c r="M28" i="11"/>
  <c r="L29" i="11"/>
  <c r="M29" i="11"/>
  <c r="L30" i="11"/>
  <c r="M30" i="11"/>
  <c r="P30" i="11" s="1"/>
  <c r="L31" i="11"/>
  <c r="M31" i="11"/>
  <c r="L32" i="11"/>
  <c r="M32" i="11"/>
  <c r="L33" i="11"/>
  <c r="M33" i="11"/>
  <c r="L34" i="11"/>
  <c r="P34" i="11" s="1"/>
  <c r="M34" i="11"/>
  <c r="M20" i="11"/>
  <c r="L20" i="11"/>
  <c r="M46" i="11"/>
  <c r="P33" i="11"/>
  <c r="P31" i="11"/>
  <c r="P29" i="11"/>
  <c r="P27" i="11"/>
  <c r="P25" i="11"/>
  <c r="P23" i="11"/>
  <c r="P21" i="11"/>
  <c r="W20" i="14"/>
  <c r="W19" i="14" s="1"/>
  <c r="U19" i="14"/>
  <c r="T20" i="14"/>
  <c r="T19" i="14"/>
  <c r="S20" i="14"/>
  <c r="S19" i="14"/>
  <c r="K45" i="14"/>
  <c r="R15" i="14"/>
  <c r="R26" i="14"/>
  <c r="R23" i="14"/>
  <c r="S23" i="14" s="1"/>
  <c r="S22" i="14"/>
  <c r="T22" i="14" s="1"/>
  <c r="V22" i="14" s="1"/>
  <c r="X22" i="14" s="1"/>
  <c r="R22" i="14"/>
  <c r="R20" i="14"/>
  <c r="U21" i="14"/>
  <c r="U23" i="14" s="1"/>
  <c r="S33" i="14" s="1"/>
  <c r="S37" i="14" s="1"/>
  <c r="R19" i="14"/>
  <c r="R21" i="14" s="1"/>
  <c r="R24" i="14" s="1"/>
  <c r="R14" i="14"/>
  <c r="I77" i="14"/>
  <c r="I73" i="14"/>
  <c r="K40" i="14"/>
  <c r="K39" i="14"/>
  <c r="I56" i="14"/>
  <c r="I55" i="14"/>
  <c r="I53" i="14"/>
  <c r="J40" i="14" s="1"/>
  <c r="I52" i="14"/>
  <c r="I51" i="14"/>
  <c r="I45" i="14"/>
  <c r="I43" i="14"/>
  <c r="I42" i="14"/>
  <c r="I40" i="14"/>
  <c r="I39" i="14"/>
  <c r="K18" i="14"/>
  <c r="K64" i="14" s="1"/>
  <c r="I75" i="14" s="1"/>
  <c r="K17" i="14"/>
  <c r="I33" i="14"/>
  <c r="I32" i="14"/>
  <c r="I30" i="14"/>
  <c r="J18" i="14" s="1"/>
  <c r="I29" i="14"/>
  <c r="I28" i="14"/>
  <c r="I21" i="14"/>
  <c r="I20" i="14"/>
  <c r="J20" i="14" s="1"/>
  <c r="K20" i="14" s="1"/>
  <c r="I18" i="14"/>
  <c r="I19" i="14" s="1"/>
  <c r="I22" i="14" s="1"/>
  <c r="I17" i="14"/>
  <c r="J45" i="14"/>
  <c r="K41" i="14"/>
  <c r="M38" i="11" l="1"/>
  <c r="P32" i="11"/>
  <c r="P24" i="11"/>
  <c r="P28" i="11"/>
  <c r="P20" i="11"/>
  <c r="M41" i="11" s="1"/>
  <c r="V19" i="14"/>
  <c r="X19" i="14" s="1"/>
  <c r="S39" i="14" s="1"/>
  <c r="S36" i="14"/>
  <c r="T21" i="14"/>
  <c r="W27" i="14"/>
  <c r="S40" i="14"/>
  <c r="S38" i="14"/>
  <c r="V21" i="14"/>
  <c r="W21" i="14"/>
  <c r="S21" i="14"/>
  <c r="S24" i="14" s="1"/>
  <c r="T24" i="14" s="1"/>
  <c r="V20" i="14"/>
  <c r="X20" i="14" s="1"/>
  <c r="J21" i="14"/>
  <c r="K19" i="14"/>
  <c r="J39" i="14"/>
  <c r="J17" i="14"/>
  <c r="J19" i="14" s="1"/>
  <c r="J22" i="14" s="1"/>
  <c r="K22" i="14" s="1"/>
  <c r="K21" i="14" s="1"/>
  <c r="J42" i="14"/>
  <c r="K42" i="14" s="1"/>
  <c r="K66" i="14" s="1"/>
  <c r="K63" i="14"/>
  <c r="I74" i="14" s="1"/>
  <c r="J43" i="14"/>
  <c r="I57" i="14"/>
  <c r="I41" i="14"/>
  <c r="I44" i="14" s="1"/>
  <c r="K65" i="14"/>
  <c r="I34" i="14"/>
  <c r="J23" i="14" s="1"/>
  <c r="J41" i="14"/>
  <c r="M37" i="11" l="1"/>
  <c r="M42" i="11" s="1"/>
  <c r="M49" i="11"/>
  <c r="X21" i="14"/>
  <c r="V24" i="14"/>
  <c r="T23" i="14"/>
  <c r="J44" i="14"/>
  <c r="K44" i="14" s="1"/>
  <c r="K68" i="14" s="1"/>
  <c r="J46" i="14"/>
  <c r="K43" i="14"/>
  <c r="K67" i="14" s="1"/>
  <c r="I78" i="14" s="1"/>
  <c r="I79" i="14" s="1"/>
  <c r="S32" i="14" l="1"/>
  <c r="S34" i="14" s="1"/>
  <c r="S41" i="14" s="1"/>
  <c r="V23" i="14"/>
  <c r="W23" i="14" l="1"/>
  <c r="W24" i="14" s="1"/>
  <c r="X24" i="14" s="1"/>
  <c r="X23" i="14" l="1"/>
  <c r="O20" i="12" l="1"/>
  <c r="O19" i="12"/>
  <c r="M20" i="12"/>
  <c r="M19" i="12"/>
  <c r="L19" i="12"/>
  <c r="L20" i="12"/>
  <c r="L21" i="12"/>
  <c r="L22" i="12"/>
  <c r="L23" i="12"/>
  <c r="L24" i="12"/>
  <c r="L25" i="12"/>
  <c r="L26" i="12"/>
  <c r="L27" i="12"/>
  <c r="L28" i="12"/>
  <c r="L29" i="12"/>
  <c r="L30" i="12"/>
  <c r="L31" i="12"/>
  <c r="L32" i="12"/>
  <c r="L33" i="12"/>
  <c r="L34" i="12"/>
  <c r="L35" i="12"/>
  <c r="L36" i="12"/>
  <c r="L37" i="12"/>
  <c r="L18" i="12"/>
  <c r="N18" i="12" s="1"/>
  <c r="K37" i="12"/>
  <c r="J37" i="12"/>
  <c r="I37" i="12"/>
  <c r="K36" i="12"/>
  <c r="J36" i="12"/>
  <c r="I36" i="12"/>
  <c r="K35" i="12"/>
  <c r="J35" i="12"/>
  <c r="I35" i="12"/>
  <c r="K34" i="12"/>
  <c r="J34" i="12"/>
  <c r="I34" i="12"/>
  <c r="K33" i="12"/>
  <c r="J33" i="12"/>
  <c r="I33" i="12"/>
  <c r="K32" i="12"/>
  <c r="J32" i="12"/>
  <c r="I32" i="12"/>
  <c r="K31" i="12"/>
  <c r="J31" i="12"/>
  <c r="I31" i="12"/>
  <c r="K30" i="12"/>
  <c r="J30" i="12"/>
  <c r="I30" i="12"/>
  <c r="K29" i="12"/>
  <c r="J29" i="12"/>
  <c r="I29" i="12"/>
  <c r="K28" i="12"/>
  <c r="J28" i="12"/>
  <c r="I28" i="12"/>
  <c r="K27" i="12"/>
  <c r="J27" i="12"/>
  <c r="I27" i="12"/>
  <c r="K26" i="12"/>
  <c r="J26" i="12"/>
  <c r="I26" i="12"/>
  <c r="K25" i="12"/>
  <c r="J25" i="12"/>
  <c r="I25" i="12"/>
  <c r="K24" i="12"/>
  <c r="J24" i="12"/>
  <c r="I24" i="12"/>
  <c r="K23" i="12"/>
  <c r="J23" i="12"/>
  <c r="I23" i="12"/>
  <c r="K22" i="12"/>
  <c r="J22" i="12"/>
  <c r="I22" i="12"/>
  <c r="K21" i="12"/>
  <c r="J21" i="12"/>
  <c r="I21" i="12"/>
  <c r="K20" i="12"/>
  <c r="J20" i="12"/>
  <c r="I20" i="12"/>
  <c r="K19" i="12"/>
  <c r="J19" i="12"/>
  <c r="I19" i="12"/>
  <c r="J18" i="12"/>
  <c r="I18" i="12"/>
  <c r="N19" i="12" l="1"/>
  <c r="R18" i="12"/>
  <c r="P18" i="12"/>
  <c r="Q19" i="12" l="1"/>
  <c r="R19" i="12" s="1"/>
  <c r="P19" i="12"/>
  <c r="N20" i="12"/>
  <c r="M21" i="12" s="1"/>
  <c r="N21" i="12" l="1"/>
  <c r="M22" i="12" s="1"/>
  <c r="P20" i="12"/>
  <c r="O21" i="12" s="1"/>
  <c r="Q20" i="12"/>
  <c r="R20" i="12" s="1"/>
  <c r="Q21" i="12" l="1"/>
  <c r="R21" i="12"/>
  <c r="P21" i="12"/>
  <c r="O22" i="12" s="1"/>
  <c r="N22" i="12"/>
  <c r="M23" i="12" s="1"/>
  <c r="N23" i="12" l="1"/>
  <c r="M24" i="12" s="1"/>
  <c r="P22" i="12"/>
  <c r="O23" i="12" s="1"/>
  <c r="Q22" i="12"/>
  <c r="R22" i="12" s="1"/>
  <c r="Q23" i="12" l="1"/>
  <c r="R23" i="12" s="1"/>
  <c r="P23" i="12"/>
  <c r="O24" i="12" s="1"/>
  <c r="N24" i="12"/>
  <c r="M25" i="12" s="1"/>
  <c r="N25" i="12" l="1"/>
  <c r="M26" i="12" s="1"/>
  <c r="P24" i="12"/>
  <c r="O25" i="12" s="1"/>
  <c r="Q24" i="12"/>
  <c r="R24" i="12" s="1"/>
  <c r="Q25" i="12" l="1"/>
  <c r="R25" i="12" s="1"/>
  <c r="P25" i="12"/>
  <c r="O26" i="12" s="1"/>
  <c r="N26" i="12"/>
  <c r="M27" i="12" s="1"/>
  <c r="N27" i="12" l="1"/>
  <c r="M28" i="12" s="1"/>
  <c r="P26" i="12"/>
  <c r="O27" i="12" s="1"/>
  <c r="Q26" i="12"/>
  <c r="R26" i="12" s="1"/>
  <c r="P27" i="12" l="1"/>
  <c r="O28" i="12" s="1"/>
  <c r="Q27" i="12"/>
  <c r="R27" i="12" s="1"/>
  <c r="N28" i="12"/>
  <c r="M29" i="12" s="1"/>
  <c r="N29" i="12" l="1"/>
  <c r="M30" i="12" s="1"/>
  <c r="Q28" i="12"/>
  <c r="R28" i="12" s="1"/>
  <c r="P28" i="12"/>
  <c r="O29" i="12" s="1"/>
  <c r="P29" i="12" l="1"/>
  <c r="O30" i="12" s="1"/>
  <c r="Q29" i="12"/>
  <c r="R29" i="12" s="1"/>
  <c r="N30" i="12"/>
  <c r="M31" i="12" s="1"/>
  <c r="N31" i="12" l="1"/>
  <c r="M32" i="12" s="1"/>
  <c r="Q30" i="12"/>
  <c r="R30" i="12" s="1"/>
  <c r="P30" i="12"/>
  <c r="O31" i="12" s="1"/>
  <c r="P31" i="12" l="1"/>
  <c r="O32" i="12" s="1"/>
  <c r="Q31" i="12"/>
  <c r="R31" i="12" s="1"/>
  <c r="N32" i="12"/>
  <c r="M33" i="12" s="1"/>
  <c r="N33" i="12" l="1"/>
  <c r="M34" i="12" s="1"/>
  <c r="Q32" i="12"/>
  <c r="R32" i="12" s="1"/>
  <c r="P32" i="12"/>
  <c r="O33" i="12" s="1"/>
  <c r="P33" i="12" l="1"/>
  <c r="O34" i="12" s="1"/>
  <c r="Q33" i="12"/>
  <c r="R33" i="12" s="1"/>
  <c r="N34" i="12"/>
  <c r="M35" i="12" s="1"/>
  <c r="N35" i="12" l="1"/>
  <c r="M36" i="12" s="1"/>
  <c r="Q34" i="12"/>
  <c r="R34" i="12" s="1"/>
  <c r="P34" i="12"/>
  <c r="O35" i="12" s="1"/>
  <c r="P35" i="12" l="1"/>
  <c r="O36" i="12" s="1"/>
  <c r="Q35" i="12"/>
  <c r="R35" i="12" s="1"/>
  <c r="N36" i="12"/>
  <c r="M37" i="12" s="1"/>
  <c r="N37" i="12" l="1"/>
  <c r="Q36" i="12"/>
  <c r="R36" i="12" s="1"/>
  <c r="P36" i="12"/>
  <c r="O37" i="12" s="1"/>
  <c r="Q37" i="12" l="1"/>
  <c r="R37" i="12" s="1"/>
  <c r="P37" i="12"/>
  <c r="R41" i="12"/>
  <c r="O41" i="12"/>
  <c r="O43" i="12" l="1"/>
  <c r="O42" i="12"/>
  <c r="R43" i="12"/>
  <c r="R42" i="12"/>
  <c r="T15" i="10"/>
  <c r="T16" i="10" s="1"/>
  <c r="T17" i="10" s="1"/>
  <c r="T18" i="10" s="1"/>
  <c r="T19" i="10" s="1"/>
  <c r="T20" i="10" s="1"/>
  <c r="T21" i="10" s="1"/>
  <c r="T22" i="10" s="1"/>
  <c r="T23" i="10" s="1"/>
  <c r="T24" i="10" s="1"/>
  <c r="T25" i="10" s="1"/>
  <c r="T26" i="10" s="1"/>
  <c r="T27" i="10" s="1"/>
  <c r="T28" i="10" s="1"/>
  <c r="T29" i="10" s="1"/>
  <c r="T30" i="10" s="1"/>
  <c r="T31" i="10" s="1"/>
  <c r="T32" i="10" s="1"/>
  <c r="T14" i="10"/>
  <c r="O15" i="10"/>
  <c r="O16" i="10" s="1"/>
  <c r="O17" i="10" s="1"/>
  <c r="O18" i="10" s="1"/>
  <c r="O19" i="10" s="1"/>
  <c r="O20" i="10" s="1"/>
  <c r="O21" i="10" s="1"/>
  <c r="O22" i="10" s="1"/>
  <c r="O23" i="10" s="1"/>
  <c r="O24" i="10" s="1"/>
  <c r="O25" i="10" s="1"/>
  <c r="O26" i="10" s="1"/>
  <c r="O27" i="10" s="1"/>
  <c r="O28" i="10" s="1"/>
  <c r="O29" i="10" s="1"/>
  <c r="O30" i="10" s="1"/>
  <c r="O31" i="10" s="1"/>
  <c r="O32" i="10" s="1"/>
  <c r="O14" i="10"/>
  <c r="L14" i="10"/>
  <c r="L15" i="10"/>
  <c r="L16" i="10"/>
  <c r="L17" i="10"/>
  <c r="L18" i="10"/>
  <c r="L19" i="10"/>
  <c r="L20" i="10"/>
  <c r="L21" i="10"/>
  <c r="L22" i="10"/>
  <c r="L23" i="10"/>
  <c r="L24" i="10"/>
  <c r="L25" i="10"/>
  <c r="L26" i="10"/>
  <c r="L27" i="10"/>
  <c r="L28" i="10"/>
  <c r="L29" i="10"/>
  <c r="L30" i="10"/>
  <c r="L31" i="10"/>
  <c r="L32" i="10"/>
  <c r="L13" i="10"/>
  <c r="I15" i="10"/>
  <c r="I16" i="10" s="1"/>
  <c r="I17" i="10" s="1"/>
  <c r="I18" i="10" s="1"/>
  <c r="I19" i="10" s="1"/>
  <c r="I20" i="10" s="1"/>
  <c r="I21" i="10" s="1"/>
  <c r="I22" i="10" s="1"/>
  <c r="I23" i="10" s="1"/>
  <c r="I24" i="10" s="1"/>
  <c r="I25" i="10" s="1"/>
  <c r="I26" i="10" s="1"/>
  <c r="I27" i="10" s="1"/>
  <c r="I28" i="10" s="1"/>
  <c r="I29" i="10" s="1"/>
  <c r="I30" i="10" s="1"/>
  <c r="I31" i="10" s="1"/>
  <c r="I32" i="10" s="1"/>
  <c r="I14" i="10"/>
  <c r="N14" i="10"/>
  <c r="H14" i="10"/>
  <c r="H15" i="10" s="1"/>
  <c r="H16" i="10" s="1"/>
  <c r="H17" i="10" s="1"/>
  <c r="H18" i="10" s="1"/>
  <c r="H19" i="10" s="1"/>
  <c r="H20" i="10" s="1"/>
  <c r="H21" i="10" s="1"/>
  <c r="H22" i="10" s="1"/>
  <c r="H23" i="10" s="1"/>
  <c r="H24" i="10" s="1"/>
  <c r="H25" i="10" s="1"/>
  <c r="H26" i="10" s="1"/>
  <c r="H27" i="10" s="1"/>
  <c r="H28" i="10" s="1"/>
  <c r="H29" i="10" s="1"/>
  <c r="H30" i="10" s="1"/>
  <c r="H31" i="10" s="1"/>
  <c r="H32" i="10" s="1"/>
  <c r="H33" i="10" s="1"/>
  <c r="T13" i="10"/>
  <c r="S13" i="10"/>
  <c r="N13" i="10"/>
  <c r="O13" i="10" s="1"/>
  <c r="K13" i="10"/>
  <c r="J13" i="10"/>
  <c r="P32" i="13"/>
  <c r="P25" i="13"/>
  <c r="P13" i="13"/>
  <c r="M32" i="13"/>
  <c r="M26" i="13"/>
  <c r="M27" i="13"/>
  <c r="M37" i="13" s="1"/>
  <c r="Q37" i="13" s="1"/>
  <c r="M28" i="13"/>
  <c r="M29" i="13"/>
  <c r="M39" i="13" s="1"/>
  <c r="M25" i="13"/>
  <c r="M22" i="13"/>
  <c r="M21" i="13"/>
  <c r="M20" i="13"/>
  <c r="M13" i="13"/>
  <c r="M18" i="13"/>
  <c r="M15" i="13"/>
  <c r="M42" i="13"/>
  <c r="M38" i="13"/>
  <c r="P37" i="13"/>
  <c r="M36" i="13"/>
  <c r="M35" i="13"/>
  <c r="O22" i="13"/>
  <c r="P22" i="13" s="1"/>
  <c r="O21" i="13"/>
  <c r="P21" i="13" s="1"/>
  <c r="O20" i="13"/>
  <c r="P20" i="13" s="1"/>
  <c r="S17" i="10" l="1"/>
  <c r="J17" i="10"/>
  <c r="S16" i="10"/>
  <c r="J16" i="10"/>
  <c r="N17" i="10"/>
  <c r="S15" i="10"/>
  <c r="J15" i="10"/>
  <c r="N16" i="10"/>
  <c r="S14" i="10"/>
  <c r="J14" i="10"/>
  <c r="K14" i="10" s="1"/>
  <c r="N15" i="10"/>
  <c r="Q13" i="10"/>
  <c r="U13" i="10" s="1"/>
  <c r="W13" i="10" s="1"/>
  <c r="P42" i="13"/>
  <c r="M40" i="13"/>
  <c r="M30" i="13"/>
  <c r="O18" i="13"/>
  <c r="P18" i="13" s="1"/>
  <c r="P35" i="13"/>
  <c r="O13" i="13"/>
  <c r="K15" i="10" l="1"/>
  <c r="S18" i="10"/>
  <c r="J18" i="10"/>
  <c r="N18" i="10"/>
  <c r="O15" i="13"/>
  <c r="Q35" i="13"/>
  <c r="K16" i="10" l="1"/>
  <c r="S19" i="10"/>
  <c r="J19" i="10"/>
  <c r="N19" i="10"/>
  <c r="Q14" i="10"/>
  <c r="U14" i="10" s="1"/>
  <c r="W14" i="10" s="1"/>
  <c r="P15" i="13"/>
  <c r="P26" i="13"/>
  <c r="P17" i="13"/>
  <c r="P28" i="13" s="1"/>
  <c r="P38" i="13" s="1"/>
  <c r="Q38" i="13" s="1"/>
  <c r="P29" i="13"/>
  <c r="P39" i="13" s="1"/>
  <c r="Q39" i="13" s="1"/>
  <c r="K17" i="10" l="1"/>
  <c r="S20" i="10"/>
  <c r="N20" i="10"/>
  <c r="J20" i="10"/>
  <c r="Q15" i="10"/>
  <c r="U15" i="10" s="1"/>
  <c r="W15" i="10" s="1"/>
  <c r="P36" i="13"/>
  <c r="P30" i="13"/>
  <c r="K18" i="10" l="1"/>
  <c r="Q16" i="10"/>
  <c r="U16" i="10" s="1"/>
  <c r="W16" i="10" s="1"/>
  <c r="S21" i="10"/>
  <c r="J21" i="10"/>
  <c r="N21" i="10"/>
  <c r="Q36" i="13"/>
  <c r="Q40" i="13" s="1"/>
  <c r="P40" i="13"/>
  <c r="B32" i="12"/>
  <c r="B31" i="12" s="1"/>
  <c r="B30" i="12" s="1"/>
  <c r="B29" i="12" s="1"/>
  <c r="B28" i="12" s="1"/>
  <c r="B27" i="12" s="1"/>
  <c r="B26" i="12" s="1"/>
  <c r="B25" i="12" s="1"/>
  <c r="B24" i="12" s="1"/>
  <c r="B23" i="12" s="1"/>
  <c r="B22" i="12" s="1"/>
  <c r="B21" i="12" s="1"/>
  <c r="B20" i="12" s="1"/>
  <c r="B19" i="12" s="1"/>
  <c r="B18" i="12" s="1"/>
  <c r="B17" i="12" s="1"/>
  <c r="B16" i="12" s="1"/>
  <c r="B15" i="12" s="1"/>
  <c r="B33" i="12"/>
  <c r="A2" i="14"/>
  <c r="G2" i="14" s="1"/>
  <c r="O2" i="14" s="1"/>
  <c r="A1" i="14"/>
  <c r="G1" i="14" s="1"/>
  <c r="O1" i="14" s="1"/>
  <c r="G3" i="14"/>
  <c r="O3" i="14" s="1"/>
  <c r="J2" i="13"/>
  <c r="J3" i="13"/>
  <c r="K19" i="10" l="1"/>
  <c r="Q17" i="10"/>
  <c r="U17" i="10" s="1"/>
  <c r="W17" i="10" s="1"/>
  <c r="S22" i="10"/>
  <c r="J22" i="10"/>
  <c r="N22" i="10"/>
  <c r="J13" i="12"/>
  <c r="J11" i="12"/>
  <c r="J9" i="12"/>
  <c r="C16" i="12"/>
  <c r="C17" i="12" s="1"/>
  <c r="C18" i="12" s="1"/>
  <c r="C19" i="12" s="1"/>
  <c r="C20" i="12" s="1"/>
  <c r="C21" i="12" s="1"/>
  <c r="C22" i="12" s="1"/>
  <c r="C23" i="12" s="1"/>
  <c r="C24" i="12" s="1"/>
  <c r="C25" i="12" s="1"/>
  <c r="C26" i="12" s="1"/>
  <c r="C27" i="12" s="1"/>
  <c r="C28" i="12" s="1"/>
  <c r="C29" i="12" s="1"/>
  <c r="C30" i="12" s="1"/>
  <c r="C31" i="12" s="1"/>
  <c r="C32" i="12" s="1"/>
  <c r="C33" i="12" s="1"/>
  <c r="C34" i="12" s="1"/>
  <c r="I3" i="12"/>
  <c r="I2" i="12"/>
  <c r="I1" i="12"/>
  <c r="K20" i="10" l="1"/>
  <c r="Q18" i="10"/>
  <c r="U18" i="10" s="1"/>
  <c r="W18" i="10" s="1"/>
  <c r="S23" i="10"/>
  <c r="N23" i="10"/>
  <c r="J23" i="10"/>
  <c r="K15" i="11"/>
  <c r="K13" i="11"/>
  <c r="K11" i="11"/>
  <c r="K9" i="11"/>
  <c r="J3" i="11"/>
  <c r="J2" i="11"/>
  <c r="A1" i="11"/>
  <c r="H3" i="10"/>
  <c r="H2" i="10"/>
  <c r="H1" i="10"/>
  <c r="I9" i="10"/>
  <c r="K21" i="10" l="1"/>
  <c r="Q19" i="10"/>
  <c r="U19" i="10" s="1"/>
  <c r="W19" i="10" s="1"/>
  <c r="S24" i="10"/>
  <c r="N24" i="10"/>
  <c r="J24" i="10"/>
  <c r="J1" i="11"/>
  <c r="A1" i="13"/>
  <c r="J1" i="13" s="1"/>
  <c r="S25" i="10" l="1"/>
  <c r="J25" i="10"/>
  <c r="N25" i="10"/>
  <c r="K22" i="10"/>
  <c r="Q20" i="10"/>
  <c r="U20" i="10" s="1"/>
  <c r="W20" i="10" s="1"/>
  <c r="K23" i="10" l="1"/>
  <c r="S26" i="10"/>
  <c r="J26" i="10"/>
  <c r="N26" i="10"/>
  <c r="Q21" i="10"/>
  <c r="U21" i="10" s="1"/>
  <c r="W21" i="10" s="1"/>
  <c r="K24" i="10" l="1"/>
  <c r="S27" i="10"/>
  <c r="N27" i="10"/>
  <c r="J27" i="10"/>
  <c r="Q22" i="10"/>
  <c r="U22" i="10" s="1"/>
  <c r="W22" i="10" s="1"/>
  <c r="S28" i="10" l="1"/>
  <c r="N28" i="10"/>
  <c r="J28" i="10"/>
  <c r="K25" i="10"/>
  <c r="Q23" i="10"/>
  <c r="U23" i="10" s="1"/>
  <c r="W23" i="10" s="1"/>
  <c r="Q24" i="10" l="1"/>
  <c r="U24" i="10" s="1"/>
  <c r="W24" i="10" s="1"/>
  <c r="K26" i="10"/>
  <c r="S29" i="10"/>
  <c r="J29" i="10"/>
  <c r="N29" i="10"/>
  <c r="K27" i="10" l="1"/>
  <c r="S30" i="10"/>
  <c r="J30" i="10"/>
  <c r="N30" i="10"/>
  <c r="Q25" i="10"/>
  <c r="U25" i="10" s="1"/>
  <c r="W25" i="10" s="1"/>
  <c r="K28" i="10" l="1"/>
  <c r="S31" i="10"/>
  <c r="J31" i="10"/>
  <c r="N31" i="10"/>
  <c r="Q26" i="10"/>
  <c r="U26" i="10" s="1"/>
  <c r="W26" i="10" s="1"/>
  <c r="S32" i="10" l="1"/>
  <c r="N32" i="10"/>
  <c r="J32" i="10"/>
  <c r="K29" i="10"/>
  <c r="Q27" i="10"/>
  <c r="U27" i="10" s="1"/>
  <c r="W27" i="10" s="1"/>
  <c r="Q28" i="10" l="1"/>
  <c r="U28" i="10" s="1"/>
  <c r="W28" i="10" s="1"/>
  <c r="K30" i="10"/>
  <c r="K31" i="10" l="1"/>
  <c r="Q29" i="10"/>
  <c r="U29" i="10" s="1"/>
  <c r="W29" i="10" s="1"/>
  <c r="K32" i="10" l="1"/>
  <c r="Q30" i="10"/>
  <c r="U30" i="10" s="1"/>
  <c r="W30" i="10" s="1"/>
  <c r="Q32" i="10" l="1"/>
  <c r="U32" i="10" s="1"/>
  <c r="W32" i="10" s="1"/>
  <c r="Q31" i="10"/>
  <c r="U31" i="10" s="1"/>
  <c r="W31" i="10" s="1"/>
</calcChain>
</file>

<file path=xl/sharedStrings.xml><?xml version="1.0" encoding="utf-8"?>
<sst xmlns="http://schemas.openxmlformats.org/spreadsheetml/2006/main" count="597" uniqueCount="443">
  <si>
    <t>Design and Accounting Exam – U.S.</t>
  </si>
  <si>
    <t>Provide answer here.  Show and label all work.</t>
  </si>
  <si>
    <t>None</t>
  </si>
  <si>
    <t>Show all work.</t>
  </si>
  <si>
    <t>The response to this part is to be provided in the Excel spreadsheet.</t>
  </si>
  <si>
    <t>(b)</t>
  </si>
  <si>
    <r>
      <t xml:space="preserve">U.S. Exam Case Study </t>
    </r>
    <r>
      <rPr>
        <b/>
        <sz val="14"/>
        <rFont val="Calibri"/>
        <family val="2"/>
      </rPr>
      <t>—</t>
    </r>
    <r>
      <rPr>
        <b/>
        <sz val="14"/>
        <rFont val="Arial"/>
        <family val="2"/>
      </rPr>
      <t xml:space="preserve"> Course DA Retirement</t>
    </r>
  </si>
  <si>
    <t>National Oil Company Background</t>
  </si>
  <si>
    <t>National Oil Company (NOC) is a large, well-established company that services oil wells all over the country of Gevrey. NOC has been in existence for over 30 years and has approximately 3,000 full-time salaried and union hourly employees and up to a further 2,000 non-skilled seasonal employees during the non-winter months. Approximately one-half of the seasonal employees return for another season. The full-time workforce is reasonably stable, but turnover in the last 5 years has been greater than desired due to competitors recruiting NOC’s employees.</t>
  </si>
  <si>
    <t>Normally, an undergraduate degree is a minimum requirement to obtain entry to the salaried workforce and many employees have graduate degrees. About half of NOC’s salaried employees are recruited directly from university with the other half coming from competitors.</t>
  </si>
  <si>
    <t>The company’s financial position varies with the price of oil. As oil prices rise, oil companies become increasingly active and in turn require the services of NOC. Conversely, activity slows as oil prices drop. Despite this, the company is usually in a taxable position.</t>
  </si>
  <si>
    <t>NOC has managed to be successful by staying on the cutting edge of technology. NOC prides itself on being state of the art in processes and software relevant to its industry. This has helped it to stave off competition from both inside and outside of Gevrey. Although NOC is the largest player in the industry within Gevrey, there are larger players from outside of the country, with which NOC has to compete. From time to time, there are rumors of a takeover of NOC.</t>
  </si>
  <si>
    <t>Country of Gevrey Background</t>
  </si>
  <si>
    <t>Gevrey is a modern developed country with a simplified tax system. Both corporations and individuals are subject to income tax at a flat rate of 40%. Reasonable operating expenses, including contributions to Eligible Retirement Plans (ERPs), reduce taxable income.</t>
  </si>
  <si>
    <t>No pension legislation exists apart from the rules outlined herein.</t>
  </si>
  <si>
    <t>Rules that apply to gain ERP status are as follows:</t>
  </si>
  <si>
    <t>Defined Benefit Plans (DB ERPs)</t>
  </si>
  <si>
    <r>
      <t xml:space="preserve">·    </t>
    </r>
    <r>
      <rPr>
        <sz val="12"/>
        <rFont val="Arial"/>
        <family val="2"/>
      </rPr>
      <t xml:space="preserve">Employer contributions may not exceed those recommended by an actuary, in accordance with </t>
    </r>
  </si>
  <si>
    <r>
      <t xml:space="preserve">      </t>
    </r>
    <r>
      <rPr>
        <sz val="12"/>
        <rFont val="Arial"/>
        <family val="2"/>
      </rPr>
      <t>generally accepted actuarial practice</t>
    </r>
  </si>
  <si>
    <r>
      <t>·</t>
    </r>
    <r>
      <rPr>
        <sz val="12"/>
        <rFont val="Times New Roman"/>
        <family val="1"/>
      </rPr>
      <t>    </t>
    </r>
    <r>
      <rPr>
        <sz val="12"/>
        <rFont val="Arial"/>
        <family val="2"/>
      </rPr>
      <t>Employer contributions are an eligible expense to reduce the employer’s taxable income</t>
    </r>
  </si>
  <si>
    <r>
      <t>·</t>
    </r>
    <r>
      <rPr>
        <sz val="12"/>
        <rFont val="Times New Roman"/>
        <family val="1"/>
      </rPr>
      <t>    </t>
    </r>
    <r>
      <rPr>
        <sz val="12"/>
        <rFont val="Arial"/>
        <family val="2"/>
      </rPr>
      <t xml:space="preserve">Periodic pensions may not exceed $3,000 per annum for each year of service regardless of form or </t>
    </r>
  </si>
  <si>
    <r>
      <t xml:space="preserve">      </t>
    </r>
    <r>
      <rPr>
        <sz val="12"/>
        <rFont val="Arial"/>
        <family val="2"/>
      </rPr>
      <t>commencement age</t>
    </r>
  </si>
  <si>
    <r>
      <t>·</t>
    </r>
    <r>
      <rPr>
        <sz val="12"/>
        <rFont val="Times New Roman"/>
        <family val="1"/>
      </rPr>
      <t>    </t>
    </r>
    <r>
      <rPr>
        <sz val="12"/>
        <rFont val="Arial"/>
        <family val="2"/>
      </rPr>
      <t>Periodic pensions cannot commence prior to age 55</t>
    </r>
  </si>
  <si>
    <r>
      <t>·</t>
    </r>
    <r>
      <rPr>
        <sz val="12"/>
        <rFont val="Times New Roman"/>
        <family val="1"/>
      </rPr>
      <t>    </t>
    </r>
    <r>
      <rPr>
        <sz val="12"/>
        <rFont val="Arial"/>
        <family val="2"/>
      </rPr>
      <t>Investment earnings generated by the ERP pension fund are not taxable</t>
    </r>
  </si>
  <si>
    <r>
      <t>·</t>
    </r>
    <r>
      <rPr>
        <sz val="12"/>
        <rFont val="Times New Roman"/>
        <family val="1"/>
      </rPr>
      <t>    </t>
    </r>
    <r>
      <rPr>
        <sz val="12"/>
        <rFont val="Arial"/>
        <family val="2"/>
      </rPr>
      <t>Pension payments are taxed as received in the hands of the recipient</t>
    </r>
  </si>
  <si>
    <r>
      <t>·</t>
    </r>
    <r>
      <rPr>
        <sz val="12"/>
        <rFont val="Times New Roman"/>
        <family val="1"/>
      </rPr>
      <t>    </t>
    </r>
    <r>
      <rPr>
        <sz val="12"/>
        <rFont val="Arial"/>
        <family val="2"/>
      </rPr>
      <t>No employee contributions are permitted</t>
    </r>
  </si>
  <si>
    <r>
      <t>·</t>
    </r>
    <r>
      <rPr>
        <sz val="12"/>
        <rFont val="Times New Roman"/>
        <family val="1"/>
      </rPr>
      <t>    </t>
    </r>
    <r>
      <rPr>
        <sz val="12"/>
        <rFont val="Arial"/>
        <family val="2"/>
      </rPr>
      <t>Plan sponsors have unconditional rights to a refund of surplus assets</t>
    </r>
  </si>
  <si>
    <t>Defined Contribution Plans (DC ERPs)</t>
  </si>
  <si>
    <r>
      <t>·</t>
    </r>
    <r>
      <rPr>
        <sz val="12"/>
        <rFont val="Times New Roman"/>
        <family val="1"/>
      </rPr>
      <t>    </t>
    </r>
    <r>
      <rPr>
        <sz val="12"/>
        <rFont val="Arial"/>
        <family val="2"/>
      </rPr>
      <t>Employer contributions for any individual plan member cannot exceed $20,000 annually</t>
    </r>
  </si>
  <si>
    <r>
      <t>·</t>
    </r>
    <r>
      <rPr>
        <sz val="12"/>
        <rFont val="Times New Roman"/>
        <family val="1"/>
      </rPr>
      <t>    </t>
    </r>
    <r>
      <rPr>
        <sz val="12"/>
        <rFont val="Arial"/>
        <family val="2"/>
      </rPr>
      <t>Investment earnings generated by the ERP pension fund are not taxable until withdrawn</t>
    </r>
  </si>
  <si>
    <r>
      <t>·</t>
    </r>
    <r>
      <rPr>
        <sz val="12"/>
        <rFont val="Times New Roman"/>
        <family val="1"/>
      </rPr>
      <t>    </t>
    </r>
    <r>
      <rPr>
        <sz val="12"/>
        <rFont val="Arial"/>
        <family val="2"/>
      </rPr>
      <t>Benefit distributions are taxed as received in the hands of the recipient</t>
    </r>
  </si>
  <si>
    <r>
      <t>·</t>
    </r>
    <r>
      <rPr>
        <sz val="12"/>
        <rFont val="Times New Roman"/>
        <family val="1"/>
      </rPr>
      <t>    </t>
    </r>
    <r>
      <rPr>
        <sz val="12"/>
        <rFont val="Arial"/>
        <family val="2"/>
      </rPr>
      <t>Employer contributions may or may not be dependent on employee contributions</t>
    </r>
  </si>
  <si>
    <r>
      <t>·</t>
    </r>
    <r>
      <rPr>
        <sz val="12"/>
        <rFont val="Times New Roman"/>
        <family val="1"/>
      </rPr>
      <t>    </t>
    </r>
    <r>
      <rPr>
        <sz val="12"/>
        <rFont val="Arial"/>
        <family val="2"/>
      </rPr>
      <t xml:space="preserve">Individuals may contribute up to $20,000 annually                            </t>
    </r>
  </si>
  <si>
    <r>
      <t>·</t>
    </r>
    <r>
      <rPr>
        <sz val="12"/>
        <rFont val="Times New Roman"/>
        <family val="1"/>
      </rPr>
      <t>    </t>
    </r>
    <r>
      <rPr>
        <sz val="12"/>
        <rFont val="Arial"/>
        <family val="2"/>
      </rPr>
      <t>Such contributions are tax deductible to the individual</t>
    </r>
  </si>
  <si>
    <t>The tax assistance available under each of the above two arrangements does not depend on the extent of participation under the other one. For example, an individual could participate in a DC ERP and, if eligible under the plans’ rules, also a DB ERP of his or her employer.</t>
  </si>
  <si>
    <t>Supplemental Retirement Plans (SRPs)</t>
  </si>
  <si>
    <t>Contributions to a retirement plan that does not meet ERP status are not tax-deductible. Benefits paid to participants under such plans are tax deductible to the company and are taxable to participants, when paid to participants. Such a plan is known as a Supplemental Retirement Plan (SRP). An example of an SRP is a plan that restores the benefits lost by the imposition of the ERP maximums.</t>
  </si>
  <si>
    <t>Retiree Health Care Plans</t>
  </si>
  <si>
    <t>Employers in Gevrey may provide health care benefits to retirees and their spouses through a separate plan which is not intended to qualify for ERP status. Benefits (including insurance premiums) paid under such plans are tax deductible to the company when paid on behalf of participants. Benefits payable as an indemnity for health related services are not taxable to plan participants at any time.</t>
  </si>
  <si>
    <t>*              *               *</t>
  </si>
  <si>
    <t>No social security pension system exists in Gevrey and there are no state-provided life or health care benefits.</t>
  </si>
  <si>
    <t>For financial reporting purposes, Gevrey has adopted Generally Accepted Accounting Principles (GAAP).</t>
  </si>
  <si>
    <t>Gevrey has a well-developed investment market with substantial trading in government bonds, corporate bonds, and equities.</t>
  </si>
  <si>
    <t>Summary of National Oil’s Retirement Benefits</t>
  </si>
  <si>
    <t>NOC maintains two retirement plans:</t>
  </si>
  <si>
    <t>1.  Pension Plan: final-average pay defined benefit ERP for its full-time employees;</t>
  </si>
  <si>
    <t>2.  Retiree Health Benefit Program: lifetime coverage for full-time employees retiring with the company.</t>
  </si>
  <si>
    <t>Part-time and/or seasonal employees are not covered under either plan.</t>
  </si>
  <si>
    <t>Key Plan Provisions</t>
  </si>
  <si>
    <t>Eligibility</t>
  </si>
  <si>
    <t>Immediate</t>
  </si>
  <si>
    <t>Vesting</t>
  </si>
  <si>
    <t>100% after 5 years of service</t>
  </si>
  <si>
    <t>Normal Retirement Age</t>
  </si>
  <si>
    <t>Early Retirement Age</t>
  </si>
  <si>
    <t>55 with 5 years of service</t>
  </si>
  <si>
    <t>Earnings</t>
  </si>
  <si>
    <t>Base pay, excluding overtime and bonuses</t>
  </si>
  <si>
    <t>Best Average Earnings</t>
  </si>
  <si>
    <t>Average annual earnings during 60 consecutive months in which earnings were highest</t>
  </si>
  <si>
    <t>Benefit Service</t>
  </si>
  <si>
    <t>One year credited for any calendar year in which 1,000 or more hours are worked; otherwise zero</t>
  </si>
  <si>
    <t>Normal Retirement Benefit</t>
  </si>
  <si>
    <t>2% of Best Average Earnings times years of Benefit Service, subject to tax system maximum</t>
  </si>
  <si>
    <t>Early Retirement Benefit</t>
  </si>
  <si>
    <t>Benefit calculated as under the Normal Retirement Benefit formula using Best Average Earnings and service as of date of calculation</t>
  </si>
  <si>
    <t>Normal Retirement Benefit reduced by 0.25% per month that early retirement precedes age 62</t>
  </si>
  <si>
    <t>Form of Benefit</t>
  </si>
  <si>
    <t>If married, 50% joint &amp; survivor annuity without reduction</t>
  </si>
  <si>
    <t>If not married, single life annuity</t>
  </si>
  <si>
    <t>Optional Forms of Benefit</t>
  </si>
  <si>
    <t>Indexing</t>
  </si>
  <si>
    <t>Termination Benefit</t>
  </si>
  <si>
    <t>Lump sum equal to actuarial present value of Normal Retirement Benefit</t>
  </si>
  <si>
    <t>Pre-Retirement Death Benefit</t>
  </si>
  <si>
    <t>Lump sum equal to actuarial present value of Normal Retirement Benefit payable to named beneficiary</t>
  </si>
  <si>
    <t>Disability Benefit</t>
  </si>
  <si>
    <t>Distribution by Age and Service</t>
  </si>
  <si>
    <t>Service (Years)</t>
  </si>
  <si>
    <t>&lt; 5</t>
  </si>
  <si>
    <t>5-10</t>
  </si>
  <si>
    <t>10-15</t>
  </si>
  <si>
    <t>15-20</t>
  </si>
  <si>
    <t>&gt; 20</t>
  </si>
  <si>
    <t>Totals</t>
  </si>
  <si>
    <t>&lt; 25</t>
  </si>
  <si>
    <t># Participants</t>
  </si>
  <si>
    <t>Average Salary</t>
  </si>
  <si>
    <t>25-35</t>
  </si>
  <si>
    <t>35-45</t>
  </si>
  <si>
    <t>Age</t>
  </si>
  <si>
    <t>(Years)</t>
  </si>
  <si>
    <t>45-55</t>
  </si>
  <si>
    <t>55-65</t>
  </si>
  <si>
    <t>&gt; 65</t>
  </si>
  <si>
    <t>Average Age</t>
  </si>
  <si>
    <t>Average Service</t>
  </si>
  <si>
    <t>Reconciliation of Plan Participants</t>
  </si>
  <si>
    <t>Pensioners/</t>
  </si>
  <si>
    <t>Actives</t>
  </si>
  <si>
    <t>Beneficiaries</t>
  </si>
  <si>
    <t>Total</t>
  </si>
  <si>
    <t>-  Net change</t>
  </si>
  <si>
    <t>Participants as of January 1, 2021</t>
  </si>
  <si>
    <t>Historical Actuarial Valuation Results</t>
  </si>
  <si>
    <t>Participant Summary – January 1</t>
  </si>
  <si>
    <t>Active Participants</t>
  </si>
  <si>
    <t>(a)  count</t>
  </si>
  <si>
    <t>(b)  average age</t>
  </si>
  <si>
    <t>(c)  average service</t>
  </si>
  <si>
    <t>(d)  average future working lifetime</t>
  </si>
  <si>
    <t>(e)  average future working lifetime to vesting (for those not)</t>
  </si>
  <si>
    <t>(f)   average plan earnings (prior year)</t>
  </si>
  <si>
    <t>Deferred Vested Participants</t>
  </si>
  <si>
    <t>Pensioners (including beneficiaries)</t>
  </si>
  <si>
    <t>(c)  average annual benefit</t>
  </si>
  <si>
    <t>Duration of plan liabilities</t>
  </si>
  <si>
    <t>Plan Assets (numbers in $000's) *</t>
  </si>
  <si>
    <t>Change in Plan Assets during Prior Year</t>
  </si>
  <si>
    <t>(a)  Market Value of Assets at January 1 of prior year</t>
  </si>
  <si>
    <t>(b)  Employer Contributions during prior year</t>
  </si>
  <si>
    <t>(c)  Benefit Payments during prior year</t>
  </si>
  <si>
    <t>(d)  Expenses during prior year</t>
  </si>
  <si>
    <t>(e)  Investment return during prior year</t>
  </si>
  <si>
    <t>(f)  Market Value of Assets at January 1 of current year</t>
  </si>
  <si>
    <t>(g)  Rate of return during prior year</t>
  </si>
  <si>
    <t>Average Portfolio Mix During Prior Year</t>
  </si>
  <si>
    <t>(a)  Domestic Large Cap Equities</t>
  </si>
  <si>
    <t>(b)  Domestic Small Cap Equities</t>
  </si>
  <si>
    <t>(c)  Domestic Fixed Income</t>
  </si>
  <si>
    <t>(d)  International Equities</t>
  </si>
  <si>
    <t>(e)  Real Estate</t>
  </si>
  <si>
    <t>(f)  Cash</t>
  </si>
  <si>
    <t>(g)  Total</t>
  </si>
  <si>
    <t>Duration of Domestic Fixed Income</t>
  </si>
  <si>
    <t>Asset Class Returns during Prior Year</t>
  </si>
  <si>
    <t>* numbers may not add due to rounding</t>
  </si>
  <si>
    <t>Expense Valuation – January 1 (numbers in $000's) *</t>
  </si>
  <si>
    <t>1.  Funded Status and Deferred Costs</t>
  </si>
  <si>
    <t>(a)  Accumulated Benefit Obligation</t>
  </si>
  <si>
    <t>(b)  Projected Benefit Obligation</t>
  </si>
  <si>
    <t>(i)  Vested</t>
  </si>
  <si>
    <t>(ii)  Non-vested</t>
  </si>
  <si>
    <t>(iii)  Total</t>
  </si>
  <si>
    <t>(c)  Fair Value of Assets</t>
  </si>
  <si>
    <t>(d)  Funded Status:  (b)(iii) + (c)</t>
  </si>
  <si>
    <t>(e)  Unrecognized (gains)/losses</t>
  </si>
  <si>
    <t>2.  Net Periodic Pension Cost</t>
  </si>
  <si>
    <t>(a)  Service cost (beginning of year)</t>
  </si>
  <si>
    <t>(b)  Interest cost</t>
  </si>
  <si>
    <t>(c)  Expected return on assets</t>
  </si>
  <si>
    <t>(d)  Amortization of prior service cost</t>
  </si>
  <si>
    <t>(e)  Amortization of (gain)/loss</t>
  </si>
  <si>
    <t>(f)   Net Periodic Pension Cost</t>
  </si>
  <si>
    <t>[All plan administrative expenses are paid and accounted for outside of the plan fund]</t>
  </si>
  <si>
    <t>3.  Actuarial Basis and Supplemental Data</t>
  </si>
  <si>
    <t>(a)  Discount rate</t>
  </si>
  <si>
    <t>(b)  Return on assets</t>
  </si>
  <si>
    <t>(c)  Mortality</t>
  </si>
  <si>
    <t>RP-2014 with no mortality improvement</t>
  </si>
  <si>
    <t>(d)  Salary scale</t>
  </si>
  <si>
    <t>(e)  Inflation</t>
  </si>
  <si>
    <t>(f)   Turnover</t>
  </si>
  <si>
    <t>NOC experience during period 2000-05</t>
  </si>
  <si>
    <t>(g)  Proportion married and age difference</t>
  </si>
  <si>
    <t>80% married; male spouses 3 years older than female spouses</t>
  </si>
  <si>
    <t>(h)  Retirement age</t>
  </si>
  <si>
    <t>Age 62</t>
  </si>
  <si>
    <t>(i)   Expenses</t>
  </si>
  <si>
    <t>Assume all expenses paid by company</t>
  </si>
  <si>
    <t>(j)   Asset valuation method</t>
  </si>
  <si>
    <t>Market value</t>
  </si>
  <si>
    <t>(k)  Actuarial cost method</t>
  </si>
  <si>
    <t>Projected Unit Credit</t>
  </si>
  <si>
    <t>(l)   Expected employer contributions</t>
  </si>
  <si>
    <t>(m) Expected benefit payments</t>
  </si>
  <si>
    <t>(n)  Gain/loss amortization method</t>
  </si>
  <si>
    <t>10% corridor; amortized over average future working lifetime</t>
  </si>
  <si>
    <t>National Oil Pension Plan</t>
  </si>
  <si>
    <t>Scroll up/down to navigate to the following sections</t>
  </si>
  <si>
    <t>Earliest Retirement Age</t>
  </si>
  <si>
    <t>55 with 10 years of service</t>
  </si>
  <si>
    <t>Retirement benefit</t>
  </si>
  <si>
    <t>Retirees and their spouses may elect to participate in a</t>
  </si>
  <si>
    <t>self-insured health plan with 100% of the plan cost paid</t>
  </si>
  <si>
    <t>by the employer</t>
  </si>
  <si>
    <t>Pre-retirement / termination benefits</t>
  </si>
  <si>
    <t>Spousal coverage</t>
  </si>
  <si>
    <t>Coverage continues for the life of the spouse after death of</t>
  </si>
  <si>
    <t>an eligible retiree</t>
  </si>
  <si>
    <t>Cost sharing</t>
  </si>
  <si>
    <t>$0 deductible</t>
  </si>
  <si>
    <t>$0 copay</t>
  </si>
  <si>
    <t>No coinsurance</t>
  </si>
  <si>
    <t>No lifetime maximum</t>
  </si>
  <si>
    <t>Benefits covered</t>
  </si>
  <si>
    <t>Office visits</t>
  </si>
  <si>
    <t>Hospital visits</t>
  </si>
  <si>
    <t>Surgery</t>
  </si>
  <si>
    <t>Prescription drugs</t>
  </si>
  <si>
    <t>Life Insurance benefit</t>
  </si>
  <si>
    <t>$50,000 payable upon death after retirement</t>
  </si>
  <si>
    <r>
      <t>Expense Valuation Results – January 1 (numbers in $000's)</t>
    </r>
    <r>
      <rPr>
        <sz val="12"/>
        <rFont val="Arial"/>
        <family val="2"/>
      </rPr>
      <t xml:space="preserve"> *</t>
    </r>
  </si>
  <si>
    <t>(a)  Accumulated Postretirement Benefit Obligation</t>
  </si>
  <si>
    <t>(i) actives - fully vested</t>
  </si>
  <si>
    <t>(ii) actives - not fully vested</t>
  </si>
  <si>
    <t>(iii) retirees</t>
  </si>
  <si>
    <t>(iv) total</t>
  </si>
  <si>
    <t>(b) Fair Value of Assets</t>
  </si>
  <si>
    <t>(c) Surplus: (a)(iv) + (b)</t>
  </si>
  <si>
    <t>(d) Unrecognized prior service costs</t>
  </si>
  <si>
    <t>(e) Unrecognized (gains)/losses</t>
  </si>
  <si>
    <t>2.  Net Periodic Postretirement Benefit Cost</t>
  </si>
  <si>
    <t>(a) Service cost (beginning of year)</t>
  </si>
  <si>
    <t>(b) Interest cost</t>
  </si>
  <si>
    <t>(c) Expected return on assets</t>
  </si>
  <si>
    <t>(d) Amortization of prior service cost</t>
  </si>
  <si>
    <t>(e) Amortization of (gain)/loss</t>
  </si>
  <si>
    <t>(f) Net Periodic Postretirement Benefit Cost</t>
  </si>
  <si>
    <t>[All plan administrative and claims expenses are included in the claims costs used to determine the plan liability]</t>
  </si>
  <si>
    <t>3.  Expected Benefit Payments</t>
  </si>
  <si>
    <t>4.  Average Future Working Lifetime to Retirement</t>
  </si>
  <si>
    <t>5.  Average Future Working Lifetime to Full Eligibility Age</t>
  </si>
  <si>
    <t>6.  Duration of plan liabilities</t>
  </si>
  <si>
    <t>7.  Actuarial Assumptions and Supplemental Information</t>
  </si>
  <si>
    <t>(a) Discount rate</t>
  </si>
  <si>
    <t>(b) Return on assets</t>
  </si>
  <si>
    <t>N/A</t>
  </si>
  <si>
    <t>(c) Medical trend</t>
  </si>
  <si>
    <t>– Initial rate</t>
  </si>
  <si>
    <t>– Annual decrease</t>
  </si>
  <si>
    <t>– Ultimate rate</t>
  </si>
  <si>
    <t>– Year ultimate trend rate reached</t>
  </si>
  <si>
    <t>(d) CPI</t>
  </si>
  <si>
    <t>(e) Per capita claims cost (not in $000's)</t>
  </si>
  <si>
    <t>(f) Retirement assumption</t>
  </si>
  <si>
    <t>Age 62 with 10 years of service</t>
  </si>
  <si>
    <t>(g) All other demographic assumptions</t>
  </si>
  <si>
    <t>Same as those used for Pension Plan</t>
  </si>
  <si>
    <t>(h) Gain/loss amortization method</t>
  </si>
  <si>
    <t>National Oil Retiree Health Benefit Program</t>
  </si>
  <si>
    <t>Projected Benefit Obligation</t>
  </si>
  <si>
    <t>Expected Return on Assets</t>
  </si>
  <si>
    <t>Expected Benefit Payments</t>
  </si>
  <si>
    <t>Question 5</t>
  </si>
  <si>
    <t>Year</t>
  </si>
  <si>
    <t>Service Cost</t>
  </si>
  <si>
    <t>Unrecognized Prior Service Cost</t>
  </si>
  <si>
    <t>Demographic Summary as of January 1, 2022</t>
  </si>
  <si>
    <t>-  New entrants/rehires</t>
  </si>
  <si>
    <t>-  Nonvested terminations</t>
  </si>
  <si>
    <t>-  Vested terminations (lump sum cashout)</t>
  </si>
  <si>
    <t>-  Retirements</t>
  </si>
  <si>
    <t>-  Deaths</t>
  </si>
  <si>
    <t>-  New beneficiaries</t>
  </si>
  <si>
    <t>Participants as of January 1, 2022</t>
  </si>
  <si>
    <t>Pri-2012 with no mortality improvement</t>
  </si>
  <si>
    <t>Exam RETDAU:  Fall 2022</t>
  </si>
  <si>
    <t>Question 8</t>
  </si>
  <si>
    <t xml:space="preserve">You are given the following information for a non-contributory pension plan with immediate eligibility that offers the following three options:  </t>
  </si>
  <si>
    <t>Option</t>
  </si>
  <si>
    <t>Defined benefit (DB)</t>
  </si>
  <si>
    <t>Defined contribution (DC)</t>
  </si>
  <si>
    <t>Hybrid</t>
  </si>
  <si>
    <t xml:space="preserve">You are provided with the following assumptions:  </t>
  </si>
  <si>
    <t>Annual investment rate of return</t>
  </si>
  <si>
    <t>Annual salary increase rate</t>
  </si>
  <si>
    <t>Annual accrual and contribution limits</t>
  </si>
  <si>
    <t>Annuity factor at age 65</t>
  </si>
  <si>
    <t>Pre-retirement mortality for hybrid and DB</t>
  </si>
  <si>
    <t>Timing of hybrid and DC contributions</t>
  </si>
  <si>
    <t>Formula</t>
  </si>
  <si>
    <t>Career average pension of 1% of income for each year of service payable at age 65</t>
  </si>
  <si>
    <t>Accumulated contributions of 8% of salary per year</t>
  </si>
  <si>
    <t>Career average pension of 0.5% of income for each year of service payable at age 65 plus accumulated contributions of 5% of salary per year before age 50 and 2% thereafter</t>
  </si>
  <si>
    <t>End of year</t>
  </si>
  <si>
    <t>Show all work and justify your response.</t>
  </si>
  <si>
    <t>You are given the following cash flows. All cash flows are paid at the end of the year.</t>
  </si>
  <si>
    <r>
      <t>(i)</t>
    </r>
    <r>
      <rPr>
        <sz val="7"/>
        <color theme="1"/>
        <rFont val="Times New Roman"/>
        <family val="1"/>
      </rPr>
      <t xml:space="preserve">    </t>
    </r>
    <r>
      <rPr>
        <sz val="12"/>
        <color theme="1"/>
        <rFont val="Times New Roman"/>
        <family val="1"/>
      </rPr>
      <t>Projected Benefit Obligation under ASC 715</t>
    </r>
  </si>
  <si>
    <r>
      <t>(ii)</t>
    </r>
    <r>
      <rPr>
        <sz val="7"/>
        <color theme="1"/>
        <rFont val="Times New Roman"/>
        <family val="1"/>
      </rPr>
      <t xml:space="preserve">  </t>
    </r>
    <r>
      <rPr>
        <sz val="12"/>
        <color theme="1"/>
        <rFont val="Times New Roman"/>
        <family val="1"/>
      </rPr>
      <t>Interest Cost under ASC 715</t>
    </r>
  </si>
  <si>
    <t>Cash Flow</t>
  </si>
  <si>
    <t>Spot Rate</t>
  </si>
  <si>
    <r>
      <rPr>
        <i/>
        <sz val="12"/>
        <color theme="1"/>
        <rFont val="Times New Roman"/>
        <family val="1"/>
      </rPr>
      <t xml:space="preserve">(5 points) </t>
    </r>
    <r>
      <rPr>
        <sz val="12"/>
        <color theme="1"/>
        <rFont val="Times New Roman"/>
        <family val="1"/>
      </rPr>
      <t xml:space="preserve"> Assess which option is the most advantageous for a new hire age 45 based on the assumptions provided. </t>
    </r>
  </si>
  <si>
    <r>
      <rPr>
        <i/>
        <sz val="12"/>
        <color theme="1"/>
        <rFont val="Times New Roman"/>
        <family val="1"/>
      </rPr>
      <t>(5 points)</t>
    </r>
    <r>
      <rPr>
        <sz val="12"/>
        <color theme="1"/>
        <rFont val="Times New Roman"/>
        <family val="1"/>
      </rPr>
      <t xml:space="preserve">  Assess which option is the most advantageous for a new hire age 45 based on the assumptions provided. </t>
    </r>
  </si>
  <si>
    <t>(iii) Equivalent discount rates that would be disclosed in the ASC 715 report</t>
  </si>
  <si>
    <r>
      <rPr>
        <sz val="7"/>
        <color theme="1"/>
        <rFont val="Times New Roman"/>
        <family val="1"/>
      </rPr>
      <t>(</t>
    </r>
    <r>
      <rPr>
        <i/>
        <sz val="12"/>
        <color theme="1"/>
        <rFont val="Times New Roman"/>
        <family val="1"/>
      </rPr>
      <t>6 points</t>
    </r>
    <r>
      <rPr>
        <sz val="12"/>
        <color theme="1"/>
        <rFont val="Times New Roman"/>
        <family val="1"/>
      </rPr>
      <t>) Calculate the following using both the Traditional and Spot Rate Approaches:</t>
    </r>
  </si>
  <si>
    <r>
      <rPr>
        <i/>
        <sz val="12"/>
        <color theme="1"/>
        <rFont val="Times New Roman"/>
        <family val="1"/>
      </rPr>
      <t xml:space="preserve">(6 points) </t>
    </r>
    <r>
      <rPr>
        <sz val="12"/>
        <color theme="1"/>
        <rFont val="Times New Roman"/>
        <family val="1"/>
      </rPr>
      <t>Calculate the following using both the Traditional and Spot Rate Approaches:</t>
    </r>
  </si>
  <si>
    <t>Question 11</t>
  </si>
  <si>
    <t xml:space="preserve">Company ABC sponsors a cash balance plan.  You are given the following for a sample participant:  </t>
  </si>
  <si>
    <r>
      <t xml:space="preserve"> (2 points)  </t>
    </r>
    <r>
      <rPr>
        <sz val="12"/>
        <color theme="1"/>
        <rFont val="Times New Roman"/>
        <family val="1"/>
      </rPr>
      <t xml:space="preserve">Calculate the value at the sample participant’s retirement of the following:  </t>
    </r>
  </si>
  <si>
    <t xml:space="preserve">(i)    Enhanced money-back guarantee based on a minimum annual rate of 1% </t>
  </si>
  <si>
    <t>(ii)   Enhanced money-back guarantee based on a cumulative floor of 3% per year</t>
  </si>
  <si>
    <t xml:space="preserve">    (pay credits are assumed to be made at the end of the year)</t>
  </si>
  <si>
    <r>
      <rPr>
        <sz val="7"/>
        <color theme="1"/>
        <rFont val="Times New Roman"/>
        <family val="1"/>
      </rPr>
      <t xml:space="preserve">•       </t>
    </r>
    <r>
      <rPr>
        <sz val="12"/>
        <color theme="1"/>
        <rFont val="Times New Roman"/>
        <family val="1"/>
      </rPr>
      <t>The cash balance plan grants a pay credit each year until retirement equivalent to 5.0% of pay</t>
    </r>
  </si>
  <si>
    <t>Salary</t>
  </si>
  <si>
    <r>
      <rPr>
        <sz val="7"/>
        <color theme="1"/>
        <rFont val="Times New Roman"/>
        <family val="1"/>
      </rPr>
      <t xml:space="preserve">•       </t>
    </r>
    <r>
      <rPr>
        <sz val="12"/>
        <color theme="1"/>
        <rFont val="Times New Roman"/>
        <family val="1"/>
      </rPr>
      <t>Interest crediting rates are based on actual rate of return on aggregate plan assets and are provided below</t>
    </r>
  </si>
  <si>
    <r>
      <rPr>
        <i/>
        <sz val="12"/>
        <color theme="1"/>
        <rFont val="Times New Roman"/>
        <family val="1"/>
      </rPr>
      <t xml:space="preserve"> (2 points)</t>
    </r>
    <r>
      <rPr>
        <sz val="12"/>
        <color theme="1"/>
        <rFont val="Times New Roman"/>
        <family val="1"/>
      </rPr>
      <t xml:space="preserve">  Calculate the value at the sample participant’s retirement of the following:  </t>
    </r>
  </si>
  <si>
    <t>(c)          </t>
  </si>
  <si>
    <t xml:space="preserve">NOC assumes this plan change will reduce participation rates for current and future retirees to  No other assumption changes or gains and losses have occurred.  </t>
  </si>
  <si>
    <r>
      <t>·</t>
    </r>
    <r>
      <rPr>
        <sz val="7"/>
        <color rgb="FF000000"/>
        <rFont val="Times New Roman"/>
        <family val="1"/>
      </rPr>
      <t xml:space="preserve">       </t>
    </r>
    <r>
      <rPr>
        <sz val="12"/>
        <color rgb="FF000000"/>
        <rFont val="Times New Roman"/>
        <family val="1"/>
      </rPr>
      <t>Retirees who elect not to pay the premium do not receive health or life insurance benefits</t>
    </r>
  </si>
  <si>
    <r>
      <t>·</t>
    </r>
    <r>
      <rPr>
        <sz val="7"/>
        <color rgb="FF000000"/>
        <rFont val="Times New Roman"/>
        <family val="1"/>
      </rPr>
      <t xml:space="preserve">       </t>
    </r>
    <r>
      <rPr>
        <sz val="12"/>
        <color rgb="FF000000"/>
        <rFont val="Times New Roman"/>
        <family val="1"/>
      </rPr>
      <t xml:space="preserve">The life insurance benefit is reduced for all participants by: </t>
    </r>
  </si>
  <si>
    <t>(c)</t>
  </si>
  <si>
    <t>of per capita claims costs</t>
  </si>
  <si>
    <r>
      <t>·</t>
    </r>
    <r>
      <rPr>
        <sz val="7"/>
        <color rgb="FF000000"/>
        <rFont val="Times New Roman"/>
        <family val="1"/>
      </rPr>
      <t xml:space="preserve">       </t>
    </r>
    <r>
      <rPr>
        <sz val="12"/>
        <color rgb="FF000000"/>
        <rFont val="Times New Roman"/>
        <family val="1"/>
      </rPr>
      <t>Retirees and their spouses are required to pay premiums equal to:</t>
    </r>
  </si>
  <si>
    <t xml:space="preserve">Due to the pandemic, the following changes have been made to the RHBP effective July 1, 2022:  </t>
  </si>
  <si>
    <t>Question 2</t>
  </si>
  <si>
    <r>
      <rPr>
        <i/>
        <sz val="12"/>
        <color theme="1"/>
        <rFont val="Times New Roman"/>
        <family val="1"/>
      </rPr>
      <t xml:space="preserve">(4 points)  </t>
    </r>
    <r>
      <rPr>
        <sz val="12"/>
        <color theme="1"/>
        <rFont val="Times New Roman"/>
        <family val="1"/>
      </rPr>
      <t>Calculate the revised 2022 Net Periodic Postretirement Benefit Cost under U.S. Accounting Standard ASC 715.</t>
    </r>
  </si>
  <si>
    <r>
      <rPr>
        <i/>
        <sz val="12"/>
        <color theme="1"/>
        <rFont val="Times New Roman"/>
        <family val="1"/>
      </rPr>
      <t>(4 points)</t>
    </r>
    <r>
      <rPr>
        <sz val="12"/>
        <color theme="1"/>
        <rFont val="Times New Roman"/>
        <family val="1"/>
      </rPr>
      <t xml:space="preserve">   Calculate the revised 2022 Net Periodic Postretirement Benefit Cost under U.S. Accounting Standard ASC 715.</t>
    </r>
  </si>
  <si>
    <t>Question 9</t>
  </si>
  <si>
    <t>The following information is available:</t>
  </si>
  <si>
    <t>Hourly Pension Plan</t>
  </si>
  <si>
    <t>Salaried Pension Plan</t>
  </si>
  <si>
    <t>Fair Value of Assets</t>
  </si>
  <si>
    <t>March 31, 2023</t>
  </si>
  <si>
    <t xml:space="preserve">January 1, 2022 Information </t>
  </si>
  <si>
    <t>Unrecognized (Gain)/Loss</t>
  </si>
  <si>
    <t>Average future working lifetime</t>
  </si>
  <si>
    <t>January 1, 2023 Funded Status</t>
  </si>
  <si>
    <t>Expected Contributions</t>
  </si>
  <si>
    <t>Additional Information</t>
  </si>
  <si>
    <t>Discount Rate at 1/1/2022</t>
  </si>
  <si>
    <t xml:space="preserve">Discount Rate at 1/1/2023 </t>
  </si>
  <si>
    <t>Market-related value of assets method</t>
  </si>
  <si>
    <t>Fair Value</t>
  </si>
  <si>
    <t xml:space="preserve">The Hourly Pension Plan and Salaried Pension Plan are legally merged effective December 31, 2022. </t>
  </si>
  <si>
    <t xml:space="preserve">Prior Service Cost Amortization </t>
  </si>
  <si>
    <t>Timing of Benefit Payments</t>
  </si>
  <si>
    <t>Timing of Contributions</t>
  </si>
  <si>
    <t>Mid-Year</t>
  </si>
  <si>
    <r>
      <t>(</t>
    </r>
    <r>
      <rPr>
        <i/>
        <sz val="12"/>
        <color theme="1"/>
        <rFont val="Times New Roman"/>
        <family val="1"/>
      </rPr>
      <t>5 points</t>
    </r>
    <r>
      <rPr>
        <sz val="12"/>
        <color theme="1"/>
        <rFont val="Times New Roman"/>
        <family val="1"/>
      </rPr>
      <t xml:space="preserve">)  Calculate the 2023 Net Periodic Pension Cost under U.S. Accounting Standard ASC 715 (ASC 715) for the merged plan.  </t>
    </r>
  </si>
  <si>
    <t xml:space="preserve">Effective March 31, 2023, Company ABC purchases an annuity buy-out for the retirees in the merged plan. </t>
  </si>
  <si>
    <t>You are given the following:</t>
  </si>
  <si>
    <t>Projected Benefit Obligation prior to annuity buy-out</t>
  </si>
  <si>
    <t>Fair Value of Assets prior to annuity buy-out</t>
  </si>
  <si>
    <t>Retiree Only Projected Benefit Obligation</t>
  </si>
  <si>
    <t>Retiree Annuity Purchase Premium</t>
  </si>
  <si>
    <t>Discount Rate</t>
  </si>
  <si>
    <t>There are no other gains or losses as of March 31, 2023.</t>
  </si>
  <si>
    <r>
      <t>(</t>
    </r>
    <r>
      <rPr>
        <i/>
        <sz val="12"/>
        <color rgb="FF000000"/>
        <rFont val="Times New Roman"/>
        <family val="1"/>
      </rPr>
      <t xml:space="preserve">3 points)  </t>
    </r>
    <r>
      <rPr>
        <sz val="12"/>
        <color rgb="FF000000"/>
        <rFont val="Times New Roman"/>
        <family val="1"/>
      </rPr>
      <t>Calculate the settlement charge/(credit) under ASC 715 due to the retiree annuity buy-out as of March 31, 2023.</t>
    </r>
  </si>
  <si>
    <r>
      <t xml:space="preserve">(5 points)  </t>
    </r>
    <r>
      <rPr>
        <sz val="12"/>
        <color theme="1"/>
        <rFont val="Times New Roman"/>
        <family val="1"/>
      </rPr>
      <t xml:space="preserve">Calculate the 2023 Net Periodic Pension Cost under U.S. Accounting Standard ASC 715 (ASC 715) for the merged plan.  </t>
    </r>
  </si>
  <si>
    <r>
      <rPr>
        <sz val="7"/>
        <color theme="1"/>
        <rFont val="Times New Roman"/>
        <family val="1"/>
      </rPr>
      <t xml:space="preserve">•       </t>
    </r>
    <r>
      <rPr>
        <sz val="12"/>
        <color theme="1"/>
        <rFont val="Times New Roman"/>
        <family val="1"/>
      </rPr>
      <t>The participant will be retiring December 31, 2022</t>
    </r>
  </si>
  <si>
    <r>
      <rPr>
        <sz val="7"/>
        <color theme="1"/>
        <rFont val="Times New Roman"/>
        <family val="1"/>
      </rPr>
      <t xml:space="preserve">•       </t>
    </r>
    <r>
      <rPr>
        <sz val="12"/>
        <color theme="1"/>
        <rFont val="Times New Roman"/>
        <family val="1"/>
      </rPr>
      <t>The historical salary has been provided below</t>
    </r>
  </si>
  <si>
    <t>Annual Return</t>
  </si>
  <si>
    <r>
      <t>(</t>
    </r>
    <r>
      <rPr>
        <i/>
        <sz val="12"/>
        <color rgb="FF000000"/>
        <rFont val="Times New Roman"/>
        <family val="1"/>
      </rPr>
      <t>3 points</t>
    </r>
    <r>
      <rPr>
        <sz val="12"/>
        <color rgb="FF000000"/>
        <rFont val="Times New Roman"/>
        <family val="1"/>
      </rPr>
      <t>)  Calculate the settlement charge/(credit) under ASC 715 due to the retiree annuity buy-out as of March 31, 2023.</t>
    </r>
  </si>
  <si>
    <t>7/1/22 Roll-Forward</t>
  </si>
  <si>
    <t>7/1/22 Plan Change</t>
  </si>
  <si>
    <t>PBO</t>
  </si>
  <si>
    <t>FVA</t>
  </si>
  <si>
    <t>FS</t>
  </si>
  <si>
    <t>UPSC</t>
  </si>
  <si>
    <t>U(G)L</t>
  </si>
  <si>
    <t>DR</t>
  </si>
  <si>
    <t>AFWL to Ret</t>
  </si>
  <si>
    <t>AFWL to FEA</t>
  </si>
  <si>
    <t>Annual Amounts</t>
  </si>
  <si>
    <t>SC (BOY)</t>
  </si>
  <si>
    <t>IC</t>
  </si>
  <si>
    <t>EROA</t>
  </si>
  <si>
    <t>PSC Amort</t>
  </si>
  <si>
    <t>GL Amort</t>
  </si>
  <si>
    <t>XBP</t>
  </si>
  <si>
    <t>Actual Amounts</t>
  </si>
  <si>
    <t>1/1/22 - 6/30/22</t>
  </si>
  <si>
    <t>7/1/22 - 12/31/22</t>
  </si>
  <si>
    <t>Total P&amp;L</t>
  </si>
  <si>
    <t>BPs</t>
  </si>
  <si>
    <t>Defined Benefit</t>
  </si>
  <si>
    <t>Defined Contribution</t>
  </si>
  <si>
    <t>Accrual</t>
  </si>
  <si>
    <t>Cumulative</t>
  </si>
  <si>
    <t>Value EOY</t>
  </si>
  <si>
    <t>Contribution</t>
  </si>
  <si>
    <t>Cumulative EOY</t>
  </si>
  <si>
    <t>DB Value EOY</t>
  </si>
  <si>
    <t>DC</t>
  </si>
  <si>
    <t>DC Cumulative</t>
  </si>
  <si>
    <t>Total Value</t>
  </si>
  <si>
    <t>Maximum Value</t>
  </si>
  <si>
    <t>Conclusion: The optimal plan depends on how long the employees intends to work</t>
  </si>
  <si>
    <t>Hybrid is best if employee terminates before age 50</t>
  </si>
  <si>
    <t>DC is best if employee terminates between ages 50 and 55</t>
  </si>
  <si>
    <t>DB is best if employees terminates at or after age 55</t>
  </si>
  <si>
    <t>Contribution Rate</t>
  </si>
  <si>
    <t>Pay Credit</t>
  </si>
  <si>
    <t>Actual Interest credit</t>
  </si>
  <si>
    <t>Balance EoY</t>
  </si>
  <si>
    <t>1% Annual Minimum Interest credit</t>
  </si>
  <si>
    <t>Benefit (w/ G'tee)</t>
  </si>
  <si>
    <t>3% Interest credit</t>
  </si>
  <si>
    <t>`</t>
  </si>
  <si>
    <t>(i)</t>
  </si>
  <si>
    <t>(ii)</t>
  </si>
  <si>
    <t>Total benefit</t>
  </si>
  <si>
    <t>Benefit w/ G'tee</t>
  </si>
  <si>
    <t>G'tee Value</t>
  </si>
  <si>
    <t>Expected</t>
  </si>
  <si>
    <t>Actual</t>
  </si>
  <si>
    <t>Assets</t>
  </si>
  <si>
    <t>Funded Status</t>
  </si>
  <si>
    <t>(Accrued)/Prepaid</t>
  </si>
  <si>
    <t>Check</t>
  </si>
  <si>
    <t>FY2022 Net Periodic Pension Cost</t>
  </si>
  <si>
    <t>Interest Cost</t>
  </si>
  <si>
    <t xml:space="preserve">Amortizations: </t>
  </si>
  <si>
    <t>(Gain)/Loss</t>
  </si>
  <si>
    <t>Net Periodic Pension Cost</t>
  </si>
  <si>
    <t>Salaried</t>
  </si>
  <si>
    <t>Merged Plan</t>
  </si>
  <si>
    <t>FY2023 Benefit Cost</t>
  </si>
  <si>
    <t>Prior Service Cost</t>
  </si>
  <si>
    <t xml:space="preserve">Prior Service Cost </t>
  </si>
  <si>
    <t>Settlement Threshold</t>
  </si>
  <si>
    <t>Amount settled</t>
  </si>
  <si>
    <t>Combined</t>
  </si>
  <si>
    <t>Adj.</t>
  </si>
  <si>
    <t>Pre-Settlement</t>
  </si>
  <si>
    <t>Impact of Settlement</t>
  </si>
  <si>
    <t>Post-Settlement</t>
  </si>
  <si>
    <t>Discount rate</t>
  </si>
  <si>
    <t>% Settled</t>
  </si>
  <si>
    <t>Settlement charge/ (credit)</t>
  </si>
  <si>
    <t>Unrecognized (Gain)/Loss at 3/31</t>
  </si>
  <si>
    <t>Adjustment due to settlement</t>
  </si>
  <si>
    <t>Gain/Loss for settlement</t>
  </si>
  <si>
    <t>PBO at 3/31 - pre-settlement</t>
  </si>
  <si>
    <t>Adjustment for settlement</t>
  </si>
  <si>
    <t>PBO for settlement calculation</t>
  </si>
  <si>
    <t>PBO at 3/31 - post-settlement</t>
  </si>
  <si>
    <t>Impact</t>
  </si>
  <si>
    <t>Settlement</t>
  </si>
  <si>
    <t>Spot Rate PBO</t>
  </si>
  <si>
    <t>Traditional PBO</t>
  </si>
  <si>
    <t>Spot Rate IC</t>
  </si>
  <si>
    <t>(i)    Projected Benefit Obligation under ASC 715</t>
  </si>
  <si>
    <t>(ii)  Interest Cost under ASC 715</t>
  </si>
  <si>
    <t>Traditional IC</t>
  </si>
  <si>
    <t>(iii) Equivalent discount rates</t>
  </si>
  <si>
    <t>n/a</t>
  </si>
  <si>
    <t>use goal seek to deterrmine what interest rate will make value in cell M37 = value in cell M36</t>
  </si>
  <si>
    <t>Spot Rate: effective discount rate for interest cost</t>
  </si>
  <si>
    <t>Traditional: effective discount rate for interest cost</t>
  </si>
  <si>
    <t>Spot Rate: effective discount rate for PBO</t>
  </si>
  <si>
    <t>Traditional: effective discount rate for PBO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</si>
</sst>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6" formatCode="&quot;$&quot;#,##0_);[Red]\(&quot;$&quot;#,##0\)"/>
    <numFmt numFmtId="44" formatCode="_(&quot;$&quot;* #,##0.00_);_(&quot;$&quot;* \(#,##0.00\);_(&quot;$&quot;* &quot;-&quot;??_);_(@_)"/>
    <numFmt numFmtId="43" formatCode="_(* #,##0.00_);_(* \(#,##0.00\);_(* &quot;-&quot;??_);_(@_)"/>
    <numFmt numFmtId="164" formatCode="_(&quot;$&quot;* #,##0_);_(&quot;$&quot;* \(#,##0\);_(&quot;$&quot;* &quot;-&quot;??_);_(@_)"/>
    <numFmt numFmtId="165" formatCode="0.0"/>
    <numFmt numFmtId="166" formatCode="&quot;$&quot;#,##0"/>
    <numFmt numFmtId="167" formatCode="_(* #,##0_);_(* \(#,##0\);_(* &quot;-&quot;??_);_(@_)"/>
    <numFmt numFmtId="168" formatCode="_(* #,##0.0_);_(* \(#,##0.0\);_(* &quot;-&quot;??_);_(@_)"/>
    <numFmt numFmtId="169" formatCode="_(* #,##0.00_);_(* \(#,##0.00\);_(* &quot;-&quot;???_);_(@_)"/>
  </numFmts>
  <fonts count="36" x14ac:knownFonts="1">
    <font>
      <sz val="11"/>
      <color theme="1"/>
      <name val="Calibri"/>
      <family val="2"/>
      <scheme val="minor"/>
    </font>
    <font>
      <sz val="11"/>
      <color theme="1"/>
      <name val="Calibri"/>
      <family val="2"/>
      <scheme val="minor"/>
    </font>
    <font>
      <sz val="11"/>
      <color rgb="FFFF0000"/>
      <name val="Calibri"/>
      <family val="2"/>
      <scheme val="minor"/>
    </font>
    <font>
      <b/>
      <sz val="12"/>
      <color theme="1"/>
      <name val="Times New Roman"/>
      <family val="1"/>
    </font>
    <font>
      <sz val="12"/>
      <color theme="1"/>
      <name val="Times New Roman"/>
      <family val="1"/>
    </font>
    <font>
      <b/>
      <i/>
      <sz val="12"/>
      <color theme="1"/>
      <name val="Times New Roman"/>
      <family val="1"/>
    </font>
    <font>
      <sz val="12"/>
      <name val="Times New Roman"/>
      <family val="1"/>
    </font>
    <font>
      <i/>
      <sz val="12"/>
      <color theme="1"/>
      <name val="Times New Roman"/>
      <family val="1"/>
    </font>
    <font>
      <sz val="10"/>
      <name val="Arial"/>
      <family val="2"/>
    </font>
    <font>
      <b/>
      <sz val="14"/>
      <name val="Arial"/>
      <family val="2"/>
    </font>
    <font>
      <b/>
      <sz val="14"/>
      <name val="Calibri"/>
      <family val="2"/>
    </font>
    <font>
      <sz val="12"/>
      <name val="Arial"/>
      <family val="2"/>
    </font>
    <font>
      <b/>
      <sz val="12"/>
      <name val="Arial"/>
      <family val="2"/>
    </font>
    <font>
      <i/>
      <sz val="12"/>
      <name val="Arial"/>
      <family val="2"/>
    </font>
    <font>
      <sz val="12"/>
      <name val="Symbol"/>
      <family val="1"/>
      <charset val="2"/>
    </font>
    <font>
      <sz val="10"/>
      <color theme="1"/>
      <name val="Arial"/>
      <family val="2"/>
    </font>
    <font>
      <u/>
      <sz val="12"/>
      <name val="Arial"/>
      <family val="2"/>
    </font>
    <font>
      <sz val="11"/>
      <color theme="1"/>
      <name val="Arial"/>
      <family val="2"/>
    </font>
    <font>
      <sz val="12"/>
      <color theme="1"/>
      <name val="Arial"/>
      <family val="2"/>
    </font>
    <font>
      <b/>
      <i/>
      <sz val="12"/>
      <color theme="1"/>
      <name val="Arial"/>
      <family val="2"/>
    </font>
    <font>
      <sz val="12"/>
      <color rgb="FF000000"/>
      <name val="Times New Roman"/>
      <family val="1"/>
    </font>
    <font>
      <b/>
      <sz val="12"/>
      <name val="Times New Roman"/>
      <family val="1"/>
    </font>
    <font>
      <sz val="7"/>
      <color theme="1"/>
      <name val="Times New Roman"/>
      <family val="1"/>
    </font>
    <font>
      <i/>
      <sz val="12"/>
      <color rgb="FF000000"/>
      <name val="Times New Roman"/>
      <family val="1"/>
    </font>
    <font>
      <sz val="12"/>
      <color rgb="FF000000"/>
      <name val="Symbol"/>
      <family val="1"/>
      <charset val="2"/>
    </font>
    <font>
      <sz val="7"/>
      <color rgb="FF000000"/>
      <name val="Times New Roman"/>
      <family val="1"/>
    </font>
    <font>
      <sz val="12"/>
      <color rgb="FFFF0000"/>
      <name val="Times New Roman"/>
      <family val="1"/>
    </font>
    <font>
      <b/>
      <sz val="12"/>
      <color rgb="FFFF0000"/>
      <name val="Times New Roman"/>
      <family val="1"/>
    </font>
    <font>
      <b/>
      <sz val="11"/>
      <color theme="1"/>
      <name val="Calibri"/>
      <family val="2"/>
      <scheme val="minor"/>
    </font>
    <font>
      <sz val="12"/>
      <color rgb="FF0000FF"/>
      <name val="Times New Roman"/>
      <family val="1"/>
    </font>
    <font>
      <b/>
      <u/>
      <sz val="12"/>
      <color theme="1"/>
      <name val="Times New Roman"/>
      <family val="1"/>
    </font>
    <font>
      <u val="singleAccounting"/>
      <sz val="12"/>
      <color theme="1"/>
      <name val="Times New Roman"/>
      <family val="1"/>
    </font>
    <font>
      <b/>
      <sz val="10"/>
      <color theme="1"/>
      <name val="Arial"/>
      <family val="2"/>
    </font>
    <font>
      <sz val="10"/>
      <color rgb="FF7030A0"/>
      <name val="Arial"/>
      <family val="2"/>
    </font>
    <font>
      <sz val="10"/>
      <color rgb="FFFF0000"/>
      <name val="Arial"/>
      <family val="2"/>
    </font>
    <font>
      <sz val="12"/>
      <color theme="9"/>
      <name val="Times New Roman"/>
      <family val="1"/>
    </font>
  </fonts>
  <fills count="5">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7"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auto="1"/>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1">
    <xf numFmtId="0" fontId="0"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8"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cellStyleXfs>
  <cellXfs count="252">
    <xf numFmtId="0" fontId="0" fillId="0" borderId="0" xfId="0"/>
    <xf numFmtId="0" fontId="9" fillId="0" borderId="0" xfId="5" applyFont="1" applyAlignment="1">
      <alignment horizontal="center" vertical="top" wrapText="1"/>
    </xf>
    <xf numFmtId="0" fontId="11" fillId="0" borderId="0" xfId="5" applyFont="1"/>
    <xf numFmtId="0" fontId="11" fillId="0" borderId="0" xfId="5" applyFont="1" applyAlignment="1">
      <alignment horizontal="justify" vertical="top" wrapText="1"/>
    </xf>
    <xf numFmtId="0" fontId="12" fillId="0" borderId="0" xfId="5" applyFont="1" applyAlignment="1">
      <alignment horizontal="justify" vertical="top" wrapText="1"/>
    </xf>
    <xf numFmtId="0" fontId="13" fillId="0" borderId="0" xfId="5" applyFont="1" applyAlignment="1">
      <alignment horizontal="left" vertical="top" wrapText="1" indent="2"/>
    </xf>
    <xf numFmtId="0" fontId="11" fillId="0" borderId="0" xfId="5" applyFont="1" applyAlignment="1">
      <alignment horizontal="left" vertical="top" wrapText="1" indent="2"/>
    </xf>
    <xf numFmtId="0" fontId="14" fillId="0" borderId="0" xfId="5" applyFont="1" applyAlignment="1">
      <alignment horizontal="left" vertical="top" wrapText="1" indent="4"/>
    </xf>
    <xf numFmtId="0" fontId="6" fillId="0" borderId="0" xfId="5" applyFont="1" applyAlignment="1">
      <alignment horizontal="left" vertical="top" wrapText="1" indent="4"/>
    </xf>
    <xf numFmtId="0" fontId="14" fillId="0" borderId="0" xfId="5" applyFont="1" applyAlignment="1">
      <alignment horizontal="left" vertical="top" wrapText="1"/>
    </xf>
    <xf numFmtId="0" fontId="13" fillId="0" borderId="0" xfId="5" applyFont="1" applyAlignment="1">
      <alignment horizontal="justify" vertical="top" wrapText="1"/>
    </xf>
    <xf numFmtId="0" fontId="11" fillId="0" borderId="0" xfId="5" applyFont="1" applyAlignment="1">
      <alignment horizontal="center" vertical="top" wrapText="1"/>
    </xf>
    <xf numFmtId="0" fontId="11" fillId="0" borderId="0" xfId="5" applyFont="1" applyAlignment="1">
      <alignment horizontal="justify"/>
    </xf>
    <xf numFmtId="0" fontId="11" fillId="0" borderId="0" xfId="5" applyFont="1" applyAlignment="1">
      <alignment horizontal="left" vertical="top" wrapText="1" indent="1"/>
    </xf>
    <xf numFmtId="165" fontId="12" fillId="0" borderId="0" xfId="0" applyNumberFormat="1" applyFont="1"/>
    <xf numFmtId="0" fontId="15" fillId="0" borderId="0" xfId="0" applyFont="1"/>
    <xf numFmtId="0" fontId="11" fillId="0" borderId="0" xfId="5" applyFont="1" applyAlignment="1">
      <alignment horizontal="left"/>
    </xf>
    <xf numFmtId="0" fontId="12" fillId="0" borderId="0" xfId="5" applyFont="1" applyAlignment="1">
      <alignment horizontal="justify" vertical="top"/>
    </xf>
    <xf numFmtId="0" fontId="11" fillId="0" borderId="0" xfId="5" applyFont="1" applyAlignment="1">
      <alignment horizontal="justify" vertical="top"/>
    </xf>
    <xf numFmtId="0" fontId="12" fillId="0" borderId="0" xfId="5" applyFont="1" applyAlignment="1">
      <alignment vertical="top"/>
    </xf>
    <xf numFmtId="0" fontId="11" fillId="0" borderId="0" xfId="5" applyFont="1" applyAlignment="1">
      <alignment vertical="top"/>
    </xf>
    <xf numFmtId="0" fontId="11" fillId="0" borderId="4" xfId="5" applyFont="1" applyBorder="1" applyAlignment="1">
      <alignment horizontal="centerContinuous" vertical="top"/>
    </xf>
    <xf numFmtId="0" fontId="11" fillId="0" borderId="4" xfId="5" applyFont="1" applyBorder="1" applyAlignment="1">
      <alignment horizontal="centerContinuous"/>
    </xf>
    <xf numFmtId="0" fontId="11" fillId="0" borderId="0" xfId="5" applyFont="1" applyAlignment="1">
      <alignment horizontal="center" vertical="top"/>
    </xf>
    <xf numFmtId="0" fontId="11" fillId="0" borderId="0" xfId="5" applyFont="1" applyAlignment="1">
      <alignment horizontal="center"/>
    </xf>
    <xf numFmtId="166" fontId="11" fillId="0" borderId="0" xfId="5" applyNumberFormat="1" applyFont="1" applyAlignment="1">
      <alignment vertical="top"/>
    </xf>
    <xf numFmtId="166" fontId="11" fillId="0" borderId="0" xfId="5" applyNumberFormat="1" applyFont="1"/>
    <xf numFmtId="37" fontId="11" fillId="0" borderId="0" xfId="5" applyNumberFormat="1" applyFont="1" applyAlignment="1">
      <alignment vertical="top"/>
    </xf>
    <xf numFmtId="37" fontId="11" fillId="0" borderId="0" xfId="5" applyNumberFormat="1" applyFont="1"/>
    <xf numFmtId="0" fontId="16" fillId="0" borderId="0" xfId="5" applyFont="1" applyAlignment="1">
      <alignment vertical="top"/>
    </xf>
    <xf numFmtId="165" fontId="11" fillId="0" borderId="0" xfId="5" applyNumberFormat="1" applyFont="1" applyAlignment="1">
      <alignment vertical="top"/>
    </xf>
    <xf numFmtId="10" fontId="11" fillId="0" borderId="0" xfId="5" applyNumberFormat="1" applyFont="1" applyAlignment="1">
      <alignment vertical="top"/>
    </xf>
    <xf numFmtId="9" fontId="11" fillId="0" borderId="0" xfId="5" applyNumberFormat="1" applyFont="1" applyAlignment="1">
      <alignment vertical="top"/>
    </xf>
    <xf numFmtId="9" fontId="16" fillId="0" borderId="0" xfId="5" applyNumberFormat="1" applyFont="1" applyAlignment="1">
      <alignment vertical="top"/>
    </xf>
    <xf numFmtId="0" fontId="12" fillId="0" borderId="0" xfId="0" applyFont="1"/>
    <xf numFmtId="0" fontId="17" fillId="0" borderId="0" xfId="0" applyFont="1"/>
    <xf numFmtId="0" fontId="18" fillId="0" borderId="0" xfId="0" applyFont="1"/>
    <xf numFmtId="0" fontId="19" fillId="0" borderId="0" xfId="0" applyFont="1"/>
    <xf numFmtId="0" fontId="16" fillId="0" borderId="0" xfId="5" quotePrefix="1" applyFont="1" applyAlignment="1">
      <alignment horizontal="left" vertical="top"/>
    </xf>
    <xf numFmtId="2" fontId="11" fillId="0" borderId="0" xfId="5" applyNumberFormat="1" applyFont="1" applyAlignment="1">
      <alignment vertical="top"/>
    </xf>
    <xf numFmtId="0" fontId="11" fillId="0" borderId="0" xfId="5" applyFont="1" applyAlignment="1">
      <alignment horizontal="right" vertical="top"/>
    </xf>
    <xf numFmtId="0" fontId="4" fillId="3" borderId="0" xfId="0" applyFont="1" applyFill="1"/>
    <xf numFmtId="0" fontId="4" fillId="2" borderId="0" xfId="0" applyFont="1" applyFill="1"/>
    <xf numFmtId="0" fontId="5" fillId="2" borderId="0" xfId="0" applyFont="1" applyFill="1" applyAlignment="1">
      <alignment horizontal="left" vertical="top"/>
    </xf>
    <xf numFmtId="0" fontId="4" fillId="2" borderId="0" xfId="0" applyFont="1" applyFill="1" applyAlignment="1">
      <alignment horizontal="left" vertical="top"/>
    </xf>
    <xf numFmtId="5" fontId="4" fillId="2" borderId="0" xfId="7" applyNumberFormat="1" applyFont="1" applyFill="1" applyBorder="1" applyAlignment="1">
      <alignment horizontal="center"/>
    </xf>
    <xf numFmtId="0" fontId="5" fillId="2" borderId="0" xfId="0" applyFont="1" applyFill="1"/>
    <xf numFmtId="0" fontId="3" fillId="2" borderId="0" xfId="0" applyFont="1" applyFill="1"/>
    <xf numFmtId="0" fontId="4" fillId="2" borderId="0" xfId="0" applyFont="1" applyFill="1" applyAlignment="1">
      <alignment horizontal="left" indent="3"/>
    </xf>
    <xf numFmtId="0" fontId="0" fillId="0" borderId="0" xfId="0" applyProtection="1">
      <protection locked="0"/>
    </xf>
    <xf numFmtId="14" fontId="0" fillId="0" borderId="0" xfId="0" applyNumberFormat="1" applyProtection="1">
      <protection locked="0"/>
    </xf>
    <xf numFmtId="164" fontId="0" fillId="0" borderId="0" xfId="7" applyNumberFormat="1" applyFont="1" applyProtection="1">
      <protection locked="0"/>
    </xf>
    <xf numFmtId="164" fontId="0" fillId="0" borderId="0" xfId="0" applyNumberFormat="1" applyProtection="1">
      <protection locked="0"/>
    </xf>
    <xf numFmtId="167" fontId="0" fillId="0" borderId="0" xfId="6" applyNumberFormat="1" applyFont="1" applyProtection="1">
      <protection locked="0"/>
    </xf>
    <xf numFmtId="167" fontId="0" fillId="0" borderId="0" xfId="0" applyNumberFormat="1" applyProtection="1">
      <protection locked="0"/>
    </xf>
    <xf numFmtId="43" fontId="0" fillId="0" borderId="0" xfId="6" applyFont="1" applyProtection="1">
      <protection locked="0"/>
    </xf>
    <xf numFmtId="13" fontId="0" fillId="0" borderId="0" xfId="6" applyNumberFormat="1" applyFont="1" applyProtection="1">
      <protection locked="0"/>
    </xf>
    <xf numFmtId="44" fontId="0" fillId="0" borderId="0" xfId="7" applyFont="1" applyProtection="1">
      <protection locked="0"/>
    </xf>
    <xf numFmtId="16" fontId="0" fillId="0" borderId="0" xfId="0" quotePrefix="1" applyNumberFormat="1" applyProtection="1">
      <protection locked="0"/>
    </xf>
    <xf numFmtId="16" fontId="0" fillId="0" borderId="0" xfId="0" applyNumberFormat="1" applyAlignment="1" applyProtection="1">
      <alignment wrapText="1"/>
      <protection locked="0"/>
    </xf>
    <xf numFmtId="10" fontId="0" fillId="0" borderId="0" xfId="8" applyNumberFormat="1" applyFont="1" applyProtection="1">
      <protection locked="0"/>
    </xf>
    <xf numFmtId="13" fontId="0" fillId="0" borderId="0" xfId="6" applyNumberFormat="1" applyFont="1" applyFill="1" applyProtection="1">
      <protection locked="0"/>
    </xf>
    <xf numFmtId="43" fontId="0" fillId="0" borderId="0" xfId="0" applyNumberFormat="1" applyProtection="1">
      <protection locked="0"/>
    </xf>
    <xf numFmtId="0" fontId="0" fillId="0" borderId="0" xfId="0" quotePrefix="1" applyAlignment="1" applyProtection="1">
      <alignment horizontal="center"/>
      <protection locked="0"/>
    </xf>
    <xf numFmtId="0" fontId="0" fillId="0" borderId="0" xfId="0" applyAlignment="1" applyProtection="1">
      <alignment horizontal="center"/>
      <protection locked="0"/>
    </xf>
    <xf numFmtId="167" fontId="0" fillId="0" borderId="2" xfId="0" applyNumberFormat="1" applyBorder="1" applyProtection="1">
      <protection locked="0"/>
    </xf>
    <xf numFmtId="0" fontId="0" fillId="0" borderId="4" xfId="0" applyBorder="1" applyProtection="1">
      <protection locked="0"/>
    </xf>
    <xf numFmtId="167" fontId="0" fillId="0" borderId="3" xfId="0" applyNumberFormat="1" applyBorder="1" applyProtection="1">
      <protection locked="0"/>
    </xf>
    <xf numFmtId="0" fontId="2" fillId="0" borderId="0" xfId="0" applyFont="1" applyProtection="1">
      <protection locked="0"/>
    </xf>
    <xf numFmtId="0" fontId="4" fillId="2" borderId="0" xfId="0" applyFont="1" applyFill="1" applyAlignment="1">
      <alignment vertical="top" wrapText="1"/>
    </xf>
    <xf numFmtId="0" fontId="4" fillId="2" borderId="0" xfId="0" applyFont="1" applyFill="1" applyAlignment="1">
      <alignment vertical="top"/>
    </xf>
    <xf numFmtId="0" fontId="11" fillId="0" borderId="0" xfId="5" applyFont="1" applyAlignment="1">
      <alignment vertical="top" wrapText="1"/>
    </xf>
    <xf numFmtId="0" fontId="4" fillId="2" borderId="0" xfId="0" applyFont="1" applyFill="1" applyAlignment="1">
      <alignment horizontal="left" vertical="top" wrapText="1"/>
    </xf>
    <xf numFmtId="0" fontId="4" fillId="2" borderId="0" xfId="0" applyFont="1" applyFill="1" applyAlignment="1">
      <alignment wrapText="1"/>
    </xf>
    <xf numFmtId="0" fontId="4" fillId="2" borderId="0" xfId="0" applyFont="1" applyFill="1" applyAlignment="1">
      <alignment horizontal="left" wrapText="1"/>
    </xf>
    <xf numFmtId="0" fontId="4" fillId="2" borderId="0" xfId="0" applyFont="1" applyFill="1" applyAlignment="1">
      <alignment wrapText="1"/>
    </xf>
    <xf numFmtId="0" fontId="3" fillId="2" borderId="1" xfId="0" applyFont="1" applyFill="1" applyBorder="1" applyAlignment="1">
      <alignment vertical="center" wrapText="1"/>
    </xf>
    <xf numFmtId="0" fontId="4" fillId="2" borderId="1" xfId="0" applyFont="1" applyFill="1" applyBorder="1" applyAlignment="1">
      <alignment vertical="center" wrapText="1"/>
    </xf>
    <xf numFmtId="0" fontId="4" fillId="2" borderId="1" xfId="0" applyFont="1" applyFill="1" applyBorder="1" applyAlignment="1">
      <alignment horizontal="left" vertical="center" wrapText="1" indent="2"/>
    </xf>
    <xf numFmtId="9"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3" borderId="0" xfId="0" applyFont="1" applyFill="1" applyProtection="1">
      <protection locked="0"/>
    </xf>
    <xf numFmtId="0" fontId="4" fillId="2" borderId="0" xfId="0" applyFont="1" applyFill="1" applyAlignment="1">
      <alignment horizontal="left" vertical="center" indent="5"/>
    </xf>
    <xf numFmtId="0" fontId="4" fillId="2" borderId="0" xfId="0" applyFont="1" applyFill="1" applyAlignment="1">
      <alignment horizontal="left" vertical="center" indent="10"/>
    </xf>
    <xf numFmtId="0" fontId="4" fillId="2" borderId="0" xfId="0" applyFont="1" applyFill="1" applyAlignment="1">
      <alignment horizontal="left" vertical="center" indent="2"/>
    </xf>
    <xf numFmtId="0" fontId="4" fillId="0" borderId="0" xfId="0" applyFont="1" applyProtection="1">
      <protection locked="0"/>
    </xf>
    <xf numFmtId="166" fontId="4" fillId="2" borderId="1" xfId="0" applyNumberFormat="1" applyFont="1" applyFill="1" applyBorder="1" applyAlignment="1">
      <alignment vertical="center" wrapText="1"/>
    </xf>
    <xf numFmtId="10" fontId="4" fillId="2" borderId="1" xfId="8" applyNumberFormat="1" applyFont="1" applyFill="1" applyBorder="1" applyAlignment="1" applyProtection="1">
      <alignment vertical="center" wrapText="1"/>
    </xf>
    <xf numFmtId="3" fontId="4" fillId="0" borderId="0" xfId="0" applyNumberFormat="1" applyFont="1" applyProtection="1">
      <protection locked="0"/>
    </xf>
    <xf numFmtId="10" fontId="4" fillId="0" borderId="0" xfId="8" applyNumberFormat="1" applyFont="1" applyProtection="1">
      <protection locked="0"/>
    </xf>
    <xf numFmtId="0" fontId="4" fillId="0" borderId="0" xfId="0" applyFont="1" applyFill="1" applyProtection="1">
      <protection locked="0"/>
    </xf>
    <xf numFmtId="0" fontId="4" fillId="2" borderId="5" xfId="0" applyFont="1" applyFill="1" applyBorder="1" applyAlignment="1">
      <alignment vertical="center" wrapText="1"/>
    </xf>
    <xf numFmtId="0" fontId="3" fillId="2" borderId="6" xfId="0" applyFont="1" applyFill="1" applyBorder="1" applyAlignment="1">
      <alignment vertical="center" wrapText="1"/>
    </xf>
    <xf numFmtId="0" fontId="4" fillId="2" borderId="0" xfId="0" applyFont="1" applyFill="1" applyBorder="1"/>
    <xf numFmtId="0" fontId="4" fillId="2" borderId="0" xfId="0" applyFont="1" applyFill="1" applyBorder="1" applyAlignment="1">
      <alignment horizontal="left" vertical="center" indent="4"/>
    </xf>
    <xf numFmtId="0" fontId="0" fillId="2" borderId="0" xfId="0" applyFill="1" applyBorder="1"/>
    <xf numFmtId="0" fontId="4" fillId="3" borderId="0" xfId="0" applyFont="1" applyFill="1" applyBorder="1"/>
    <xf numFmtId="165" fontId="4" fillId="2" borderId="1" xfId="0" applyNumberFormat="1" applyFont="1" applyFill="1" applyBorder="1" applyAlignment="1">
      <alignment horizontal="center" vertical="center" wrapText="1"/>
    </xf>
    <xf numFmtId="0" fontId="4" fillId="2" borderId="0" xfId="0" applyFont="1" applyFill="1" applyBorder="1" applyAlignment="1">
      <alignment wrapText="1"/>
    </xf>
    <xf numFmtId="0" fontId="3" fillId="2" borderId="1" xfId="0" applyFont="1" applyFill="1" applyBorder="1" applyAlignment="1">
      <alignment horizontal="center" wrapText="1"/>
    </xf>
    <xf numFmtId="0" fontId="4" fillId="2" borderId="1" xfId="0" applyFont="1" applyFill="1" applyBorder="1" applyAlignment="1">
      <alignment horizontal="center"/>
    </xf>
    <xf numFmtId="6" fontId="4" fillId="2" borderId="1" xfId="0" applyNumberFormat="1" applyFont="1" applyFill="1" applyBorder="1" applyAlignment="1">
      <alignment horizontal="center"/>
    </xf>
    <xf numFmtId="10" fontId="4" fillId="2" borderId="1" xfId="8" applyNumberFormat="1" applyFont="1" applyFill="1" applyBorder="1" applyAlignment="1">
      <alignment horizontal="center"/>
    </xf>
    <xf numFmtId="10" fontId="4" fillId="2" borderId="0" xfId="8" applyNumberFormat="1" applyFont="1" applyFill="1" applyBorder="1" applyAlignment="1" applyProtection="1">
      <alignment vertical="center" wrapText="1"/>
    </xf>
    <xf numFmtId="166" fontId="4" fillId="2" borderId="0" xfId="0" applyNumberFormat="1" applyFont="1" applyFill="1" applyAlignment="1">
      <alignment vertical="center" wrapText="1"/>
    </xf>
    <xf numFmtId="0" fontId="4" fillId="2" borderId="0" xfId="0" applyFont="1" applyFill="1" applyAlignment="1">
      <alignment horizontal="center" vertical="center" wrapText="1"/>
    </xf>
    <xf numFmtId="0" fontId="20" fillId="2" borderId="0" xfId="0" applyFont="1" applyFill="1" applyAlignment="1">
      <alignment vertical="center"/>
    </xf>
    <xf numFmtId="0" fontId="20" fillId="2" borderId="0" xfId="0" applyFont="1" applyFill="1" applyAlignment="1">
      <alignment horizontal="left" vertical="center" indent="4"/>
    </xf>
    <xf numFmtId="0" fontId="20" fillId="2" borderId="0" xfId="0" applyFont="1" applyFill="1" applyAlignment="1">
      <alignment horizontal="left" vertical="center" wrapText="1"/>
    </xf>
    <xf numFmtId="9" fontId="20" fillId="2" borderId="0" xfId="0" applyNumberFormat="1" applyFont="1" applyFill="1" applyAlignment="1">
      <alignment horizontal="left" vertical="center" wrapText="1"/>
    </xf>
    <xf numFmtId="0" fontId="20" fillId="2" borderId="0" xfId="0" applyFont="1" applyFill="1" applyAlignment="1">
      <alignment horizontal="left" vertical="center" indent="2"/>
    </xf>
    <xf numFmtId="0" fontId="24" fillId="2" borderId="0" xfId="0" applyFont="1" applyFill="1" applyAlignment="1">
      <alignment horizontal="left" vertical="center" indent="7"/>
    </xf>
    <xf numFmtId="0" fontId="4" fillId="2" borderId="0" xfId="0" applyFont="1" applyFill="1" applyAlignment="1">
      <alignment vertical="center" wrapText="1"/>
    </xf>
    <xf numFmtId="9" fontId="4" fillId="2" borderId="0" xfId="0" applyNumberFormat="1" applyFont="1" applyFill="1" applyAlignment="1">
      <alignment horizontal="left"/>
    </xf>
    <xf numFmtId="0" fontId="20" fillId="2" borderId="0" xfId="0" applyFont="1" applyFill="1"/>
    <xf numFmtId="0" fontId="8" fillId="0" borderId="0" xfId="0" applyFont="1"/>
    <xf numFmtId="167" fontId="8" fillId="0" borderId="0" xfId="0" applyNumberFormat="1" applyFont="1"/>
    <xf numFmtId="14" fontId="8" fillId="0" borderId="0" xfId="0" applyNumberFormat="1" applyFont="1"/>
    <xf numFmtId="0" fontId="26" fillId="0" borderId="0" xfId="0" applyFont="1" applyProtection="1">
      <protection locked="0"/>
    </xf>
    <xf numFmtId="0" fontId="3" fillId="0" borderId="0" xfId="0" applyFont="1" applyProtection="1">
      <protection locked="0"/>
    </xf>
    <xf numFmtId="167" fontId="4" fillId="0" borderId="0" xfId="0" applyNumberFormat="1" applyFont="1" applyProtection="1">
      <protection locked="0"/>
    </xf>
    <xf numFmtId="167" fontId="4" fillId="2" borderId="0" xfId="6" applyNumberFormat="1" applyFont="1" applyFill="1" applyBorder="1" applyAlignment="1">
      <alignment vertical="center" wrapText="1"/>
    </xf>
    <xf numFmtId="0" fontId="6" fillId="0" borderId="0" xfId="0" applyFont="1" applyProtection="1">
      <protection locked="0"/>
    </xf>
    <xf numFmtId="43" fontId="4" fillId="0" borderId="0" xfId="0" applyNumberFormat="1" applyFont="1" applyProtection="1">
      <protection locked="0"/>
    </xf>
    <xf numFmtId="167" fontId="3" fillId="0" borderId="0" xfId="0" applyNumberFormat="1" applyFont="1" applyProtection="1">
      <protection locked="0"/>
    </xf>
    <xf numFmtId="0" fontId="4" fillId="2" borderId="0" xfId="0" applyFont="1" applyFill="1" applyAlignment="1">
      <alignment horizontal="left" vertical="center" wrapText="1" indent="2"/>
    </xf>
    <xf numFmtId="0" fontId="3" fillId="2" borderId="0" xfId="0" applyFont="1" applyFill="1" applyAlignment="1">
      <alignment vertical="center"/>
    </xf>
    <xf numFmtId="0" fontId="21" fillId="2" borderId="1" xfId="0" applyFont="1" applyFill="1" applyBorder="1" applyAlignment="1">
      <alignment horizontal="right" vertical="center" wrapText="1"/>
    </xf>
    <xf numFmtId="0" fontId="21" fillId="2" borderId="1" xfId="0" applyFont="1" applyFill="1" applyBorder="1" applyAlignment="1">
      <alignment vertical="center" wrapText="1"/>
    </xf>
    <xf numFmtId="0" fontId="6" fillId="2" borderId="1" xfId="0" applyFont="1" applyFill="1" applyBorder="1" applyAlignment="1">
      <alignment vertical="center" wrapText="1"/>
    </xf>
    <xf numFmtId="6" fontId="6" fillId="2" borderId="1" xfId="0" applyNumberFormat="1" applyFont="1" applyFill="1" applyBorder="1" applyAlignment="1">
      <alignment horizontal="right" vertical="center" wrapText="1"/>
    </xf>
    <xf numFmtId="3" fontId="6" fillId="2" borderId="1" xfId="0" applyNumberFormat="1" applyFont="1" applyFill="1" applyBorder="1" applyAlignment="1">
      <alignment horizontal="right" vertical="center" wrapText="1"/>
    </xf>
    <xf numFmtId="0" fontId="6" fillId="2" borderId="1" xfId="0" applyFont="1" applyFill="1" applyBorder="1" applyAlignment="1">
      <alignment horizontal="right" vertical="center" wrapText="1"/>
    </xf>
    <xf numFmtId="5" fontId="6" fillId="2" borderId="1" xfId="0" applyNumberFormat="1" applyFont="1" applyFill="1" applyBorder="1" applyAlignment="1">
      <alignment horizontal="right" vertical="center" wrapText="1"/>
    </xf>
    <xf numFmtId="0" fontId="6"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10" fontId="6" fillId="2" borderId="1" xfId="0" applyNumberFormat="1" applyFont="1" applyFill="1" applyBorder="1" applyAlignment="1">
      <alignment horizontal="center" vertical="center" wrapText="1"/>
    </xf>
    <xf numFmtId="6" fontId="4" fillId="2" borderId="1" xfId="0" applyNumberFormat="1" applyFont="1" applyFill="1" applyBorder="1" applyAlignment="1">
      <alignment horizontal="right" vertical="center" wrapText="1"/>
    </xf>
    <xf numFmtId="0" fontId="4" fillId="2" borderId="1" xfId="0" applyFont="1" applyFill="1" applyBorder="1" applyAlignment="1">
      <alignment horizontal="right" vertical="center" wrapText="1"/>
    </xf>
    <xf numFmtId="15" fontId="3" fillId="2" borderId="1" xfId="0" quotePrefix="1" applyNumberFormat="1" applyFont="1" applyFill="1" applyBorder="1" applyAlignment="1">
      <alignment horizontal="right" vertical="center" wrapText="1"/>
    </xf>
    <xf numFmtId="168" fontId="6" fillId="2" borderId="1" xfId="6" applyNumberFormat="1" applyFont="1" applyFill="1" applyBorder="1" applyAlignment="1">
      <alignment horizontal="right" vertical="center" wrapText="1"/>
    </xf>
    <xf numFmtId="0" fontId="6" fillId="2" borderId="1" xfId="0" applyFont="1" applyFill="1" applyBorder="1" applyAlignment="1">
      <alignment horizontal="left" vertical="center" wrapText="1"/>
    </xf>
    <xf numFmtId="10" fontId="6" fillId="2" borderId="1" xfId="0" applyNumberFormat="1" applyFont="1" applyFill="1" applyBorder="1" applyAlignment="1">
      <alignment horizontal="right" vertical="center" wrapText="1"/>
    </xf>
    <xf numFmtId="0" fontId="4" fillId="0" borderId="0" xfId="0" applyFont="1" applyFill="1" applyProtection="1"/>
    <xf numFmtId="0" fontId="0" fillId="0" borderId="0" xfId="0" applyFill="1" applyProtection="1"/>
    <xf numFmtId="0" fontId="4" fillId="0" borderId="0" xfId="0" applyFont="1" applyAlignment="1" applyProtection="1">
      <alignment horizontal="left" vertical="center" indent="10"/>
      <protection locked="0"/>
    </xf>
    <xf numFmtId="9" fontId="4" fillId="0" borderId="0" xfId="0" applyNumberFormat="1" applyFont="1" applyProtection="1">
      <protection locked="0"/>
    </xf>
    <xf numFmtId="0" fontId="4" fillId="0" borderId="0" xfId="0" applyFont="1" applyAlignment="1" applyProtection="1">
      <alignment vertical="top" wrapText="1"/>
      <protection locked="0"/>
    </xf>
    <xf numFmtId="0" fontId="4" fillId="0" borderId="0" xfId="0" applyFont="1" applyAlignment="1" applyProtection="1">
      <alignment horizontal="left" vertical="top" wrapText="1"/>
      <protection locked="0"/>
    </xf>
    <xf numFmtId="0" fontId="4" fillId="0" borderId="0" xfId="0" applyFont="1" applyAlignment="1" applyProtection="1">
      <alignment horizontal="left" vertical="center" indent="2"/>
      <protection locked="0"/>
    </xf>
    <xf numFmtId="3" fontId="0" fillId="0" borderId="0" xfId="0" applyNumberFormat="1" applyProtection="1">
      <protection locked="0"/>
    </xf>
    <xf numFmtId="0" fontId="3" fillId="2" borderId="0" xfId="0" applyFont="1" applyFill="1" applyProtection="1"/>
    <xf numFmtId="0" fontId="4" fillId="2" borderId="0" xfId="0" applyFont="1" applyFill="1" applyProtection="1"/>
    <xf numFmtId="0" fontId="5" fillId="2" borderId="0" xfId="0" applyFont="1" applyFill="1" applyProtection="1"/>
    <xf numFmtId="0" fontId="4" fillId="2" borderId="0" xfId="0" applyFont="1" applyFill="1" applyAlignment="1" applyProtection="1">
      <alignment vertical="top"/>
    </xf>
    <xf numFmtId="0" fontId="4" fillId="2" borderId="0" xfId="0" applyFont="1" applyFill="1" applyAlignment="1" applyProtection="1">
      <alignment vertical="top" wrapText="1"/>
    </xf>
    <xf numFmtId="0" fontId="4" fillId="2" borderId="0" xfId="0" applyFont="1" applyFill="1" applyAlignment="1" applyProtection="1">
      <alignment wrapText="1"/>
    </xf>
    <xf numFmtId="0" fontId="4" fillId="2" borderId="0" xfId="0" applyFont="1" applyFill="1" applyAlignment="1" applyProtection="1">
      <alignment horizontal="left" vertical="center" indent="5"/>
    </xf>
    <xf numFmtId="9" fontId="4" fillId="2" borderId="0" xfId="0" applyNumberFormat="1" applyFont="1" applyFill="1" applyProtection="1"/>
    <xf numFmtId="0" fontId="4" fillId="2" borderId="0" xfId="0" applyFont="1" applyFill="1" applyAlignment="1" applyProtection="1">
      <alignment horizontal="left" vertical="center" indent="10"/>
    </xf>
    <xf numFmtId="0" fontId="4" fillId="2" borderId="0" xfId="0" applyFont="1" applyFill="1" applyAlignment="1" applyProtection="1">
      <alignment horizontal="left" vertical="top" wrapText="1"/>
    </xf>
    <xf numFmtId="0" fontId="4" fillId="3" borderId="0" xfId="0" applyFont="1" applyFill="1" applyProtection="1"/>
    <xf numFmtId="0" fontId="4" fillId="0" borderId="0" xfId="0" applyFont="1" applyProtection="1"/>
    <xf numFmtId="0" fontId="0" fillId="0" borderId="0" xfId="0" applyProtection="1"/>
    <xf numFmtId="0" fontId="4" fillId="0" borderId="0" xfId="0" applyFont="1" applyFill="1" applyAlignment="1" applyProtection="1">
      <alignment horizontal="left" vertical="center" indent="2"/>
      <protection locked="0"/>
    </xf>
    <xf numFmtId="0" fontId="0" fillId="2" borderId="0" xfId="0" applyFill="1" applyProtection="1"/>
    <xf numFmtId="0" fontId="4" fillId="3" borderId="0" xfId="0" applyFont="1" applyFill="1" applyBorder="1" applyProtection="1"/>
    <xf numFmtId="0" fontId="4" fillId="0" borderId="0" xfId="0" applyFont="1" applyFill="1" applyBorder="1" applyProtection="1"/>
    <xf numFmtId="0" fontId="26" fillId="2" borderId="0" xfId="0" applyFont="1" applyFill="1" applyProtection="1"/>
    <xf numFmtId="0" fontId="8" fillId="2" borderId="0" xfId="0" applyFont="1" applyFill="1" applyProtection="1"/>
    <xf numFmtId="14" fontId="8" fillId="2" borderId="0" xfId="0" applyNumberFormat="1" applyFont="1" applyFill="1" applyProtection="1"/>
    <xf numFmtId="0" fontId="4" fillId="2" borderId="0" xfId="0" quotePrefix="1" applyFont="1" applyFill="1" applyProtection="1"/>
    <xf numFmtId="0" fontId="20" fillId="2" borderId="0" xfId="0" applyFont="1" applyFill="1" applyProtection="1"/>
    <xf numFmtId="0" fontId="27" fillId="2" borderId="0" xfId="0" applyFont="1" applyFill="1" applyProtection="1"/>
    <xf numFmtId="0" fontId="8" fillId="0" borderId="0" xfId="0" applyFont="1" applyProtection="1">
      <protection locked="0"/>
    </xf>
    <xf numFmtId="167" fontId="8" fillId="0" borderId="0" xfId="0" applyNumberFormat="1" applyFont="1" applyProtection="1">
      <protection locked="0"/>
    </xf>
    <xf numFmtId="14" fontId="3" fillId="0" borderId="0" xfId="0" applyNumberFormat="1" applyFont="1" applyProtection="1">
      <protection locked="0"/>
    </xf>
    <xf numFmtId="167" fontId="29" fillId="0" borderId="0" xfId="6" applyNumberFormat="1" applyFont="1" applyProtection="1">
      <protection locked="0"/>
    </xf>
    <xf numFmtId="167" fontId="4" fillId="0" borderId="0" xfId="6" applyNumberFormat="1" applyFont="1" applyProtection="1">
      <protection locked="0"/>
    </xf>
    <xf numFmtId="10" fontId="29" fillId="0" borderId="0" xfId="8" applyNumberFormat="1" applyFont="1" applyProtection="1">
      <protection locked="0"/>
    </xf>
    <xf numFmtId="2" fontId="29" fillId="0" borderId="0" xfId="5" applyNumberFormat="1" applyFont="1" applyAlignment="1" applyProtection="1">
      <alignment vertical="top"/>
      <protection locked="0"/>
    </xf>
    <xf numFmtId="0" fontId="6" fillId="0" borderId="0" xfId="5" applyFont="1" applyProtection="1">
      <protection locked="0"/>
    </xf>
    <xf numFmtId="2" fontId="6" fillId="0" borderId="0" xfId="5" applyNumberFormat="1" applyFont="1" applyAlignment="1" applyProtection="1">
      <alignment vertical="top"/>
      <protection locked="0"/>
    </xf>
    <xf numFmtId="0" fontId="30" fillId="0" borderId="0" xfId="0" applyFont="1" applyProtection="1">
      <protection locked="0"/>
    </xf>
    <xf numFmtId="167" fontId="26" fillId="0" borderId="0" xfId="0" applyNumberFormat="1" applyFont="1" applyProtection="1">
      <protection locked="0"/>
    </xf>
    <xf numFmtId="167" fontId="31" fillId="0" borderId="0" xfId="6" applyNumberFormat="1" applyFont="1" applyProtection="1">
      <protection locked="0"/>
    </xf>
    <xf numFmtId="167" fontId="31" fillId="0" borderId="0" xfId="0" applyNumberFormat="1" applyFont="1" applyProtection="1">
      <protection locked="0"/>
    </xf>
    <xf numFmtId="167" fontId="3" fillId="0" borderId="8" xfId="0" applyNumberFormat="1" applyFont="1" applyBorder="1" applyProtection="1">
      <protection locked="0"/>
    </xf>
    <xf numFmtId="0" fontId="4" fillId="0" borderId="0" xfId="0" applyFont="1"/>
    <xf numFmtId="169" fontId="0" fillId="0" borderId="0" xfId="0" applyNumberFormat="1" applyProtection="1">
      <protection locked="0"/>
    </xf>
    <xf numFmtId="43" fontId="0" fillId="0" borderId="0" xfId="0" applyNumberFormat="1"/>
    <xf numFmtId="43" fontId="2" fillId="0" borderId="0" xfId="0" applyNumberFormat="1" applyFont="1"/>
    <xf numFmtId="43" fontId="2" fillId="0" borderId="0" xfId="0" applyNumberFormat="1" applyFont="1" applyProtection="1">
      <protection locked="0"/>
    </xf>
    <xf numFmtId="9" fontId="0" fillId="4" borderId="0" xfId="0" applyNumberFormat="1" applyFill="1"/>
    <xf numFmtId="0" fontId="1" fillId="0" borderId="0" xfId="9" applyProtection="1">
      <protection locked="0"/>
    </xf>
    <xf numFmtId="0" fontId="32" fillId="0" borderId="4" xfId="0" applyFont="1" applyBorder="1"/>
    <xf numFmtId="0" fontId="32" fillId="0" borderId="4" xfId="0" applyFont="1" applyBorder="1" applyAlignment="1">
      <alignment horizontal="center" wrapText="1"/>
    </xf>
    <xf numFmtId="6" fontId="0" fillId="0" borderId="0" xfId="0" applyNumberFormat="1"/>
    <xf numFmtId="10" fontId="0" fillId="0" borderId="0" xfId="0" applyNumberFormat="1"/>
    <xf numFmtId="3" fontId="0" fillId="0" borderId="0" xfId="0" applyNumberFormat="1" applyAlignment="1">
      <alignment horizontal="center"/>
    </xf>
    <xf numFmtId="0" fontId="0" fillId="0" borderId="0" xfId="0" applyAlignment="1">
      <alignment horizontal="center"/>
    </xf>
    <xf numFmtId="0" fontId="33" fillId="0" borderId="0" xfId="0" applyFont="1" applyAlignment="1">
      <alignment horizontal="center"/>
    </xf>
    <xf numFmtId="0" fontId="34" fillId="0" borderId="0" xfId="0" applyFont="1" applyAlignment="1">
      <alignment horizontal="center"/>
    </xf>
    <xf numFmtId="0" fontId="34" fillId="0" borderId="0" xfId="0" applyFont="1"/>
    <xf numFmtId="0" fontId="1" fillId="0" borderId="0" xfId="9"/>
    <xf numFmtId="167" fontId="1" fillId="0" borderId="0" xfId="10" applyNumberFormat="1" applyFont="1" applyProtection="1">
      <protection locked="0"/>
    </xf>
    <xf numFmtId="167" fontId="1" fillId="0" borderId="0" xfId="9" applyNumberFormat="1" applyProtection="1">
      <protection locked="0"/>
    </xf>
    <xf numFmtId="0" fontId="21" fillId="0" borderId="0" xfId="0" applyFont="1"/>
    <xf numFmtId="0" fontId="6" fillId="0" borderId="0" xfId="0" applyFont="1"/>
    <xf numFmtId="14" fontId="6" fillId="0" borderId="4" xfId="0" applyNumberFormat="1" applyFont="1" applyBorder="1"/>
    <xf numFmtId="167" fontId="6" fillId="0" borderId="0" xfId="0" applyNumberFormat="1" applyFont="1"/>
    <xf numFmtId="167" fontId="6" fillId="0" borderId="4" xfId="0" applyNumberFormat="1" applyFont="1" applyBorder="1"/>
    <xf numFmtId="6" fontId="6" fillId="0" borderId="0" xfId="0" applyNumberFormat="1" applyFont="1"/>
    <xf numFmtId="0" fontId="7" fillId="0" borderId="0" xfId="0" applyFont="1" applyAlignment="1" applyProtection="1">
      <alignment horizontal="right"/>
      <protection locked="0"/>
    </xf>
    <xf numFmtId="167" fontId="7" fillId="0" borderId="0" xfId="0" applyNumberFormat="1" applyFont="1" applyProtection="1">
      <protection locked="0"/>
    </xf>
    <xf numFmtId="10" fontId="6" fillId="0" borderId="0" xfId="0" applyNumberFormat="1" applyFont="1"/>
    <xf numFmtId="10" fontId="26" fillId="0" borderId="0" xfId="0" applyNumberFormat="1" applyFont="1"/>
    <xf numFmtId="0" fontId="3" fillId="0" borderId="0" xfId="0" applyFont="1" applyAlignment="1">
      <alignment vertical="center" wrapText="1"/>
    </xf>
    <xf numFmtId="0" fontId="4" fillId="0" borderId="0" xfId="0" applyFont="1" applyAlignment="1">
      <alignment vertical="center" wrapText="1"/>
    </xf>
    <xf numFmtId="167" fontId="4" fillId="0" borderId="0" xfId="6" applyNumberFormat="1" applyFont="1" applyFill="1" applyBorder="1" applyAlignment="1">
      <alignment vertical="center" wrapText="1"/>
    </xf>
    <xf numFmtId="0" fontId="35" fillId="0" borderId="0" xfId="0" applyFont="1" applyProtection="1">
      <protection locked="0"/>
    </xf>
    <xf numFmtId="0" fontId="4" fillId="0" borderId="0" xfId="0" applyFont="1" applyAlignment="1">
      <alignment horizontal="left" vertical="center" wrapText="1" indent="2"/>
    </xf>
    <xf numFmtId="0" fontId="3" fillId="0" borderId="0" xfId="0" applyFont="1" applyAlignment="1">
      <alignment horizontal="left" vertical="center"/>
    </xf>
    <xf numFmtId="14" fontId="6" fillId="0" borderId="0" xfId="0" applyNumberFormat="1" applyFont="1"/>
    <xf numFmtId="43" fontId="6" fillId="0" borderId="0" xfId="0" applyNumberFormat="1" applyFont="1"/>
    <xf numFmtId="0" fontId="26" fillId="0" borderId="0" xfId="0" applyFont="1" applyAlignment="1" applyProtection="1">
      <alignment horizontal="right"/>
      <protection locked="0"/>
    </xf>
    <xf numFmtId="167" fontId="4" fillId="0" borderId="4" xfId="6" applyNumberFormat="1" applyFont="1" applyFill="1" applyBorder="1" applyAlignment="1">
      <alignment vertical="center" wrapText="1"/>
    </xf>
    <xf numFmtId="0" fontId="4" fillId="0" borderId="4" xfId="0" applyFont="1" applyBorder="1" applyProtection="1">
      <protection locked="0"/>
    </xf>
    <xf numFmtId="167" fontId="4" fillId="0" borderId="4" xfId="0" applyNumberFormat="1" applyFont="1" applyBorder="1" applyProtection="1">
      <protection locked="0"/>
    </xf>
    <xf numFmtId="6" fontId="4" fillId="0" borderId="0" xfId="0" applyNumberFormat="1" applyFont="1" applyProtection="1">
      <protection locked="0"/>
    </xf>
    <xf numFmtId="167" fontId="3" fillId="0" borderId="4" xfId="0" applyNumberFormat="1" applyFont="1" applyBorder="1" applyProtection="1">
      <protection locked="0"/>
    </xf>
    <xf numFmtId="10" fontId="4" fillId="0" borderId="0" xfId="0" applyNumberFormat="1" applyFont="1" applyProtection="1">
      <protection locked="0"/>
    </xf>
    <xf numFmtId="10" fontId="6" fillId="0" borderId="0" xfId="8" applyNumberFormat="1" applyFont="1" applyProtection="1">
      <protection locked="0"/>
    </xf>
    <xf numFmtId="0" fontId="4" fillId="0" borderId="0" xfId="0" quotePrefix="1" applyFont="1" applyProtection="1">
      <protection locked="0"/>
    </xf>
    <xf numFmtId="37" fontId="6" fillId="0" borderId="0" xfId="6" applyNumberFormat="1" applyFont="1" applyFill="1" applyBorder="1" applyAlignment="1">
      <alignment vertical="center" wrapText="1"/>
    </xf>
    <xf numFmtId="0" fontId="4" fillId="0" borderId="4" xfId="0" applyFont="1" applyBorder="1" applyAlignment="1">
      <alignment vertical="center" wrapText="1"/>
    </xf>
    <xf numFmtId="0" fontId="4" fillId="0" borderId="0" xfId="0" applyFont="1" applyAlignment="1" applyProtection="1">
      <alignment horizontal="right"/>
      <protection locked="0"/>
    </xf>
    <xf numFmtId="10" fontId="4" fillId="0" borderId="0" xfId="8" applyNumberFormat="1" applyFont="1" applyFill="1" applyBorder="1" applyAlignment="1">
      <alignment vertical="center" wrapText="1"/>
    </xf>
    <xf numFmtId="166" fontId="4" fillId="0" borderId="0" xfId="8" applyNumberFormat="1" applyFont="1" applyFill="1" applyBorder="1" applyAlignment="1">
      <alignment vertical="center" wrapText="1"/>
    </xf>
    <xf numFmtId="0" fontId="7" fillId="0" borderId="0" xfId="0" applyFont="1" applyProtection="1">
      <protection locked="0"/>
    </xf>
    <xf numFmtId="0" fontId="4" fillId="2" borderId="0" xfId="0" applyFont="1" applyFill="1" applyAlignment="1">
      <alignment horizontal="left" vertical="center" wrapText="1"/>
    </xf>
    <xf numFmtId="0" fontId="20" fillId="2" borderId="0" xfId="0" applyFont="1" applyFill="1" applyAlignment="1">
      <alignment horizontal="left" vertical="center" wrapText="1"/>
    </xf>
    <xf numFmtId="0" fontId="4" fillId="2" borderId="0" xfId="0" applyFont="1" applyFill="1" applyAlignment="1">
      <alignment horizontal="left" vertical="top" wrapText="1"/>
    </xf>
    <xf numFmtId="0" fontId="28" fillId="0" borderId="0" xfId="0" applyFont="1" applyAlignment="1" applyProtection="1">
      <alignment horizontal="center"/>
      <protection locked="0"/>
    </xf>
    <xf numFmtId="0" fontId="4" fillId="2" borderId="5" xfId="0" applyFont="1" applyFill="1" applyBorder="1" applyAlignment="1">
      <alignment horizontal="left" vertical="center" wrapText="1"/>
    </xf>
    <xf numFmtId="0" fontId="4" fillId="2" borderId="7" xfId="0" applyFont="1" applyFill="1" applyBorder="1" applyAlignment="1">
      <alignment horizontal="left" vertical="center" wrapText="1"/>
    </xf>
    <xf numFmtId="0" fontId="7" fillId="2" borderId="0" xfId="0" applyFont="1" applyFill="1" applyAlignment="1" applyProtection="1">
      <alignment horizontal="left" vertical="top" wrapText="1"/>
    </xf>
    <xf numFmtId="0" fontId="4" fillId="2" borderId="0" xfId="0" applyFont="1" applyFill="1" applyAlignment="1" applyProtection="1">
      <alignment horizontal="left" vertical="top" wrapText="1"/>
    </xf>
    <xf numFmtId="0" fontId="21" fillId="2" borderId="1" xfId="0" applyFont="1" applyFill="1" applyBorder="1" applyAlignment="1">
      <alignment vertical="center" wrapText="1"/>
    </xf>
    <xf numFmtId="10" fontId="6" fillId="2" borderId="1" xfId="0" applyNumberFormat="1" applyFont="1" applyFill="1" applyBorder="1" applyAlignment="1">
      <alignment horizontal="center" vertical="center" wrapText="1"/>
    </xf>
    <xf numFmtId="0" fontId="6" fillId="2" borderId="0" xfId="0" applyFont="1" applyFill="1" applyBorder="1" applyAlignment="1">
      <alignment vertical="center" wrapText="1"/>
    </xf>
    <xf numFmtId="0" fontId="7" fillId="2" borderId="0" xfId="0" applyFont="1" applyFill="1" applyAlignment="1">
      <alignment horizontal="left" vertical="top" wrapText="1"/>
    </xf>
  </cellXfs>
  <cellStyles count="11">
    <cellStyle name="Comma" xfId="6" builtinId="3"/>
    <cellStyle name="Comma 2" xfId="10" xr:uid="{E540CF2C-6738-409E-8166-63F29E0E0CA2}"/>
    <cellStyle name="Comma 3" xfId="4" xr:uid="{FE5EB021-12EE-4296-B7E2-022D4FD702E8}"/>
    <cellStyle name="Currency" xfId="7" builtinId="4"/>
    <cellStyle name="Currency 3" xfId="2" xr:uid="{E7517D01-C2DF-4347-8236-21C2F9A2CA6F}"/>
    <cellStyle name="Normal" xfId="0" builtinId="0"/>
    <cellStyle name="Normal 2" xfId="5" xr:uid="{9C5DD0AF-5E27-46F3-8638-C64EFFDC0FFA}"/>
    <cellStyle name="Normal 3" xfId="9" xr:uid="{81E4458A-09FC-43A4-A05D-DFFBB4A1A077}"/>
    <cellStyle name="Normal 5" xfId="1" xr:uid="{D3579D98-4001-4C9A-8764-BE0A87A619F3}"/>
    <cellStyle name="Percent" xfId="8" builtinId="5"/>
    <cellStyle name="Percent 3" xfId="3" xr:uid="{48C6A782-445B-4244-BE5B-623BDC62B553}"/>
  </cellStyles>
  <dxfs count="0"/>
  <tableStyles count="0" defaultTableStyle="TableStyleMedium2" defaultPivotStyle="PivotStyleLight16"/>
  <colors>
    <mruColors>
      <color rgb="FF9BC2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aul\Dropbox\Documents\Paul\SOA%20Exam%20Committee\2017\Dec%202017%20-%20San%20Francisco\DA_Retirement_Case_Study_2018%20FINAL%201218201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 Canada"/>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51A90-8468-4E98-8CE9-996CE9B94B66}">
  <dimension ref="A1:V48"/>
  <sheetViews>
    <sheetView tabSelected="1" zoomScale="75" zoomScaleNormal="75" workbookViewId="0">
      <selection activeCell="D3" sqref="D3"/>
    </sheetView>
  </sheetViews>
  <sheetFormatPr defaultColWidth="9.109375" defaultRowHeight="15.6" x14ac:dyDescent="0.3"/>
  <cols>
    <col min="1" max="1" width="3.88671875" style="42" customWidth="1"/>
    <col min="2" max="2" width="27.5546875" style="42" customWidth="1"/>
    <col min="3" max="4" width="17.109375" style="42" bestFit="1" customWidth="1"/>
    <col min="5" max="5" width="14.44140625" style="42" customWidth="1"/>
    <col min="6" max="6" width="6.33203125" style="42" customWidth="1"/>
    <col min="7" max="7" width="17.109375" style="42" bestFit="1" customWidth="1"/>
    <col min="8" max="8" width="9" style="42" customWidth="1"/>
    <col min="9" max="9" width="1" style="41" customWidth="1"/>
    <col min="10" max="10" width="4" style="85" customWidth="1"/>
    <col min="11" max="12" width="8.6640625" style="85"/>
    <col min="13" max="13" width="14.88671875" style="85" customWidth="1"/>
    <col min="14" max="14" width="11.88671875" style="85" bestFit="1" customWidth="1"/>
    <col min="15" max="15" width="13.109375" style="85" bestFit="1" customWidth="1"/>
    <col min="16" max="16" width="18.5546875" style="85" customWidth="1"/>
    <col min="17" max="17" width="11" style="85" bestFit="1" customWidth="1"/>
    <col min="18" max="20" width="8.6640625" style="85"/>
    <col min="21" max="21" width="9.88671875" style="85" bestFit="1" customWidth="1"/>
    <col min="22" max="22" width="1" style="81" customWidth="1"/>
    <col min="23" max="16384" width="9.109375" style="144"/>
  </cols>
  <sheetData>
    <row r="1" spans="1:22" s="143" customFormat="1" x14ac:dyDescent="0.3">
      <c r="A1" s="47" t="str">
        <f>'Question 5'!A1</f>
        <v>Exam RETDAU:  Fall 2022</v>
      </c>
      <c r="B1" s="42"/>
      <c r="C1" s="42"/>
      <c r="D1" s="42"/>
      <c r="E1" s="42"/>
      <c r="F1" s="42"/>
      <c r="G1" s="42"/>
      <c r="H1" s="42"/>
      <c r="I1" s="41"/>
      <c r="J1" s="47" t="str">
        <f>A1</f>
        <v>Exam RETDAU:  Fall 2022</v>
      </c>
      <c r="K1" s="42"/>
      <c r="L1" s="42"/>
      <c r="M1" s="42"/>
      <c r="N1" s="42"/>
      <c r="O1" s="42"/>
      <c r="P1" s="42"/>
      <c r="Q1" s="42"/>
      <c r="R1" s="42"/>
      <c r="S1" s="42"/>
      <c r="T1" s="42"/>
      <c r="U1" s="42"/>
      <c r="V1" s="81"/>
    </row>
    <row r="2" spans="1:22" s="143" customFormat="1" x14ac:dyDescent="0.3">
      <c r="A2" s="47" t="s">
        <v>0</v>
      </c>
      <c r="B2" s="42"/>
      <c r="C2" s="42"/>
      <c r="D2" s="42"/>
      <c r="E2" s="42"/>
      <c r="F2" s="42"/>
      <c r="G2" s="42"/>
      <c r="H2" s="42"/>
      <c r="I2" s="41"/>
      <c r="J2" s="47" t="str">
        <f>A2</f>
        <v>Design and Accounting Exam – U.S.</v>
      </c>
      <c r="K2" s="42"/>
      <c r="L2" s="42"/>
      <c r="M2" s="42"/>
      <c r="N2" s="42"/>
      <c r="O2" s="42"/>
      <c r="P2" s="42"/>
      <c r="Q2" s="42"/>
      <c r="R2" s="42"/>
      <c r="S2" s="42"/>
      <c r="T2" s="42"/>
      <c r="U2" s="42"/>
      <c r="V2" s="81"/>
    </row>
    <row r="3" spans="1:22" s="143" customFormat="1" x14ac:dyDescent="0.3">
      <c r="A3" s="47" t="s">
        <v>305</v>
      </c>
      <c r="B3" s="42"/>
      <c r="C3" s="42"/>
      <c r="D3" s="42"/>
      <c r="E3" s="42"/>
      <c r="F3" s="42"/>
      <c r="G3" s="42"/>
      <c r="H3" s="42"/>
      <c r="I3" s="41"/>
      <c r="J3" s="47" t="str">
        <f>A3</f>
        <v>Question 2</v>
      </c>
      <c r="K3" s="42"/>
      <c r="L3" s="42"/>
      <c r="M3" s="42"/>
      <c r="N3" s="42"/>
      <c r="O3" s="42"/>
      <c r="P3" s="42"/>
      <c r="Q3" s="42"/>
      <c r="R3" s="42"/>
      <c r="S3" s="42"/>
      <c r="T3" s="42"/>
      <c r="U3" s="42"/>
      <c r="V3" s="81"/>
    </row>
    <row r="4" spans="1:22" s="143" customFormat="1" x14ac:dyDescent="0.3">
      <c r="A4" s="42"/>
      <c r="B4" s="42"/>
      <c r="C4" s="42"/>
      <c r="D4" s="42"/>
      <c r="E4" s="42"/>
      <c r="F4" s="42"/>
      <c r="G4" s="42"/>
      <c r="H4" s="42"/>
      <c r="I4" s="41"/>
      <c r="J4" s="42"/>
      <c r="K4" s="42"/>
      <c r="L4" s="42"/>
      <c r="M4" s="42"/>
      <c r="N4" s="42"/>
      <c r="O4" s="42"/>
      <c r="P4" s="42"/>
      <c r="Q4" s="42"/>
      <c r="R4" s="42"/>
      <c r="S4" s="42"/>
      <c r="T4" s="42"/>
      <c r="U4" s="42"/>
      <c r="V4" s="81"/>
    </row>
    <row r="5" spans="1:22" s="143" customFormat="1" ht="16.2" x14ac:dyDescent="0.35">
      <c r="A5" s="106" t="s">
        <v>304</v>
      </c>
      <c r="B5" s="42"/>
      <c r="C5" s="75"/>
      <c r="D5" s="75"/>
      <c r="E5" s="75"/>
      <c r="F5" s="75"/>
      <c r="G5" s="75"/>
      <c r="H5" s="42"/>
      <c r="I5" s="41"/>
      <c r="J5" s="46" t="s">
        <v>1</v>
      </c>
      <c r="K5" s="42"/>
      <c r="L5" s="42"/>
      <c r="M5" s="42"/>
      <c r="N5" s="42"/>
      <c r="O5" s="42"/>
      <c r="P5" s="42"/>
      <c r="Q5" s="42"/>
      <c r="R5" s="42"/>
      <c r="S5" s="42"/>
      <c r="T5" s="42"/>
      <c r="U5" s="42"/>
      <c r="V5" s="81"/>
    </row>
    <row r="6" spans="1:22" s="143" customFormat="1" x14ac:dyDescent="0.3">
      <c r="A6" s="107"/>
      <c r="B6" s="42"/>
      <c r="C6" s="42"/>
      <c r="D6" s="42"/>
      <c r="E6" s="42"/>
      <c r="F6" s="42"/>
      <c r="G6" s="42"/>
      <c r="H6" s="42"/>
      <c r="I6" s="41"/>
      <c r="J6" s="42"/>
      <c r="K6" s="42"/>
      <c r="L6" s="42"/>
      <c r="M6" s="42"/>
      <c r="N6" s="42"/>
      <c r="O6" s="42"/>
      <c r="P6" s="42"/>
      <c r="Q6" s="42"/>
      <c r="R6" s="42"/>
      <c r="S6" s="42"/>
      <c r="T6" s="42"/>
      <c r="U6" s="42"/>
      <c r="V6" s="81"/>
    </row>
    <row r="7" spans="1:22" s="143" customFormat="1" ht="15.6" customHeight="1" x14ac:dyDescent="0.3">
      <c r="A7" s="111" t="s">
        <v>303</v>
      </c>
      <c r="B7" s="105"/>
      <c r="C7" s="112"/>
      <c r="D7" s="112"/>
      <c r="E7" s="48"/>
      <c r="F7" s="113">
        <v>0.3</v>
      </c>
      <c r="G7" s="42" t="s">
        <v>302</v>
      </c>
      <c r="H7" s="42"/>
      <c r="I7" s="41"/>
      <c r="J7" s="42" t="s">
        <v>301</v>
      </c>
      <c r="K7" s="42" t="s">
        <v>307</v>
      </c>
      <c r="L7" s="42"/>
      <c r="M7" s="42"/>
      <c r="N7" s="42"/>
      <c r="O7" s="42"/>
      <c r="P7" s="42"/>
      <c r="Q7" s="70"/>
      <c r="R7" s="70"/>
      <c r="S7" s="70"/>
      <c r="T7" s="70"/>
      <c r="U7" s="70"/>
      <c r="V7" s="81"/>
    </row>
    <row r="8" spans="1:22" s="143" customFormat="1" x14ac:dyDescent="0.3">
      <c r="A8" s="111" t="s">
        <v>300</v>
      </c>
      <c r="B8" s="105"/>
      <c r="C8" s="104"/>
      <c r="D8" s="103"/>
      <c r="E8" s="42"/>
      <c r="F8" s="113">
        <v>0.3</v>
      </c>
      <c r="G8" s="42"/>
      <c r="H8" s="42"/>
      <c r="I8" s="41"/>
      <c r="J8" s="42"/>
      <c r="K8" s="42"/>
      <c r="L8" s="42"/>
      <c r="M8" s="42"/>
      <c r="N8" s="42"/>
      <c r="O8" s="42"/>
      <c r="P8" s="42"/>
      <c r="Q8" s="69"/>
      <c r="R8" s="69"/>
      <c r="S8" s="69"/>
      <c r="T8" s="69"/>
      <c r="U8" s="69"/>
      <c r="V8" s="81"/>
    </row>
    <row r="9" spans="1:22" s="143" customFormat="1" ht="18.600000000000001" customHeight="1" x14ac:dyDescent="0.3">
      <c r="A9" s="111" t="s">
        <v>299</v>
      </c>
      <c r="B9" s="105"/>
      <c r="C9" s="104"/>
      <c r="D9" s="103"/>
      <c r="E9" s="42"/>
      <c r="F9" s="42"/>
      <c r="G9" s="42"/>
      <c r="H9" s="42"/>
      <c r="I9" s="41"/>
      <c r="J9" s="42"/>
      <c r="K9" s="42" t="s">
        <v>3</v>
      </c>
      <c r="L9" s="75"/>
      <c r="M9" s="75"/>
      <c r="N9" s="75"/>
      <c r="O9" s="75"/>
      <c r="P9" s="75"/>
      <c r="Q9" s="75"/>
      <c r="R9" s="75"/>
      <c r="S9" s="75"/>
      <c r="T9" s="75"/>
      <c r="U9" s="75"/>
      <c r="V9" s="81"/>
    </row>
    <row r="10" spans="1:22" s="143" customFormat="1" x14ac:dyDescent="0.3">
      <c r="A10" s="110"/>
      <c r="B10" s="105"/>
      <c r="C10" s="104"/>
      <c r="D10" s="103"/>
      <c r="E10" s="42"/>
      <c r="F10" s="42"/>
      <c r="G10" s="42"/>
      <c r="H10" s="42"/>
      <c r="I10" s="41"/>
      <c r="J10" s="42"/>
      <c r="K10" s="82"/>
      <c r="L10" s="75"/>
      <c r="M10" s="75"/>
      <c r="N10" s="75"/>
      <c r="O10" s="75"/>
      <c r="P10" s="75"/>
      <c r="Q10" s="75"/>
      <c r="R10" s="75"/>
      <c r="S10" s="75"/>
      <c r="T10" s="75"/>
      <c r="U10" s="75"/>
      <c r="V10" s="81"/>
    </row>
    <row r="11" spans="1:22" s="143" customFormat="1" ht="15.6" customHeight="1" x14ac:dyDescent="0.3">
      <c r="A11" s="241" t="s">
        <v>298</v>
      </c>
      <c r="B11" s="241"/>
      <c r="C11" s="241"/>
      <c r="D11" s="241"/>
      <c r="E11" s="241"/>
      <c r="F11" s="241"/>
      <c r="G11" s="109">
        <v>0.8</v>
      </c>
      <c r="H11" s="42"/>
      <c r="I11" s="41"/>
      <c r="J11" s="85"/>
      <c r="K11" s="145"/>
      <c r="L11" s="85"/>
      <c r="M11" s="85"/>
      <c r="N11" s="85"/>
      <c r="O11" s="85"/>
      <c r="P11" s="146"/>
      <c r="Q11" s="147"/>
      <c r="R11" s="147"/>
      <c r="S11" s="147"/>
      <c r="T11" s="147"/>
      <c r="U11" s="147"/>
      <c r="V11" s="81"/>
    </row>
    <row r="12" spans="1:22" s="143" customFormat="1" x14ac:dyDescent="0.3">
      <c r="A12" s="241"/>
      <c r="B12" s="241"/>
      <c r="C12" s="241"/>
      <c r="D12" s="241"/>
      <c r="E12" s="241"/>
      <c r="F12" s="241"/>
      <c r="G12" s="108"/>
      <c r="H12" s="42"/>
      <c r="I12" s="41"/>
      <c r="J12" s="85"/>
      <c r="K12" s="85"/>
      <c r="L12" s="85"/>
      <c r="M12" s="176">
        <v>44562</v>
      </c>
      <c r="N12" s="119"/>
      <c r="O12" s="119" t="s">
        <v>344</v>
      </c>
      <c r="P12" s="119" t="s">
        <v>345</v>
      </c>
      <c r="Q12" s="90"/>
      <c r="R12" s="85"/>
      <c r="S12" s="85"/>
      <c r="T12" s="148"/>
      <c r="U12" s="148"/>
      <c r="V12" s="81"/>
    </row>
    <row r="13" spans="1:22" s="143" customFormat="1" x14ac:dyDescent="0.3">
      <c r="A13" s="107"/>
      <c r="B13" s="105"/>
      <c r="C13" s="104"/>
      <c r="D13" s="103"/>
      <c r="E13" s="42"/>
      <c r="F13" s="42"/>
      <c r="G13" s="42"/>
      <c r="H13" s="42"/>
      <c r="I13" s="41"/>
      <c r="J13" s="85"/>
      <c r="K13" s="145"/>
      <c r="L13" s="119" t="s">
        <v>346</v>
      </c>
      <c r="M13" s="177">
        <f>'Retiree Health Case Study'!H47</f>
        <v>-1507400</v>
      </c>
      <c r="N13" s="85"/>
      <c r="O13" s="120">
        <f>M13-M35-M36-M42</f>
        <v>-1557927</v>
      </c>
      <c r="P13" s="120">
        <f>ROUND(O13*(1-F7)*G11,0)</f>
        <v>-872439</v>
      </c>
      <c r="Q13" s="90"/>
      <c r="R13" s="85"/>
      <c r="S13" s="85"/>
      <c r="T13" s="148"/>
      <c r="U13" s="148"/>
      <c r="V13" s="81"/>
    </row>
    <row r="14" spans="1:22" s="143" customFormat="1" x14ac:dyDescent="0.3">
      <c r="A14" s="106" t="s">
        <v>297</v>
      </c>
      <c r="B14" s="240" t="s">
        <v>306</v>
      </c>
      <c r="C14" s="240"/>
      <c r="D14" s="240"/>
      <c r="E14" s="240"/>
      <c r="F14" s="240"/>
      <c r="G14" s="240"/>
      <c r="H14" s="42"/>
      <c r="I14" s="41"/>
      <c r="J14" s="85"/>
      <c r="K14" s="85"/>
      <c r="L14" s="119" t="s">
        <v>347</v>
      </c>
      <c r="M14" s="178">
        <v>0</v>
      </c>
      <c r="N14" s="85"/>
      <c r="O14" s="178">
        <v>0</v>
      </c>
      <c r="P14" s="178">
        <v>0</v>
      </c>
      <c r="Q14" s="90"/>
      <c r="R14" s="85"/>
      <c r="S14" s="85"/>
      <c r="T14" s="147"/>
      <c r="U14" s="147"/>
      <c r="V14" s="81"/>
    </row>
    <row r="15" spans="1:22" s="143" customFormat="1" x14ac:dyDescent="0.3">
      <c r="A15" s="106"/>
      <c r="B15" s="240"/>
      <c r="C15" s="240"/>
      <c r="D15" s="240"/>
      <c r="E15" s="240"/>
      <c r="F15" s="240"/>
      <c r="G15" s="240"/>
      <c r="H15" s="42"/>
      <c r="I15" s="41"/>
      <c r="J15" s="85"/>
      <c r="K15" s="145"/>
      <c r="L15" s="119" t="s">
        <v>348</v>
      </c>
      <c r="M15" s="178">
        <f>M13+M14</f>
        <v>-1507400</v>
      </c>
      <c r="N15" s="85"/>
      <c r="O15" s="178">
        <f>O13+O14</f>
        <v>-1557927</v>
      </c>
      <c r="P15" s="178">
        <f>P13+P14</f>
        <v>-872439</v>
      </c>
      <c r="Q15" s="90"/>
      <c r="R15" s="85"/>
      <c r="S15" s="85"/>
      <c r="T15" s="85"/>
      <c r="U15" s="85"/>
      <c r="V15" s="81"/>
    </row>
    <row r="16" spans="1:22" s="143" customFormat="1" x14ac:dyDescent="0.3">
      <c r="A16" s="106"/>
      <c r="B16" s="106"/>
      <c r="C16" s="104"/>
      <c r="D16" s="103"/>
      <c r="E16" s="42"/>
      <c r="F16" s="42"/>
      <c r="G16" s="42"/>
      <c r="H16" s="42"/>
      <c r="I16" s="41"/>
      <c r="J16" s="85"/>
      <c r="K16" s="149"/>
      <c r="L16" s="119"/>
      <c r="M16" s="178"/>
      <c r="N16" s="85"/>
      <c r="O16" s="85"/>
      <c r="P16" s="85"/>
      <c r="Q16" s="90"/>
      <c r="R16" s="85"/>
      <c r="S16" s="85"/>
      <c r="T16" s="85"/>
      <c r="U16" s="85"/>
      <c r="V16" s="81"/>
    </row>
    <row r="17" spans="1:22" s="143" customFormat="1" x14ac:dyDescent="0.3">
      <c r="A17" s="42"/>
      <c r="B17" s="106" t="s">
        <v>3</v>
      </c>
      <c r="C17" s="104"/>
      <c r="D17" s="103"/>
      <c r="E17" s="42"/>
      <c r="F17" s="42"/>
      <c r="G17" s="42"/>
      <c r="H17" s="42"/>
      <c r="I17" s="41"/>
      <c r="J17" s="85"/>
      <c r="K17" s="149"/>
      <c r="L17" s="119" t="s">
        <v>349</v>
      </c>
      <c r="M17" s="178">
        <v>0</v>
      </c>
      <c r="N17" s="85"/>
      <c r="O17" s="85">
        <v>0</v>
      </c>
      <c r="P17" s="120">
        <f>O13-P13</f>
        <v>-685488</v>
      </c>
      <c r="Q17" s="90"/>
      <c r="R17" s="85"/>
      <c r="S17" s="85"/>
      <c r="T17" s="85"/>
      <c r="U17" s="85"/>
      <c r="V17" s="81"/>
    </row>
    <row r="18" spans="1:22" s="143" customFormat="1" x14ac:dyDescent="0.3">
      <c r="A18" s="42"/>
      <c r="B18" s="105"/>
      <c r="C18" s="104"/>
      <c r="D18" s="103"/>
      <c r="E18" s="42"/>
      <c r="F18" s="42"/>
      <c r="G18" s="42"/>
      <c r="H18" s="42"/>
      <c r="I18" s="41"/>
      <c r="J18" s="85"/>
      <c r="K18" s="85"/>
      <c r="L18" s="119" t="s">
        <v>350</v>
      </c>
      <c r="M18" s="177">
        <f>'Retiree Health Case Study'!H49</f>
        <v>-1100993</v>
      </c>
      <c r="N18" s="85"/>
      <c r="O18" s="120">
        <f>M18-M39</f>
        <v>-1061661</v>
      </c>
      <c r="P18" s="120">
        <f>O18</f>
        <v>-1061661</v>
      </c>
      <c r="Q18" s="90"/>
      <c r="R18" s="85"/>
      <c r="S18" s="85"/>
      <c r="T18" s="85"/>
      <c r="U18" s="85"/>
      <c r="V18" s="81"/>
    </row>
    <row r="19" spans="1:22" s="143" customFormat="1" ht="16.2" x14ac:dyDescent="0.3">
      <c r="A19" s="42"/>
      <c r="B19" s="43" t="s">
        <v>4</v>
      </c>
      <c r="C19" s="104"/>
      <c r="D19" s="103"/>
      <c r="E19" s="42"/>
      <c r="F19" s="42"/>
      <c r="G19" s="42"/>
      <c r="H19" s="42"/>
      <c r="I19" s="41"/>
      <c r="J19" s="85"/>
      <c r="K19" s="49"/>
      <c r="L19" s="119"/>
      <c r="M19" s="178"/>
      <c r="N19" s="85"/>
      <c r="O19" s="120"/>
      <c r="P19" s="120"/>
      <c r="Q19" s="90"/>
      <c r="R19" s="85"/>
      <c r="S19" s="85"/>
      <c r="T19" s="85"/>
      <c r="U19" s="85"/>
      <c r="V19" s="81"/>
    </row>
    <row r="20" spans="1:22" s="143" customFormat="1" x14ac:dyDescent="0.3">
      <c r="A20" s="42"/>
      <c r="B20" s="105"/>
      <c r="C20" s="104"/>
      <c r="D20" s="103"/>
      <c r="E20" s="42"/>
      <c r="F20" s="42"/>
      <c r="G20" s="42"/>
      <c r="H20" s="42"/>
      <c r="I20" s="41"/>
      <c r="J20" s="85"/>
      <c r="K20" s="49"/>
      <c r="L20" s="119" t="s">
        <v>351</v>
      </c>
      <c r="M20" s="179">
        <f>'Retiree Health Case Study'!H71</f>
        <v>4.2500000000000003E-2</v>
      </c>
      <c r="N20" s="85"/>
      <c r="O20" s="89">
        <f t="shared" ref="O20" si="0">M20</f>
        <v>4.2500000000000003E-2</v>
      </c>
      <c r="P20" s="89">
        <f>O20</f>
        <v>4.2500000000000003E-2</v>
      </c>
      <c r="Q20" s="90"/>
      <c r="R20" s="85"/>
      <c r="S20" s="85"/>
      <c r="T20" s="85"/>
      <c r="U20" s="85"/>
      <c r="V20" s="81"/>
    </row>
    <row r="21" spans="1:22" s="143" customFormat="1" x14ac:dyDescent="0.3">
      <c r="A21" s="42"/>
      <c r="B21" s="105"/>
      <c r="C21" s="104"/>
      <c r="D21" s="103"/>
      <c r="E21" s="42"/>
      <c r="F21" s="42"/>
      <c r="G21" s="42"/>
      <c r="H21" s="42"/>
      <c r="I21" s="41"/>
      <c r="J21" s="85"/>
      <c r="K21" s="49"/>
      <c r="L21" s="119" t="s">
        <v>352</v>
      </c>
      <c r="M21" s="180">
        <f>'Retiree Health Case Study'!H63</f>
        <v>12.080000000000002</v>
      </c>
      <c r="N21" s="181"/>
      <c r="O21" s="182">
        <f>M21</f>
        <v>12.080000000000002</v>
      </c>
      <c r="P21" s="182">
        <f>O21</f>
        <v>12.080000000000002</v>
      </c>
      <c r="Q21" s="90"/>
      <c r="R21" s="182"/>
      <c r="S21" s="182"/>
      <c r="T21" s="85"/>
      <c r="U21" s="85"/>
      <c r="V21" s="81"/>
    </row>
    <row r="22" spans="1:22" s="143" customFormat="1" x14ac:dyDescent="0.3">
      <c r="A22" s="42"/>
      <c r="B22" s="42"/>
      <c r="C22" s="42"/>
      <c r="D22" s="42"/>
      <c r="E22" s="42"/>
      <c r="F22" s="42"/>
      <c r="G22" s="42"/>
      <c r="H22" s="42"/>
      <c r="I22" s="41"/>
      <c r="J22" s="85"/>
      <c r="K22" s="49"/>
      <c r="L22" s="119" t="s">
        <v>353</v>
      </c>
      <c r="M22" s="180">
        <f>'Retiree Health Case Study'!H65</f>
        <v>9.0800000000000018</v>
      </c>
      <c r="N22" s="181"/>
      <c r="O22" s="182">
        <f t="shared" ref="O22" si="1">M22</f>
        <v>9.0800000000000018</v>
      </c>
      <c r="P22" s="182">
        <f>O22</f>
        <v>9.0800000000000018</v>
      </c>
      <c r="Q22" s="90"/>
      <c r="R22" s="182"/>
      <c r="S22" s="182"/>
      <c r="T22" s="85"/>
      <c r="U22" s="85"/>
      <c r="V22" s="81"/>
    </row>
    <row r="23" spans="1:22" s="143" customFormat="1" x14ac:dyDescent="0.3">
      <c r="A23" s="42"/>
      <c r="B23" s="42"/>
      <c r="C23" s="42"/>
      <c r="D23" s="42"/>
      <c r="E23" s="75"/>
      <c r="F23" s="42"/>
      <c r="G23" s="42"/>
      <c r="H23" s="42"/>
      <c r="I23" s="41"/>
      <c r="J23" s="85"/>
      <c r="K23" s="49"/>
      <c r="L23" s="85"/>
      <c r="M23" s="178"/>
      <c r="N23" s="85"/>
      <c r="O23" s="85"/>
      <c r="P23" s="85"/>
      <c r="Q23" s="90"/>
      <c r="R23" s="85"/>
      <c r="S23" s="85"/>
      <c r="T23" s="85"/>
      <c r="U23" s="85"/>
      <c r="V23" s="81"/>
    </row>
    <row r="24" spans="1:22" s="143" customFormat="1" x14ac:dyDescent="0.3">
      <c r="A24" s="42"/>
      <c r="B24" s="82"/>
      <c r="C24" s="42"/>
      <c r="D24" s="42"/>
      <c r="E24" s="83"/>
      <c r="F24" s="42"/>
      <c r="G24" s="42"/>
      <c r="H24" s="42"/>
      <c r="I24" s="41"/>
      <c r="J24" s="85"/>
      <c r="K24" s="49"/>
      <c r="L24" s="183" t="s">
        <v>354</v>
      </c>
      <c r="M24" s="178"/>
      <c r="N24" s="85"/>
      <c r="O24" s="85"/>
      <c r="P24" s="85"/>
      <c r="Q24" s="90"/>
      <c r="R24" s="85"/>
      <c r="S24" s="85"/>
      <c r="T24" s="85"/>
      <c r="U24" s="85"/>
      <c r="V24" s="81"/>
    </row>
    <row r="25" spans="1:22" s="143" customFormat="1" x14ac:dyDescent="0.3">
      <c r="A25" s="42"/>
      <c r="B25" s="42"/>
      <c r="C25" s="42"/>
      <c r="D25" s="42"/>
      <c r="E25" s="42"/>
      <c r="F25" s="42"/>
      <c r="G25" s="42"/>
      <c r="H25" s="42"/>
      <c r="I25" s="41"/>
      <c r="J25" s="85"/>
      <c r="K25" s="49"/>
      <c r="L25" s="119" t="s">
        <v>355</v>
      </c>
      <c r="M25" s="177">
        <f>'Retiree Health Case Study'!H53</f>
        <v>61912</v>
      </c>
      <c r="N25" s="85"/>
      <c r="O25" s="85"/>
      <c r="P25" s="120">
        <f>ROUND(M25*G11*(1-F7),0)</f>
        <v>34671</v>
      </c>
      <c r="Q25" s="90"/>
      <c r="R25" s="184"/>
      <c r="S25" s="120"/>
      <c r="T25" s="85"/>
      <c r="U25" s="85"/>
      <c r="V25" s="81"/>
    </row>
    <row r="26" spans="1:22" s="143" customFormat="1" x14ac:dyDescent="0.3">
      <c r="A26" s="42"/>
      <c r="B26" s="83"/>
      <c r="C26" s="42"/>
      <c r="D26" s="42"/>
      <c r="E26" s="42"/>
      <c r="F26" s="42"/>
      <c r="G26" s="42"/>
      <c r="H26" s="42"/>
      <c r="I26" s="41"/>
      <c r="J26" s="85"/>
      <c r="K26" s="49"/>
      <c r="L26" s="119" t="s">
        <v>356</v>
      </c>
      <c r="M26" s="177">
        <f>'Retiree Health Case Study'!H54</f>
        <v>66122</v>
      </c>
      <c r="N26" s="85"/>
      <c r="O26" s="85"/>
      <c r="P26" s="120">
        <f>-ROUND(P13*P20-P25*P20-P32*0.5*P20,0)</f>
        <v>38231</v>
      </c>
      <c r="Q26" s="90"/>
      <c r="R26" s="120"/>
      <c r="S26" s="120"/>
      <c r="T26" s="85"/>
      <c r="U26" s="85"/>
      <c r="V26" s="81"/>
    </row>
    <row r="27" spans="1:22" s="143" customFormat="1" x14ac:dyDescent="0.3">
      <c r="A27" s="42"/>
      <c r="B27" s="42"/>
      <c r="C27" s="42"/>
      <c r="D27" s="42"/>
      <c r="E27" s="42"/>
      <c r="F27" s="42"/>
      <c r="G27" s="42"/>
      <c r="H27" s="42"/>
      <c r="I27" s="41"/>
      <c r="J27" s="85"/>
      <c r="K27" s="49"/>
      <c r="L27" s="119" t="s">
        <v>357</v>
      </c>
      <c r="M27" s="177">
        <f>'Retiree Health Case Study'!H55</f>
        <v>0</v>
      </c>
      <c r="N27" s="85"/>
      <c r="O27" s="85"/>
      <c r="P27" s="120">
        <v>0</v>
      </c>
      <c r="Q27" s="90"/>
      <c r="R27" s="120"/>
      <c r="S27" s="120"/>
      <c r="T27" s="85"/>
      <c r="U27" s="85"/>
      <c r="V27" s="81"/>
    </row>
    <row r="28" spans="1:22" s="143" customFormat="1" x14ac:dyDescent="0.3">
      <c r="A28" s="42"/>
      <c r="B28" s="84"/>
      <c r="C28" s="42"/>
      <c r="D28" s="42"/>
      <c r="E28" s="42"/>
      <c r="F28" s="42"/>
      <c r="G28" s="42"/>
      <c r="H28" s="42"/>
      <c r="I28" s="41"/>
      <c r="J28" s="85"/>
      <c r="K28" s="49"/>
      <c r="L28" s="119" t="s">
        <v>358</v>
      </c>
      <c r="M28" s="177">
        <f>'Retiree Health Case Study'!H56</f>
        <v>0</v>
      </c>
      <c r="N28" s="85"/>
      <c r="O28" s="85"/>
      <c r="P28" s="120">
        <f>ROUND(P17/P22,0)</f>
        <v>-75494</v>
      </c>
      <c r="Q28" s="90"/>
      <c r="R28" s="120"/>
      <c r="S28" s="120"/>
      <c r="T28" s="85"/>
      <c r="U28" s="85"/>
      <c r="V28" s="81"/>
    </row>
    <row r="29" spans="1:22" s="143" customFormat="1" x14ac:dyDescent="0.3">
      <c r="A29" s="42"/>
      <c r="B29" s="42"/>
      <c r="C29" s="42"/>
      <c r="D29" s="42"/>
      <c r="E29" s="42"/>
      <c r="F29" s="42"/>
      <c r="G29" s="42"/>
      <c r="H29" s="42"/>
      <c r="I29" s="41"/>
      <c r="J29" s="85"/>
      <c r="K29" s="49"/>
      <c r="L29" s="119" t="s">
        <v>359</v>
      </c>
      <c r="M29" s="177">
        <f>'Retiree Health Case Study'!H57</f>
        <v>-78663</v>
      </c>
      <c r="N29" s="85"/>
      <c r="O29" s="85"/>
      <c r="P29" s="120">
        <f>ROUND((P18-0.1*P13)/P21,0)</f>
        <v>-80664</v>
      </c>
      <c r="Q29" s="90"/>
      <c r="R29" s="120"/>
      <c r="S29" s="120"/>
      <c r="T29" s="85"/>
      <c r="U29" s="85"/>
      <c r="V29" s="81"/>
    </row>
    <row r="30" spans="1:22" s="143" customFormat="1" x14ac:dyDescent="0.3">
      <c r="A30" s="42"/>
      <c r="B30" s="84"/>
      <c r="C30" s="42"/>
      <c r="D30" s="42"/>
      <c r="E30" s="42"/>
      <c r="F30" s="42"/>
      <c r="G30" s="42"/>
      <c r="H30" s="42"/>
      <c r="I30" s="41"/>
      <c r="J30" s="85"/>
      <c r="K30" s="49"/>
      <c r="L30" s="119" t="s">
        <v>101</v>
      </c>
      <c r="M30" s="120">
        <f>SUM(M25:M29)</f>
        <v>49371</v>
      </c>
      <c r="N30" s="85"/>
      <c r="O30" s="85"/>
      <c r="P30" s="120">
        <f>SUM(P25:P29)</f>
        <v>-83256</v>
      </c>
      <c r="Q30" s="90"/>
      <c r="R30" s="120"/>
      <c r="S30" s="120"/>
      <c r="T30" s="85"/>
      <c r="U30" s="85"/>
      <c r="V30" s="81"/>
    </row>
    <row r="31" spans="1:22" s="143" customFormat="1" x14ac:dyDescent="0.3">
      <c r="A31" s="42"/>
      <c r="B31" s="84"/>
      <c r="C31" s="42"/>
      <c r="D31" s="42"/>
      <c r="E31" s="42"/>
      <c r="F31" s="42"/>
      <c r="G31" s="42"/>
      <c r="H31" s="42"/>
      <c r="I31" s="41"/>
      <c r="J31" s="85"/>
      <c r="K31" s="49"/>
      <c r="L31" s="119"/>
      <c r="M31" s="178"/>
      <c r="N31" s="85"/>
      <c r="O31" s="85"/>
      <c r="P31" s="120"/>
      <c r="Q31" s="90"/>
      <c r="R31" s="120"/>
      <c r="S31" s="120"/>
      <c r="T31" s="85"/>
      <c r="U31" s="85"/>
      <c r="V31" s="81"/>
    </row>
    <row r="32" spans="1:22" s="143" customFormat="1" x14ac:dyDescent="0.3">
      <c r="A32" s="42"/>
      <c r="B32" s="42"/>
      <c r="C32" s="42"/>
      <c r="D32" s="42"/>
      <c r="E32" s="42"/>
      <c r="F32" s="42"/>
      <c r="G32" s="42"/>
      <c r="H32" s="42"/>
      <c r="I32" s="41"/>
      <c r="J32" s="85"/>
      <c r="K32" s="49"/>
      <c r="L32" s="119" t="s">
        <v>360</v>
      </c>
      <c r="M32" s="177">
        <f>'Retiree Health Case Study'!H61</f>
        <v>-26980</v>
      </c>
      <c r="N32" s="85"/>
      <c r="O32" s="85"/>
      <c r="P32" s="120">
        <f>ROUND(M32*G11*(1-F7),0)</f>
        <v>-15109</v>
      </c>
      <c r="Q32" s="90"/>
      <c r="R32" s="120"/>
      <c r="S32" s="120"/>
      <c r="T32" s="85"/>
      <c r="U32" s="85"/>
      <c r="V32" s="81"/>
    </row>
    <row r="33" spans="1:22" s="143" customFormat="1" x14ac:dyDescent="0.3">
      <c r="A33" s="42"/>
      <c r="B33" s="42"/>
      <c r="C33" s="42"/>
      <c r="D33" s="42"/>
      <c r="E33" s="42"/>
      <c r="F33" s="42"/>
      <c r="G33" s="42"/>
      <c r="H33" s="42"/>
      <c r="I33" s="41"/>
      <c r="J33" s="85"/>
      <c r="K33" s="49"/>
      <c r="L33" s="119"/>
      <c r="M33" s="178"/>
      <c r="N33" s="85"/>
      <c r="O33" s="85"/>
      <c r="P33" s="120"/>
      <c r="Q33" s="90"/>
      <c r="R33" s="120"/>
      <c r="S33" s="120"/>
      <c r="T33" s="85"/>
      <c r="U33" s="85"/>
      <c r="V33" s="81"/>
    </row>
    <row r="34" spans="1:22" s="143" customFormat="1" ht="17.399999999999999" x14ac:dyDescent="0.45">
      <c r="A34" s="42"/>
      <c r="B34" s="42"/>
      <c r="C34" s="42"/>
      <c r="D34" s="42"/>
      <c r="E34" s="42"/>
      <c r="F34" s="42"/>
      <c r="G34" s="42"/>
      <c r="H34" s="42"/>
      <c r="I34" s="41"/>
      <c r="J34" s="85"/>
      <c r="K34" s="49"/>
      <c r="L34" s="183" t="s">
        <v>361</v>
      </c>
      <c r="M34" s="185" t="s">
        <v>362</v>
      </c>
      <c r="N34" s="85"/>
      <c r="O34" s="85"/>
      <c r="P34" s="186" t="s">
        <v>363</v>
      </c>
      <c r="Q34" s="124" t="s">
        <v>364</v>
      </c>
      <c r="R34" s="120"/>
      <c r="S34" s="90"/>
      <c r="T34" s="85"/>
      <c r="U34" s="85"/>
      <c r="V34" s="81"/>
    </row>
    <row r="35" spans="1:22" s="143" customFormat="1" x14ac:dyDescent="0.3">
      <c r="A35" s="42"/>
      <c r="B35" s="42"/>
      <c r="C35" s="42"/>
      <c r="D35" s="42"/>
      <c r="E35" s="42"/>
      <c r="F35" s="42"/>
      <c r="G35" s="42"/>
      <c r="H35" s="42"/>
      <c r="I35" s="41"/>
      <c r="J35" s="85"/>
      <c r="K35" s="49"/>
      <c r="L35" s="119" t="s">
        <v>355</v>
      </c>
      <c r="M35" s="178">
        <f>ROUND(M25/2,0)</f>
        <v>30956</v>
      </c>
      <c r="N35" s="85"/>
      <c r="O35" s="85"/>
      <c r="P35" s="178">
        <f>ROUND(P25/2,0)</f>
        <v>17336</v>
      </c>
      <c r="Q35" s="120">
        <f>M35+P35</f>
        <v>48292</v>
      </c>
      <c r="R35" s="120"/>
      <c r="S35" s="90"/>
      <c r="T35" s="85"/>
      <c r="U35" s="85"/>
      <c r="V35" s="81"/>
    </row>
    <row r="36" spans="1:22" s="143" customFormat="1" x14ac:dyDescent="0.3">
      <c r="A36" s="42"/>
      <c r="B36" s="42"/>
      <c r="C36" s="42"/>
      <c r="D36" s="42"/>
      <c r="E36" s="42"/>
      <c r="F36" s="42"/>
      <c r="G36" s="42"/>
      <c r="H36" s="42"/>
      <c r="I36" s="41"/>
      <c r="J36" s="85"/>
      <c r="K36" s="49"/>
      <c r="L36" s="119" t="s">
        <v>356</v>
      </c>
      <c r="M36" s="178">
        <f t="shared" ref="M36:M39" si="2">ROUND(M26/2,0)</f>
        <v>33061</v>
      </c>
      <c r="N36" s="85"/>
      <c r="O36" s="85"/>
      <c r="P36" s="178">
        <f t="shared" ref="P36:P39" si="3">ROUND(P26/2,0)</f>
        <v>19116</v>
      </c>
      <c r="Q36" s="120">
        <f>M36+P36</f>
        <v>52177</v>
      </c>
      <c r="R36" s="120"/>
      <c r="S36" s="90"/>
      <c r="T36" s="85"/>
      <c r="U36" s="85"/>
      <c r="V36" s="81"/>
    </row>
    <row r="37" spans="1:22" s="143" customFormat="1" x14ac:dyDescent="0.3">
      <c r="A37" s="42"/>
      <c r="B37" s="42"/>
      <c r="C37" s="42"/>
      <c r="D37" s="42"/>
      <c r="E37" s="42"/>
      <c r="F37" s="42"/>
      <c r="G37" s="42"/>
      <c r="H37" s="42"/>
      <c r="I37" s="41"/>
      <c r="J37" s="85"/>
      <c r="K37" s="49"/>
      <c r="L37" s="119" t="s">
        <v>357</v>
      </c>
      <c r="M37" s="178">
        <f t="shared" si="2"/>
        <v>0</v>
      </c>
      <c r="N37" s="85"/>
      <c r="O37" s="85"/>
      <c r="P37" s="178">
        <f t="shared" si="3"/>
        <v>0</v>
      </c>
      <c r="Q37" s="120">
        <f>M37+P37</f>
        <v>0</v>
      </c>
      <c r="R37" s="120"/>
      <c r="S37" s="90"/>
      <c r="T37" s="85"/>
      <c r="U37" s="85"/>
      <c r="V37" s="81"/>
    </row>
    <row r="38" spans="1:22" s="143" customFormat="1" x14ac:dyDescent="0.3">
      <c r="A38" s="42"/>
      <c r="B38" s="42"/>
      <c r="C38" s="42"/>
      <c r="D38" s="42"/>
      <c r="E38" s="42"/>
      <c r="F38" s="42"/>
      <c r="G38" s="42"/>
      <c r="H38" s="42"/>
      <c r="I38" s="41"/>
      <c r="J38" s="85"/>
      <c r="K38" s="49"/>
      <c r="L38" s="119" t="s">
        <v>358</v>
      </c>
      <c r="M38" s="178">
        <f t="shared" si="2"/>
        <v>0</v>
      </c>
      <c r="N38" s="85"/>
      <c r="O38" s="85"/>
      <c r="P38" s="178">
        <f t="shared" si="3"/>
        <v>-37747</v>
      </c>
      <c r="Q38" s="120">
        <f>M38+P38</f>
        <v>-37747</v>
      </c>
      <c r="R38" s="120"/>
      <c r="S38" s="90"/>
      <c r="T38" s="85"/>
      <c r="U38" s="85"/>
      <c r="V38" s="81"/>
    </row>
    <row r="39" spans="1:22" s="143" customFormat="1" ht="16.2" thickBot="1" x14ac:dyDescent="0.35">
      <c r="A39" s="42"/>
      <c r="B39" s="42"/>
      <c r="C39" s="42"/>
      <c r="D39" s="42"/>
      <c r="E39" s="42"/>
      <c r="F39" s="42"/>
      <c r="G39" s="42"/>
      <c r="H39" s="42"/>
      <c r="I39" s="41"/>
      <c r="J39" s="85"/>
      <c r="K39" s="49"/>
      <c r="L39" s="119" t="s">
        <v>359</v>
      </c>
      <c r="M39" s="178">
        <f t="shared" si="2"/>
        <v>-39332</v>
      </c>
      <c r="N39" s="85"/>
      <c r="O39" s="85"/>
      <c r="P39" s="178">
        <f t="shared" si="3"/>
        <v>-40332</v>
      </c>
      <c r="Q39" s="120">
        <f>M39+P39</f>
        <v>-79664</v>
      </c>
      <c r="R39" s="120"/>
      <c r="S39" s="90"/>
      <c r="T39" s="85"/>
      <c r="U39" s="85"/>
      <c r="V39" s="81"/>
    </row>
    <row r="40" spans="1:22" s="143" customFormat="1" ht="16.2" thickBot="1" x14ac:dyDescent="0.35">
      <c r="A40" s="42"/>
      <c r="B40" s="42"/>
      <c r="C40" s="42"/>
      <c r="D40" s="42"/>
      <c r="E40" s="42"/>
      <c r="F40" s="42"/>
      <c r="G40" s="42"/>
      <c r="H40" s="42"/>
      <c r="I40" s="41"/>
      <c r="J40" s="85"/>
      <c r="K40" s="49"/>
      <c r="L40" s="119" t="s">
        <v>101</v>
      </c>
      <c r="M40" s="120">
        <f>SUM(M35:M39)</f>
        <v>24685</v>
      </c>
      <c r="N40" s="85"/>
      <c r="O40" s="85"/>
      <c r="P40" s="120">
        <f>SUM(P35:P39)</f>
        <v>-41627</v>
      </c>
      <c r="Q40" s="187">
        <f>SUM(Q35:Q39)</f>
        <v>-16942</v>
      </c>
      <c r="R40" s="120"/>
      <c r="S40" s="90"/>
      <c r="T40" s="85"/>
      <c r="U40" s="85"/>
      <c r="V40" s="81"/>
    </row>
    <row r="41" spans="1:22" s="143" customFormat="1" x14ac:dyDescent="0.3">
      <c r="A41" s="42"/>
      <c r="B41" s="42"/>
      <c r="C41" s="42"/>
      <c r="D41" s="42"/>
      <c r="E41" s="42"/>
      <c r="F41" s="42"/>
      <c r="G41" s="42"/>
      <c r="H41" s="42"/>
      <c r="I41" s="41"/>
      <c r="J41" s="85"/>
      <c r="K41" s="49"/>
      <c r="L41" s="85"/>
      <c r="M41" s="85"/>
      <c r="N41" s="85"/>
      <c r="O41" s="85"/>
      <c r="P41" s="85"/>
      <c r="Q41" s="90"/>
      <c r="R41" s="85"/>
      <c r="S41" s="85"/>
      <c r="T41" s="85"/>
      <c r="U41" s="85"/>
      <c r="V41" s="81"/>
    </row>
    <row r="42" spans="1:22" s="143" customFormat="1" x14ac:dyDescent="0.3">
      <c r="A42" s="42"/>
      <c r="B42" s="42"/>
      <c r="C42" s="42"/>
      <c r="D42" s="42"/>
      <c r="E42" s="42"/>
      <c r="F42" s="42"/>
      <c r="G42" s="42"/>
      <c r="H42" s="42"/>
      <c r="I42" s="41"/>
      <c r="J42" s="85"/>
      <c r="K42" s="49"/>
      <c r="L42" s="119" t="s">
        <v>365</v>
      </c>
      <c r="M42" s="120">
        <f>ROUND(M32/2,0)</f>
        <v>-13490</v>
      </c>
      <c r="N42" s="85"/>
      <c r="O42" s="85"/>
      <c r="P42" s="123">
        <f>ROUND(P32/2,0)</f>
        <v>-7555</v>
      </c>
      <c r="Q42" s="90"/>
      <c r="R42" s="85"/>
      <c r="S42" s="120"/>
      <c r="T42" s="85"/>
      <c r="U42" s="85"/>
      <c r="V42" s="81"/>
    </row>
    <row r="43" spans="1:22" s="143" customFormat="1" x14ac:dyDescent="0.3">
      <c r="A43" s="42"/>
      <c r="B43" s="42"/>
      <c r="C43" s="42"/>
      <c r="D43" s="42"/>
      <c r="E43" s="42"/>
      <c r="F43" s="42"/>
      <c r="G43" s="42"/>
      <c r="H43" s="42"/>
      <c r="I43" s="41"/>
      <c r="J43" s="85"/>
      <c r="K43" s="49"/>
      <c r="L43" s="150"/>
      <c r="M43" s="85"/>
      <c r="N43" s="85"/>
      <c r="O43" s="85"/>
      <c r="P43" s="88"/>
      <c r="Q43" s="150"/>
      <c r="R43" s="85"/>
      <c r="S43" s="85"/>
      <c r="T43" s="85"/>
      <c r="U43" s="85"/>
      <c r="V43" s="81"/>
    </row>
    <row r="45" spans="1:22" s="143" customFormat="1" x14ac:dyDescent="0.3">
      <c r="A45" s="42"/>
      <c r="B45" s="42"/>
      <c r="C45" s="42"/>
      <c r="D45" s="42"/>
      <c r="E45" s="42"/>
      <c r="F45" s="42"/>
      <c r="G45" s="42"/>
      <c r="H45" s="42"/>
      <c r="I45" s="41"/>
      <c r="J45" s="85"/>
      <c r="K45" s="85"/>
      <c r="L45" s="85"/>
      <c r="M45" s="85"/>
      <c r="N45" s="85"/>
      <c r="O45" s="85"/>
      <c r="P45" s="89"/>
      <c r="Q45" s="85"/>
      <c r="R45" s="85"/>
      <c r="S45" s="85"/>
      <c r="T45" s="85"/>
      <c r="U45" s="85"/>
      <c r="V45" s="81"/>
    </row>
    <row r="46" spans="1:22" s="143" customFormat="1" x14ac:dyDescent="0.3">
      <c r="A46" s="42"/>
      <c r="B46" s="42"/>
      <c r="C46" s="42"/>
      <c r="D46" s="42"/>
      <c r="E46" s="42"/>
      <c r="F46" s="42"/>
      <c r="G46" s="42"/>
      <c r="H46" s="42"/>
      <c r="I46" s="41"/>
      <c r="J46" s="85"/>
      <c r="K46" s="85"/>
      <c r="L46" s="85"/>
      <c r="M46" s="85"/>
      <c r="N46" s="85"/>
      <c r="O46" s="85"/>
      <c r="P46" s="89"/>
      <c r="Q46" s="85"/>
      <c r="R46" s="85"/>
      <c r="S46" s="85"/>
      <c r="T46" s="85"/>
      <c r="U46" s="85"/>
      <c r="V46" s="81"/>
    </row>
    <row r="48" spans="1:22" s="143" customFormat="1" x14ac:dyDescent="0.3">
      <c r="A48" s="42"/>
      <c r="B48" s="42"/>
      <c r="C48" s="42"/>
      <c r="D48" s="42"/>
      <c r="E48" s="42"/>
      <c r="F48" s="42"/>
      <c r="G48" s="42"/>
      <c r="H48" s="42"/>
      <c r="I48" s="41"/>
      <c r="J48" s="85"/>
      <c r="K48" s="85"/>
      <c r="L48" s="85"/>
      <c r="M48" s="85"/>
      <c r="N48" s="85"/>
      <c r="O48" s="85"/>
      <c r="P48" s="89"/>
      <c r="Q48" s="85"/>
      <c r="R48" s="85"/>
      <c r="S48" s="85"/>
      <c r="T48" s="85"/>
      <c r="U48" s="85"/>
      <c r="V48" s="81"/>
    </row>
  </sheetData>
  <sheetProtection algorithmName="SHA-512" hashValue="w14Bn9zifWYM4m4/RHj0X34tsuvv+MbFf21CcDCWhmGRsEuyeb05w1LVgFMEBtK6F8A4koDA7oy9uYc5vO/PEA==" saltValue="9TDJCfKRny9AwjME/CHr4w==" spinCount="100000" sheet="1" objects="1" scenarios="1"/>
  <mergeCells count="2">
    <mergeCell ref="B14:G15"/>
    <mergeCell ref="A11:F1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42A1E-8264-4BEF-A046-5B17CE06C906}">
  <dimension ref="A1:W50"/>
  <sheetViews>
    <sheetView topLeftCell="A12" zoomScale="57" workbookViewId="0">
      <selection activeCell="M37" sqref="M37"/>
    </sheetView>
  </sheetViews>
  <sheetFormatPr defaultColWidth="9.109375" defaultRowHeight="15.6" x14ac:dyDescent="0.3"/>
  <cols>
    <col min="1" max="1" width="3.88671875" style="42" customWidth="1"/>
    <col min="2" max="2" width="20.5546875" style="42" customWidth="1"/>
    <col min="3" max="7" width="17.109375" style="42" bestFit="1" customWidth="1"/>
    <col min="8" max="8" width="9" style="42" customWidth="1"/>
    <col min="9" max="9" width="1" style="41" customWidth="1"/>
    <col min="10" max="10" width="4" style="85" customWidth="1"/>
    <col min="11" max="11" width="8.6640625" style="85"/>
    <col min="12" max="12" width="55" style="85" customWidth="1"/>
    <col min="13" max="13" width="14.88671875" style="85" customWidth="1"/>
    <col min="14" max="14" width="19.44140625" style="85" customWidth="1"/>
    <col min="15" max="15" width="20.109375" style="85" customWidth="1"/>
    <col min="16" max="16" width="18.5546875" style="85" customWidth="1"/>
    <col min="17" max="17" width="11" style="85" bestFit="1" customWidth="1"/>
    <col min="18" max="20" width="8.6640625" style="85"/>
    <col min="21" max="21" width="9.88671875" style="85" bestFit="1" customWidth="1"/>
    <col min="22" max="22" width="1" style="161" customWidth="1"/>
    <col min="23" max="23" width="8.6640625" style="162"/>
    <col min="24" max="16384" width="9.109375" style="163"/>
  </cols>
  <sheetData>
    <row r="1" spans="1:21" x14ac:dyDescent="0.3">
      <c r="A1" s="47" t="str">
        <f>'Question 8'!A1</f>
        <v>Exam RETDAU:  Fall 2022</v>
      </c>
      <c r="J1" s="151" t="str">
        <f>A1</f>
        <v>Exam RETDAU:  Fall 2022</v>
      </c>
      <c r="K1" s="152"/>
      <c r="L1" s="152"/>
      <c r="M1" s="152"/>
      <c r="N1" s="152"/>
      <c r="O1" s="152"/>
      <c r="P1" s="152"/>
      <c r="Q1" s="152"/>
      <c r="R1" s="152"/>
      <c r="S1" s="152"/>
      <c r="T1" s="152"/>
      <c r="U1" s="152"/>
    </row>
    <row r="2" spans="1:21" x14ac:dyDescent="0.3">
      <c r="A2" s="47" t="s">
        <v>0</v>
      </c>
      <c r="J2" s="151" t="str">
        <f>A2</f>
        <v>Design and Accounting Exam – U.S.</v>
      </c>
      <c r="K2" s="152"/>
      <c r="L2" s="152"/>
      <c r="M2" s="152"/>
      <c r="N2" s="152"/>
      <c r="O2" s="152"/>
      <c r="P2" s="152"/>
      <c r="Q2" s="152"/>
      <c r="R2" s="152"/>
      <c r="S2" s="152"/>
      <c r="T2" s="152"/>
      <c r="U2" s="152"/>
    </row>
    <row r="3" spans="1:21" x14ac:dyDescent="0.3">
      <c r="A3" s="47" t="s">
        <v>244</v>
      </c>
      <c r="J3" s="151" t="str">
        <f>A3</f>
        <v>Question 5</v>
      </c>
      <c r="K3" s="152"/>
      <c r="L3" s="152"/>
      <c r="M3" s="152"/>
      <c r="N3" s="152"/>
      <c r="O3" s="152"/>
      <c r="P3" s="152"/>
      <c r="Q3" s="152"/>
      <c r="R3" s="152"/>
      <c r="S3" s="152"/>
      <c r="T3" s="152"/>
      <c r="U3" s="152"/>
    </row>
    <row r="4" spans="1:21" x14ac:dyDescent="0.3">
      <c r="J4" s="152"/>
      <c r="K4" s="152"/>
      <c r="L4" s="152"/>
      <c r="M4" s="152"/>
      <c r="N4" s="152"/>
      <c r="O4" s="152"/>
      <c r="P4" s="152"/>
      <c r="Q4" s="152"/>
      <c r="R4" s="152"/>
      <c r="S4" s="152"/>
      <c r="T4" s="152"/>
      <c r="U4" s="152"/>
    </row>
    <row r="5" spans="1:21" ht="16.2" x14ac:dyDescent="0.35">
      <c r="A5" s="42" t="s">
        <v>277</v>
      </c>
      <c r="C5" s="73"/>
      <c r="D5" s="73"/>
      <c r="E5" s="73"/>
      <c r="F5" s="73"/>
      <c r="G5" s="73"/>
      <c r="J5" s="153" t="s">
        <v>1</v>
      </c>
      <c r="K5" s="152"/>
      <c r="L5" s="152"/>
      <c r="M5" s="152"/>
      <c r="N5" s="152"/>
      <c r="O5" s="152"/>
      <c r="P5" s="152"/>
      <c r="Q5" s="152"/>
      <c r="R5" s="152"/>
      <c r="S5" s="152"/>
      <c r="T5" s="152"/>
      <c r="U5" s="152"/>
    </row>
    <row r="6" spans="1:21" x14ac:dyDescent="0.3">
      <c r="J6" s="152"/>
      <c r="K6" s="152"/>
      <c r="L6" s="152"/>
      <c r="M6" s="152"/>
      <c r="N6" s="152"/>
      <c r="O6" s="152"/>
      <c r="P6" s="152"/>
      <c r="Q6" s="152"/>
      <c r="R6" s="152"/>
      <c r="S6" s="152"/>
      <c r="T6" s="152"/>
      <c r="U6" s="152"/>
    </row>
    <row r="7" spans="1:21" ht="15.6" customHeight="1" x14ac:dyDescent="0.3">
      <c r="B7" s="80" t="s">
        <v>245</v>
      </c>
      <c r="C7" s="77" t="s">
        <v>280</v>
      </c>
      <c r="D7" s="77" t="s">
        <v>281</v>
      </c>
      <c r="E7" s="48"/>
      <c r="F7" s="48"/>
      <c r="G7" s="48"/>
      <c r="J7" s="152" t="s">
        <v>5</v>
      </c>
      <c r="K7" s="152" t="s">
        <v>286</v>
      </c>
      <c r="L7" s="152"/>
      <c r="M7" s="152"/>
      <c r="N7" s="152"/>
      <c r="O7" s="152"/>
      <c r="P7" s="152"/>
      <c r="Q7" s="154"/>
      <c r="R7" s="154"/>
      <c r="S7" s="154"/>
      <c r="T7" s="154"/>
      <c r="U7" s="154"/>
    </row>
    <row r="8" spans="1:21" x14ac:dyDescent="0.3">
      <c r="B8" s="80">
        <v>1</v>
      </c>
      <c r="C8" s="86">
        <v>100000</v>
      </c>
      <c r="D8" s="87">
        <v>5.0000000000000001E-3</v>
      </c>
      <c r="J8" s="152"/>
      <c r="K8" s="152"/>
      <c r="L8" s="152"/>
      <c r="M8" s="152"/>
      <c r="N8" s="152"/>
      <c r="O8" s="152"/>
      <c r="P8" s="152"/>
      <c r="Q8" s="155"/>
      <c r="R8" s="155"/>
      <c r="S8" s="155"/>
      <c r="T8" s="155"/>
      <c r="U8" s="155"/>
    </row>
    <row r="9" spans="1:21" ht="18.600000000000001" customHeight="1" x14ac:dyDescent="0.3">
      <c r="B9" s="80">
        <v>2</v>
      </c>
      <c r="C9" s="86">
        <v>97000</v>
      </c>
      <c r="D9" s="87">
        <v>7.0000000000000001E-3</v>
      </c>
      <c r="J9" s="152"/>
      <c r="K9" s="152" t="str">
        <f>B26</f>
        <v>(i)    Projected Benefit Obligation under ASC 715</v>
      </c>
      <c r="L9" s="156"/>
      <c r="M9" s="156"/>
      <c r="N9" s="156"/>
      <c r="O9" s="156"/>
      <c r="P9" s="156"/>
      <c r="Q9" s="156"/>
      <c r="R9" s="156"/>
      <c r="S9" s="156"/>
      <c r="T9" s="156"/>
      <c r="U9" s="156"/>
    </row>
    <row r="10" spans="1:21" x14ac:dyDescent="0.3">
      <c r="B10" s="80">
        <v>3</v>
      </c>
      <c r="C10" s="86">
        <v>94000</v>
      </c>
      <c r="D10" s="87">
        <v>9.0000000000000011E-3</v>
      </c>
      <c r="J10" s="152"/>
      <c r="K10" s="157"/>
      <c r="L10" s="156"/>
      <c r="M10" s="156"/>
      <c r="N10" s="156"/>
      <c r="O10" s="156"/>
      <c r="P10" s="156"/>
      <c r="Q10" s="156"/>
      <c r="R10" s="156"/>
      <c r="S10" s="156"/>
      <c r="T10" s="156"/>
      <c r="U10" s="156"/>
    </row>
    <row r="11" spans="1:21" x14ac:dyDescent="0.3">
      <c r="B11" s="80">
        <v>4</v>
      </c>
      <c r="C11" s="86">
        <v>91000</v>
      </c>
      <c r="D11" s="87">
        <v>1.1000000000000001E-2</v>
      </c>
      <c r="J11" s="152"/>
      <c r="K11" s="152" t="str">
        <f>B28</f>
        <v>(ii)  Interest Cost under ASC 715</v>
      </c>
      <c r="L11" s="152"/>
      <c r="M11" s="152"/>
      <c r="N11" s="152"/>
      <c r="O11" s="152"/>
      <c r="P11" s="158"/>
      <c r="Q11" s="155"/>
      <c r="R11" s="155"/>
      <c r="S11" s="155"/>
      <c r="T11" s="155"/>
      <c r="U11" s="155"/>
    </row>
    <row r="12" spans="1:21" x14ac:dyDescent="0.3">
      <c r="B12" s="80">
        <v>5</v>
      </c>
      <c r="C12" s="86">
        <v>88000</v>
      </c>
      <c r="D12" s="87">
        <v>1.3000000000000001E-2</v>
      </c>
      <c r="J12" s="152"/>
      <c r="K12" s="159"/>
      <c r="L12" s="152"/>
      <c r="M12" s="152"/>
      <c r="N12" s="152"/>
      <c r="O12" s="152"/>
      <c r="P12" s="158"/>
      <c r="Q12" s="155"/>
      <c r="R12" s="155"/>
      <c r="S12" s="155"/>
      <c r="T12" s="155"/>
      <c r="U12" s="155"/>
    </row>
    <row r="13" spans="1:21" x14ac:dyDescent="0.3">
      <c r="B13" s="80">
        <v>6</v>
      </c>
      <c r="C13" s="86">
        <v>85000</v>
      </c>
      <c r="D13" s="87">
        <v>1.5000000000000001E-2</v>
      </c>
      <c r="J13" s="152"/>
      <c r="K13" s="152" t="str">
        <f>B30</f>
        <v>(iii) Equivalent discount rates that would be disclosed in the ASC 715 report</v>
      </c>
      <c r="L13" s="160"/>
      <c r="M13" s="160"/>
      <c r="N13" s="160"/>
      <c r="O13" s="160"/>
      <c r="P13" s="160"/>
      <c r="Q13" s="160"/>
      <c r="R13" s="160"/>
      <c r="S13" s="160"/>
      <c r="T13" s="160"/>
      <c r="U13" s="160"/>
    </row>
    <row r="14" spans="1:21" x14ac:dyDescent="0.3">
      <c r="B14" s="80">
        <v>7</v>
      </c>
      <c r="C14" s="86">
        <v>82000</v>
      </c>
      <c r="D14" s="87">
        <v>1.7000000000000001E-2</v>
      </c>
      <c r="J14" s="152"/>
      <c r="K14" s="159"/>
      <c r="L14" s="160"/>
      <c r="M14" s="160"/>
      <c r="N14" s="160"/>
      <c r="O14" s="160"/>
      <c r="P14" s="160"/>
      <c r="Q14" s="160"/>
      <c r="R14" s="160"/>
      <c r="S14" s="160"/>
      <c r="T14" s="160"/>
      <c r="U14" s="160"/>
    </row>
    <row r="15" spans="1:21" x14ac:dyDescent="0.3">
      <c r="B15" s="80">
        <v>8</v>
      </c>
      <c r="C15" s="86">
        <v>79000</v>
      </c>
      <c r="D15" s="87">
        <v>1.9000000000000003E-2</v>
      </c>
      <c r="J15" s="152"/>
      <c r="K15" s="152" t="str">
        <f>B32</f>
        <v>Show all work.</v>
      </c>
      <c r="L15" s="152"/>
      <c r="M15" s="152"/>
      <c r="N15" s="152"/>
      <c r="O15" s="152"/>
      <c r="P15" s="158"/>
      <c r="Q15" s="155"/>
      <c r="R15" s="155"/>
      <c r="S15" s="155"/>
      <c r="T15" s="155"/>
      <c r="U15" s="155"/>
    </row>
    <row r="16" spans="1:21" x14ac:dyDescent="0.3">
      <c r="B16" s="80">
        <v>9</v>
      </c>
      <c r="C16" s="86">
        <v>76000</v>
      </c>
      <c r="D16" s="87">
        <v>2.1000000000000005E-2</v>
      </c>
      <c r="J16" s="152"/>
      <c r="K16" s="159"/>
      <c r="L16" s="152"/>
      <c r="M16" s="152"/>
      <c r="N16" s="152"/>
      <c r="O16" s="152"/>
      <c r="P16" s="152"/>
      <c r="Q16" s="152"/>
      <c r="R16" s="152"/>
      <c r="S16" s="152"/>
      <c r="T16" s="152"/>
      <c r="U16" s="152"/>
    </row>
    <row r="17" spans="1:23" x14ac:dyDescent="0.3">
      <c r="B17" s="80">
        <v>10</v>
      </c>
      <c r="C17" s="86">
        <v>73000</v>
      </c>
      <c r="D17" s="87">
        <v>2.3000000000000007E-2</v>
      </c>
      <c r="J17" s="90"/>
      <c r="K17" s="164"/>
      <c r="L17" s="90"/>
      <c r="M17" s="90"/>
      <c r="N17" s="90"/>
      <c r="O17" s="90"/>
      <c r="P17" s="90"/>
      <c r="Q17" s="90"/>
      <c r="R17" s="90"/>
      <c r="S17" s="90"/>
      <c r="T17" s="90"/>
      <c r="U17" s="90"/>
    </row>
    <row r="18" spans="1:23" x14ac:dyDescent="0.3">
      <c r="B18" s="80">
        <v>11</v>
      </c>
      <c r="C18" s="86">
        <v>70000</v>
      </c>
      <c r="D18" s="87">
        <v>2.5000000000000008E-2</v>
      </c>
      <c r="J18" s="90"/>
      <c r="K18" s="164"/>
      <c r="L18" s="90"/>
      <c r="M18" s="90"/>
      <c r="N18" s="90"/>
      <c r="O18" s="90"/>
      <c r="P18" s="90"/>
      <c r="Q18" s="90"/>
      <c r="R18" s="90"/>
      <c r="S18" s="90"/>
      <c r="T18" s="90"/>
      <c r="U18" s="90"/>
    </row>
    <row r="19" spans="1:23" x14ac:dyDescent="0.3">
      <c r="B19" s="80">
        <v>12</v>
      </c>
      <c r="C19" s="86">
        <v>67000</v>
      </c>
      <c r="D19" s="87">
        <v>2.700000000000001E-2</v>
      </c>
      <c r="K19" s="235" t="s">
        <v>245</v>
      </c>
      <c r="L19" s="235" t="s">
        <v>280</v>
      </c>
      <c r="M19" s="235" t="s">
        <v>281</v>
      </c>
      <c r="N19" s="227" t="s">
        <v>430</v>
      </c>
      <c r="O19" s="227" t="s">
        <v>431</v>
      </c>
      <c r="P19" s="227" t="s">
        <v>432</v>
      </c>
    </row>
    <row r="20" spans="1:23" s="143" customFormat="1" x14ac:dyDescent="0.3">
      <c r="A20" s="42"/>
      <c r="B20" s="80">
        <v>13</v>
      </c>
      <c r="C20" s="86">
        <v>64000</v>
      </c>
      <c r="D20" s="87">
        <v>2.9000000000000012E-2</v>
      </c>
      <c r="E20" s="42"/>
      <c r="F20" s="42"/>
      <c r="G20" s="42"/>
      <c r="H20" s="42"/>
      <c r="I20" s="41"/>
      <c r="J20" s="85"/>
      <c r="K20" s="218">
        <v>1</v>
      </c>
      <c r="L20" s="238">
        <f>C8</f>
        <v>100000</v>
      </c>
      <c r="M20" s="237">
        <f>D8</f>
        <v>5.0000000000000001E-3</v>
      </c>
      <c r="N20" s="219">
        <f>(L20/((1+M20)^K20))</f>
        <v>99502.487562189068</v>
      </c>
      <c r="O20" s="219">
        <f>(L20/((1+$M$47)^K20))</f>
        <v>97877.01877840751</v>
      </c>
      <c r="P20" s="219">
        <f>ROUND(M20*N20,0)</f>
        <v>498</v>
      </c>
      <c r="Q20" s="150"/>
      <c r="R20" s="150"/>
      <c r="S20" s="85"/>
      <c r="T20" s="85"/>
      <c r="U20" s="85"/>
      <c r="V20" s="161"/>
      <c r="W20" s="162"/>
    </row>
    <row r="21" spans="1:23" s="143" customFormat="1" x14ac:dyDescent="0.3">
      <c r="A21" s="42"/>
      <c r="B21" s="80">
        <v>14</v>
      </c>
      <c r="C21" s="86">
        <v>61000</v>
      </c>
      <c r="D21" s="87">
        <v>3.1000000000000014E-2</v>
      </c>
      <c r="E21" s="42"/>
      <c r="F21" s="42"/>
      <c r="G21" s="42"/>
      <c r="H21" s="42"/>
      <c r="I21" s="41"/>
      <c r="J21" s="85"/>
      <c r="K21" s="218">
        <v>2</v>
      </c>
      <c r="L21" s="238">
        <f t="shared" ref="L21:M21" si="0">C9</f>
        <v>97000</v>
      </c>
      <c r="M21" s="237">
        <f t="shared" si="0"/>
        <v>7.0000000000000001E-3</v>
      </c>
      <c r="N21" s="219">
        <f t="shared" ref="N21:N34" si="1">(L21/((1+M21)^K21))</f>
        <v>95656.127070782604</v>
      </c>
      <c r="O21" s="219">
        <f t="shared" ref="O21:O34" si="2">(L21/((1+$M$47)^K21))</f>
        <v>92925.134808002753</v>
      </c>
      <c r="P21" s="219">
        <f t="shared" ref="P21:P34" si="3">ROUND(M21*N21,0)</f>
        <v>670</v>
      </c>
      <c r="Q21" s="150"/>
      <c r="R21" s="150"/>
      <c r="S21" s="85"/>
      <c r="T21" s="85"/>
      <c r="U21" s="85"/>
      <c r="V21" s="161"/>
      <c r="W21" s="162"/>
    </row>
    <row r="22" spans="1:23" s="143" customFormat="1" x14ac:dyDescent="0.3">
      <c r="A22" s="42"/>
      <c r="B22" s="80">
        <v>15</v>
      </c>
      <c r="C22" s="86">
        <v>58000</v>
      </c>
      <c r="D22" s="87">
        <v>3.3000000000000015E-2</v>
      </c>
      <c r="E22" s="42"/>
      <c r="F22" s="42"/>
      <c r="G22" s="42"/>
      <c r="H22" s="42"/>
      <c r="I22" s="41"/>
      <c r="J22" s="85"/>
      <c r="K22" s="218">
        <v>3</v>
      </c>
      <c r="L22" s="238">
        <f t="shared" ref="L22:M22" si="4">C10</f>
        <v>94000</v>
      </c>
      <c r="M22" s="237">
        <f t="shared" si="4"/>
        <v>9.0000000000000011E-3</v>
      </c>
      <c r="N22" s="219">
        <f t="shared" si="1"/>
        <v>91507.007875830051</v>
      </c>
      <c r="O22" s="219">
        <f t="shared" si="2"/>
        <v>88139.392316635043</v>
      </c>
      <c r="P22" s="219">
        <f t="shared" si="3"/>
        <v>824</v>
      </c>
      <c r="Q22" s="150"/>
      <c r="R22" s="150"/>
      <c r="S22" s="85"/>
      <c r="T22" s="85"/>
      <c r="U22" s="85"/>
      <c r="V22" s="161"/>
      <c r="W22" s="162"/>
    </row>
    <row r="23" spans="1:23" s="143" customFormat="1" x14ac:dyDescent="0.3">
      <c r="A23" s="42"/>
      <c r="B23" s="42"/>
      <c r="C23" s="42"/>
      <c r="D23" s="42"/>
      <c r="E23" s="42"/>
      <c r="F23" s="42"/>
      <c r="G23" s="42"/>
      <c r="H23" s="42"/>
      <c r="I23" s="41"/>
      <c r="J23" s="85"/>
      <c r="K23" s="218">
        <v>4</v>
      </c>
      <c r="L23" s="238">
        <f t="shared" ref="L23:M23" si="5">C11</f>
        <v>91000</v>
      </c>
      <c r="M23" s="237">
        <f t="shared" si="5"/>
        <v>1.1000000000000001E-2</v>
      </c>
      <c r="N23" s="219">
        <f t="shared" si="1"/>
        <v>87103.73340420131</v>
      </c>
      <c r="O23" s="219">
        <f t="shared" si="2"/>
        <v>83514.96883800393</v>
      </c>
      <c r="P23" s="219">
        <f t="shared" si="3"/>
        <v>958</v>
      </c>
      <c r="Q23" s="150"/>
      <c r="R23" s="150"/>
      <c r="S23" s="85"/>
      <c r="T23" s="85"/>
      <c r="U23" s="85"/>
      <c r="V23" s="161"/>
      <c r="W23" s="162"/>
    </row>
    <row r="24" spans="1:23" s="143" customFormat="1" x14ac:dyDescent="0.3">
      <c r="A24" s="42" t="s">
        <v>5</v>
      </c>
      <c r="B24" s="42" t="s">
        <v>285</v>
      </c>
      <c r="C24" s="42"/>
      <c r="D24" s="42"/>
      <c r="E24" s="73"/>
      <c r="F24" s="42"/>
      <c r="G24" s="42"/>
      <c r="H24" s="42"/>
      <c r="I24" s="41"/>
      <c r="J24" s="85"/>
      <c r="K24" s="218">
        <v>5</v>
      </c>
      <c r="L24" s="238">
        <f t="shared" ref="L24:M24" si="6">C12</f>
        <v>88000</v>
      </c>
      <c r="M24" s="237">
        <f t="shared" si="6"/>
        <v>1.3000000000000001E-2</v>
      </c>
      <c r="N24" s="219">
        <f t="shared" si="1"/>
        <v>82496.485146275329</v>
      </c>
      <c r="O24" s="219">
        <f t="shared" si="2"/>
        <v>79047.171785133818</v>
      </c>
      <c r="P24" s="219">
        <f t="shared" si="3"/>
        <v>1072</v>
      </c>
      <c r="Q24" s="150"/>
      <c r="R24" s="150"/>
      <c r="S24" s="85"/>
      <c r="T24" s="85"/>
      <c r="U24" s="85"/>
      <c r="V24" s="161"/>
      <c r="W24" s="162"/>
    </row>
    <row r="25" spans="1:23" s="143" customFormat="1" x14ac:dyDescent="0.3">
      <c r="A25" s="42"/>
      <c r="B25" s="82"/>
      <c r="C25" s="42"/>
      <c r="D25" s="42"/>
      <c r="E25" s="83"/>
      <c r="F25" s="42"/>
      <c r="G25" s="42"/>
      <c r="H25" s="42"/>
      <c r="I25" s="41"/>
      <c r="J25" s="85"/>
      <c r="K25" s="218">
        <v>6</v>
      </c>
      <c r="L25" s="238">
        <f t="shared" ref="L25:M25" si="7">C13</f>
        <v>85000</v>
      </c>
      <c r="M25" s="237">
        <f t="shared" si="7"/>
        <v>1.5000000000000001E-2</v>
      </c>
      <c r="N25" s="219">
        <f t="shared" si="1"/>
        <v>77736.086364019124</v>
      </c>
      <c r="O25" s="219">
        <f t="shared" si="2"/>
        <v>74731.435109255865</v>
      </c>
      <c r="P25" s="219">
        <f t="shared" si="3"/>
        <v>1166</v>
      </c>
      <c r="Q25" s="150"/>
      <c r="R25" s="150"/>
      <c r="S25" s="85"/>
      <c r="T25" s="85"/>
      <c r="U25" s="85"/>
      <c r="V25" s="161"/>
      <c r="W25" s="162"/>
    </row>
    <row r="26" spans="1:23" s="143" customFormat="1" x14ac:dyDescent="0.3">
      <c r="A26" s="42"/>
      <c r="B26" s="42" t="s">
        <v>278</v>
      </c>
      <c r="C26" s="42"/>
      <c r="D26" s="42"/>
      <c r="E26" s="42"/>
      <c r="F26" s="42"/>
      <c r="G26" s="42"/>
      <c r="H26" s="42"/>
      <c r="I26" s="41"/>
      <c r="J26" s="85"/>
      <c r="K26" s="218">
        <v>7</v>
      </c>
      <c r="L26" s="238">
        <f t="shared" ref="L26:M26" si="8">C14</f>
        <v>82000</v>
      </c>
      <c r="M26" s="237">
        <f t="shared" si="8"/>
        <v>1.7000000000000001E-2</v>
      </c>
      <c r="N26" s="219">
        <f t="shared" si="1"/>
        <v>72873.089470543593</v>
      </c>
      <c r="O26" s="219">
        <f t="shared" si="2"/>
        <v>70563.316042015314</v>
      </c>
      <c r="P26" s="219">
        <f t="shared" si="3"/>
        <v>1239</v>
      </c>
      <c r="Q26" s="150"/>
      <c r="R26" s="150"/>
      <c r="S26" s="85"/>
      <c r="T26" s="85"/>
      <c r="U26" s="85"/>
      <c r="V26" s="161"/>
      <c r="W26" s="162"/>
    </row>
    <row r="27" spans="1:23" s="143" customFormat="1" x14ac:dyDescent="0.3">
      <c r="A27" s="42"/>
      <c r="B27" s="83"/>
      <c r="C27" s="42"/>
      <c r="D27" s="42"/>
      <c r="E27" s="42"/>
      <c r="F27" s="42"/>
      <c r="G27" s="42"/>
      <c r="H27" s="42"/>
      <c r="I27" s="41"/>
      <c r="J27" s="85"/>
      <c r="K27" s="218">
        <v>8</v>
      </c>
      <c r="L27" s="238">
        <f t="shared" ref="L27:M27" si="9">C15</f>
        <v>79000</v>
      </c>
      <c r="M27" s="237">
        <f t="shared" si="9"/>
        <v>1.9000000000000003E-2</v>
      </c>
      <c r="N27" s="219">
        <f t="shared" si="1"/>
        <v>67956.9093676333</v>
      </c>
      <c r="O27" s="219">
        <f t="shared" si="2"/>
        <v>66538.491918972199</v>
      </c>
      <c r="P27" s="219">
        <f t="shared" si="3"/>
        <v>1291</v>
      </c>
      <c r="Q27" s="150"/>
      <c r="R27" s="150"/>
      <c r="S27" s="85"/>
      <c r="T27" s="85"/>
      <c r="U27" s="85"/>
      <c r="V27" s="161"/>
      <c r="W27" s="162"/>
    </row>
    <row r="28" spans="1:23" s="143" customFormat="1" x14ac:dyDescent="0.3">
      <c r="A28" s="42"/>
      <c r="B28" s="42" t="s">
        <v>279</v>
      </c>
      <c r="C28" s="42"/>
      <c r="D28" s="42"/>
      <c r="E28" s="42"/>
      <c r="F28" s="42"/>
      <c r="G28" s="42"/>
      <c r="H28" s="42"/>
      <c r="I28" s="41"/>
      <c r="J28" s="85"/>
      <c r="K28" s="218">
        <v>9</v>
      </c>
      <c r="L28" s="238">
        <f t="shared" ref="L28:M28" si="10">C16</f>
        <v>76000</v>
      </c>
      <c r="M28" s="237">
        <f t="shared" si="10"/>
        <v>2.1000000000000005E-2</v>
      </c>
      <c r="N28" s="219">
        <f t="shared" si="1"/>
        <v>63035.022690104306</v>
      </c>
      <c r="O28" s="219">
        <f t="shared" si="2"/>
        <v>62652.757082411648</v>
      </c>
      <c r="P28" s="219">
        <f t="shared" si="3"/>
        <v>1324</v>
      </c>
      <c r="Q28" s="150"/>
      <c r="R28" s="150"/>
      <c r="S28" s="85"/>
      <c r="T28" s="85"/>
      <c r="U28" s="85"/>
      <c r="V28" s="161"/>
      <c r="W28" s="162"/>
    </row>
    <row r="29" spans="1:23" s="143" customFormat="1" x14ac:dyDescent="0.3">
      <c r="A29" s="42"/>
      <c r="B29" s="84"/>
      <c r="C29" s="42"/>
      <c r="D29" s="42"/>
      <c r="E29" s="42"/>
      <c r="F29" s="42"/>
      <c r="G29" s="42"/>
      <c r="H29" s="42"/>
      <c r="I29" s="41"/>
      <c r="J29" s="85"/>
      <c r="K29" s="218">
        <v>10</v>
      </c>
      <c r="L29" s="238">
        <f t="shared" ref="L29:M29" si="11">C17</f>
        <v>73000</v>
      </c>
      <c r="M29" s="237">
        <f t="shared" si="11"/>
        <v>2.3000000000000007E-2</v>
      </c>
      <c r="N29" s="219">
        <f t="shared" si="1"/>
        <v>58152.250011754135</v>
      </c>
      <c r="O29" s="219">
        <f t="shared" si="2"/>
        <v>58902.019861528592</v>
      </c>
      <c r="P29" s="219">
        <f t="shared" si="3"/>
        <v>1338</v>
      </c>
      <c r="Q29" s="150"/>
      <c r="R29" s="150"/>
      <c r="S29" s="85"/>
      <c r="T29" s="85"/>
      <c r="U29" s="85"/>
      <c r="V29" s="161"/>
      <c r="W29" s="162"/>
    </row>
    <row r="30" spans="1:23" s="143" customFormat="1" x14ac:dyDescent="0.3">
      <c r="A30" s="42"/>
      <c r="B30" s="42" t="s">
        <v>284</v>
      </c>
      <c r="C30" s="42"/>
      <c r="D30" s="42"/>
      <c r="E30" s="42"/>
      <c r="F30" s="42"/>
      <c r="G30" s="42"/>
      <c r="H30" s="42"/>
      <c r="I30" s="41"/>
      <c r="J30" s="85"/>
      <c r="K30" s="218">
        <v>11</v>
      </c>
      <c r="L30" s="238">
        <f t="shared" ref="L30:M30" si="12">C18</f>
        <v>70000</v>
      </c>
      <c r="M30" s="237">
        <f t="shared" si="12"/>
        <v>2.5000000000000008E-2</v>
      </c>
      <c r="N30" s="219">
        <f t="shared" si="1"/>
        <v>53350.134752000871</v>
      </c>
      <c r="O30" s="219">
        <f t="shared" si="2"/>
        <v>55282.299628096931</v>
      </c>
      <c r="P30" s="219">
        <f t="shared" si="3"/>
        <v>1334</v>
      </c>
      <c r="Q30" s="150"/>
      <c r="R30" s="150"/>
      <c r="S30" s="85"/>
      <c r="T30" s="85"/>
      <c r="U30" s="85"/>
      <c r="V30" s="161"/>
      <c r="W30" s="162"/>
    </row>
    <row r="31" spans="1:23" s="143" customFormat="1" x14ac:dyDescent="0.3">
      <c r="A31" s="42"/>
      <c r="B31" s="84"/>
      <c r="C31" s="42"/>
      <c r="D31" s="42"/>
      <c r="E31" s="42"/>
      <c r="F31" s="42"/>
      <c r="G31" s="42"/>
      <c r="H31" s="42"/>
      <c r="I31" s="41"/>
      <c r="J31" s="85"/>
      <c r="K31" s="218">
        <v>12</v>
      </c>
      <c r="L31" s="238">
        <f t="shared" ref="L31:M31" si="13">C19</f>
        <v>67000</v>
      </c>
      <c r="M31" s="237">
        <f t="shared" si="13"/>
        <v>2.700000000000001E-2</v>
      </c>
      <c r="N31" s="219">
        <f t="shared" si="1"/>
        <v>48666.428930273403</v>
      </c>
      <c r="O31" s="219">
        <f t="shared" si="2"/>
        <v>51789.723925779595</v>
      </c>
      <c r="P31" s="219">
        <f t="shared" si="3"/>
        <v>1314</v>
      </c>
      <c r="Q31" s="150"/>
      <c r="R31" s="150"/>
      <c r="S31" s="85"/>
      <c r="T31" s="85"/>
      <c r="U31" s="85"/>
      <c r="V31" s="161"/>
      <c r="W31" s="162"/>
    </row>
    <row r="32" spans="1:23" s="162" customFormat="1" x14ac:dyDescent="0.3">
      <c r="A32" s="42"/>
      <c r="B32" s="84" t="s">
        <v>3</v>
      </c>
      <c r="C32" s="42"/>
      <c r="D32" s="42"/>
      <c r="E32" s="42"/>
      <c r="F32" s="42"/>
      <c r="G32" s="42"/>
      <c r="H32" s="42"/>
      <c r="I32" s="41"/>
      <c r="J32" s="85"/>
      <c r="K32" s="218">
        <v>13</v>
      </c>
      <c r="L32" s="238">
        <f t="shared" ref="L32:M32" si="14">C20</f>
        <v>64000</v>
      </c>
      <c r="M32" s="237">
        <f t="shared" si="14"/>
        <v>2.9000000000000012E-2</v>
      </c>
      <c r="N32" s="219">
        <f t="shared" si="1"/>
        <v>44134.692195313015</v>
      </c>
      <c r="O32" s="219">
        <f t="shared" si="2"/>
        <v>48420.52567127948</v>
      </c>
      <c r="P32" s="219">
        <f t="shared" si="3"/>
        <v>1280</v>
      </c>
      <c r="Q32" s="150"/>
      <c r="R32" s="150"/>
      <c r="S32" s="85"/>
      <c r="T32" s="85"/>
      <c r="U32" s="85"/>
      <c r="V32" s="161"/>
    </row>
    <row r="33" spans="1:22" s="162" customFormat="1" x14ac:dyDescent="0.3">
      <c r="A33" s="42"/>
      <c r="B33" s="42"/>
      <c r="C33" s="42"/>
      <c r="D33" s="42"/>
      <c r="E33" s="42"/>
      <c r="F33" s="42"/>
      <c r="G33" s="42"/>
      <c r="H33" s="42"/>
      <c r="I33" s="41"/>
      <c r="J33" s="85"/>
      <c r="K33" s="218">
        <v>14</v>
      </c>
      <c r="L33" s="238">
        <f t="shared" ref="L33:M33" si="15">C21</f>
        <v>61000</v>
      </c>
      <c r="M33" s="237">
        <f t="shared" si="15"/>
        <v>3.1000000000000014E-2</v>
      </c>
      <c r="N33" s="219">
        <f t="shared" si="1"/>
        <v>39784.006853723724</v>
      </c>
      <c r="O33" s="219">
        <f t="shared" si="2"/>
        <v>45171.040425574887</v>
      </c>
      <c r="P33" s="219">
        <f t="shared" si="3"/>
        <v>1233</v>
      </c>
      <c r="Q33" s="150"/>
      <c r="R33" s="150"/>
      <c r="S33" s="85"/>
      <c r="T33" s="85"/>
      <c r="U33" s="85"/>
      <c r="V33" s="161"/>
    </row>
    <row r="34" spans="1:22" s="162" customFormat="1" x14ac:dyDescent="0.3">
      <c r="A34" s="42"/>
      <c r="B34" s="42"/>
      <c r="C34" s="42"/>
      <c r="D34" s="42"/>
      <c r="E34" s="42"/>
      <c r="F34" s="42"/>
      <c r="G34" s="42"/>
      <c r="H34" s="42"/>
      <c r="I34" s="41"/>
      <c r="J34" s="85"/>
      <c r="K34" s="218">
        <v>15</v>
      </c>
      <c r="L34" s="238">
        <f t="shared" ref="L34:M34" si="16">C22</f>
        <v>58000</v>
      </c>
      <c r="M34" s="237">
        <f t="shared" si="16"/>
        <v>3.3000000000000015E-2</v>
      </c>
      <c r="N34" s="219">
        <f t="shared" si="1"/>
        <v>35638.808071540785</v>
      </c>
      <c r="O34" s="219">
        <f t="shared" si="2"/>
        <v>42037.703733525166</v>
      </c>
      <c r="P34" s="219">
        <f t="shared" si="3"/>
        <v>1176</v>
      </c>
      <c r="Q34" s="150"/>
      <c r="R34" s="150"/>
      <c r="S34" s="85"/>
      <c r="T34" s="85"/>
      <c r="U34" s="85"/>
      <c r="V34" s="161"/>
    </row>
    <row r="35" spans="1:22" s="162" customFormat="1" x14ac:dyDescent="0.3">
      <c r="A35" s="42"/>
      <c r="B35" s="42"/>
      <c r="C35" s="42"/>
      <c r="D35" s="42"/>
      <c r="E35" s="42"/>
      <c r="F35" s="42"/>
      <c r="G35" s="42"/>
      <c r="H35" s="42"/>
      <c r="I35" s="41"/>
      <c r="J35" s="85"/>
      <c r="K35" s="85"/>
      <c r="L35" s="85"/>
      <c r="M35" s="85"/>
      <c r="N35" s="85"/>
      <c r="O35" s="85"/>
      <c r="P35" s="85"/>
      <c r="Q35" s="150"/>
      <c r="R35" s="85"/>
      <c r="S35" s="85"/>
      <c r="T35" s="85"/>
      <c r="U35" s="85"/>
      <c r="V35" s="161"/>
    </row>
    <row r="36" spans="1:22" s="162" customFormat="1" x14ac:dyDescent="0.3">
      <c r="A36" s="42"/>
      <c r="B36" s="42"/>
      <c r="C36" s="42"/>
      <c r="D36" s="42"/>
      <c r="E36" s="42"/>
      <c r="F36" s="42"/>
      <c r="G36" s="42"/>
      <c r="H36" s="42"/>
      <c r="I36" s="41"/>
      <c r="J36" s="85"/>
      <c r="K36" s="85" t="s">
        <v>433</v>
      </c>
      <c r="L36" s="85"/>
      <c r="M36" s="85"/>
      <c r="N36" s="85"/>
      <c r="O36" s="85"/>
      <c r="P36" s="85"/>
      <c r="Q36" s="150"/>
      <c r="R36" s="85"/>
      <c r="S36" s="85"/>
      <c r="T36" s="85"/>
      <c r="U36" s="85"/>
      <c r="V36" s="161"/>
    </row>
    <row r="37" spans="1:22" s="162" customFormat="1" x14ac:dyDescent="0.3">
      <c r="A37" s="42"/>
      <c r="B37" s="42"/>
      <c r="C37" s="42"/>
      <c r="D37" s="42"/>
      <c r="E37" s="42"/>
      <c r="F37" s="42"/>
      <c r="G37" s="42"/>
      <c r="H37" s="42"/>
      <c r="I37" s="41"/>
      <c r="J37" s="85"/>
      <c r="K37" s="85"/>
      <c r="L37" s="85" t="s">
        <v>430</v>
      </c>
      <c r="M37" s="120">
        <f>SUM(N20:N34)</f>
        <v>1017593.2697661846</v>
      </c>
      <c r="N37" s="85"/>
      <c r="O37" s="85"/>
      <c r="P37" s="85"/>
      <c r="Q37" s="150"/>
      <c r="R37" s="85"/>
      <c r="S37" s="85"/>
      <c r="T37" s="85"/>
      <c r="U37" s="85"/>
      <c r="V37" s="161"/>
    </row>
    <row r="38" spans="1:22" s="162" customFormat="1" x14ac:dyDescent="0.3">
      <c r="A38" s="42"/>
      <c r="B38" s="42"/>
      <c r="C38" s="42"/>
      <c r="D38" s="42"/>
      <c r="E38" s="42"/>
      <c r="F38" s="42"/>
      <c r="G38" s="42"/>
      <c r="H38" s="42"/>
      <c r="I38" s="41"/>
      <c r="J38" s="85"/>
      <c r="K38" s="85"/>
      <c r="L38" s="85" t="s">
        <v>431</v>
      </c>
      <c r="M38" s="120">
        <f>SUM(O20:O34)</f>
        <v>1017592.9999246229</v>
      </c>
      <c r="N38" s="85"/>
      <c r="O38" s="85"/>
      <c r="P38" s="85"/>
      <c r="Q38" s="150"/>
      <c r="R38" s="85"/>
      <c r="S38" s="85"/>
      <c r="T38" s="85"/>
      <c r="U38" s="85"/>
      <c r="V38" s="161"/>
    </row>
    <row r="39" spans="1:22" s="162" customFormat="1" x14ac:dyDescent="0.3">
      <c r="A39" s="42"/>
      <c r="B39" s="42"/>
      <c r="C39" s="42"/>
      <c r="D39" s="42"/>
      <c r="E39" s="42"/>
      <c r="F39" s="42"/>
      <c r="G39" s="42"/>
      <c r="H39" s="42"/>
      <c r="I39" s="41"/>
      <c r="J39" s="85"/>
      <c r="K39" s="85"/>
      <c r="L39" s="85"/>
      <c r="M39" s="85"/>
      <c r="N39" s="85"/>
      <c r="O39" s="85"/>
      <c r="P39" s="85"/>
      <c r="Q39" s="150"/>
      <c r="R39" s="85"/>
      <c r="S39" s="85"/>
      <c r="T39" s="85"/>
      <c r="U39" s="85"/>
      <c r="V39" s="161"/>
    </row>
    <row r="40" spans="1:22" s="162" customFormat="1" x14ac:dyDescent="0.3">
      <c r="A40" s="42"/>
      <c r="B40" s="42"/>
      <c r="C40" s="42"/>
      <c r="D40" s="42"/>
      <c r="E40" s="42"/>
      <c r="F40" s="42"/>
      <c r="G40" s="42"/>
      <c r="H40" s="42"/>
      <c r="I40" s="41"/>
      <c r="J40" s="85"/>
      <c r="K40" s="85" t="s">
        <v>434</v>
      </c>
      <c r="L40" s="85"/>
      <c r="M40" s="85"/>
      <c r="N40" s="85"/>
      <c r="O40" s="85"/>
      <c r="P40" s="85"/>
      <c r="Q40" s="150"/>
      <c r="R40" s="85"/>
      <c r="S40" s="85"/>
      <c r="T40" s="85"/>
      <c r="U40" s="85"/>
      <c r="V40" s="161"/>
    </row>
    <row r="41" spans="1:22" s="162" customFormat="1" x14ac:dyDescent="0.3">
      <c r="A41" s="42"/>
      <c r="B41" s="42"/>
      <c r="C41" s="42"/>
      <c r="D41" s="42"/>
      <c r="E41" s="42"/>
      <c r="F41" s="42"/>
      <c r="G41" s="42"/>
      <c r="H41" s="42"/>
      <c r="I41" s="41"/>
      <c r="J41" s="85"/>
      <c r="K41" s="85"/>
      <c r="L41" s="85" t="s">
        <v>432</v>
      </c>
      <c r="M41" s="120">
        <f>SUM(P20:P34)</f>
        <v>16717</v>
      </c>
      <c r="N41" s="85"/>
      <c r="O41" s="85"/>
      <c r="P41" s="85"/>
      <c r="Q41" s="150"/>
      <c r="R41" s="85"/>
      <c r="S41" s="85"/>
      <c r="T41" s="85"/>
      <c r="U41" s="85"/>
      <c r="V41" s="161"/>
    </row>
    <row r="42" spans="1:22" s="162" customFormat="1" x14ac:dyDescent="0.3">
      <c r="A42" s="42"/>
      <c r="B42" s="42"/>
      <c r="C42" s="42"/>
      <c r="D42" s="42"/>
      <c r="E42" s="42"/>
      <c r="F42" s="42"/>
      <c r="G42" s="42"/>
      <c r="H42" s="42"/>
      <c r="I42" s="41"/>
      <c r="J42" s="85"/>
      <c r="K42" s="85"/>
      <c r="L42" s="85" t="s">
        <v>435</v>
      </c>
      <c r="M42" s="120">
        <f>M38*M47</f>
        <v>22071.890388844949</v>
      </c>
      <c r="N42" s="85"/>
      <c r="O42" s="85"/>
      <c r="P42" s="85"/>
      <c r="Q42" s="150"/>
      <c r="R42" s="85"/>
      <c r="S42" s="85"/>
      <c r="T42" s="85"/>
      <c r="U42" s="85"/>
      <c r="V42" s="161"/>
    </row>
    <row r="43" spans="1:22" s="162" customFormat="1" x14ac:dyDescent="0.3">
      <c r="A43" s="42"/>
      <c r="B43" s="42"/>
      <c r="C43" s="42"/>
      <c r="D43" s="42"/>
      <c r="E43" s="42"/>
      <c r="F43" s="42"/>
      <c r="G43" s="42"/>
      <c r="H43" s="42"/>
      <c r="I43" s="41"/>
      <c r="J43" s="85"/>
      <c r="K43" s="85"/>
      <c r="L43" s="85"/>
      <c r="M43" s="85"/>
      <c r="N43" s="85"/>
      <c r="O43" s="85"/>
      <c r="P43" s="85"/>
      <c r="Q43" s="150"/>
      <c r="R43" s="85"/>
      <c r="S43" s="85"/>
      <c r="T43" s="85"/>
      <c r="U43" s="85"/>
      <c r="V43" s="161"/>
    </row>
    <row r="44" spans="1:22" s="162" customFormat="1" x14ac:dyDescent="0.3">
      <c r="A44" s="42"/>
      <c r="B44" s="42"/>
      <c r="C44" s="42"/>
      <c r="D44" s="42"/>
      <c r="E44" s="42"/>
      <c r="F44" s="42"/>
      <c r="G44" s="42"/>
      <c r="H44" s="42"/>
      <c r="I44" s="41"/>
      <c r="J44" s="85"/>
      <c r="K44" s="85"/>
      <c r="L44" s="85"/>
      <c r="M44" s="85"/>
      <c r="N44" s="85"/>
      <c r="O44" s="85"/>
      <c r="P44" s="85"/>
      <c r="Q44" s="150"/>
      <c r="R44" s="85"/>
      <c r="S44" s="85"/>
      <c r="T44" s="85"/>
      <c r="U44" s="85"/>
      <c r="V44" s="161"/>
    </row>
    <row r="45" spans="1:22" x14ac:dyDescent="0.3">
      <c r="K45" s="85" t="s">
        <v>436</v>
      </c>
    </row>
    <row r="46" spans="1:22" s="162" customFormat="1" x14ac:dyDescent="0.3">
      <c r="A46" s="42"/>
      <c r="B46" s="42"/>
      <c r="C46" s="42"/>
      <c r="D46" s="42"/>
      <c r="E46" s="42"/>
      <c r="F46" s="42"/>
      <c r="G46" s="42"/>
      <c r="H46" s="42"/>
      <c r="I46" s="41"/>
      <c r="J46" s="85"/>
      <c r="K46" s="85"/>
      <c r="L46" s="85" t="s">
        <v>441</v>
      </c>
      <c r="M46" s="231">
        <f>M47</f>
        <v>2.1690293064594489E-2</v>
      </c>
      <c r="N46" s="85"/>
      <c r="O46" s="85"/>
      <c r="P46" s="85"/>
      <c r="Q46" s="85"/>
      <c r="R46" s="85"/>
      <c r="S46" s="85"/>
      <c r="T46" s="85"/>
      <c r="U46" s="85"/>
      <c r="V46" s="161"/>
    </row>
    <row r="47" spans="1:22" s="162" customFormat="1" x14ac:dyDescent="0.3">
      <c r="A47" s="42"/>
      <c r="B47" s="42"/>
      <c r="C47" s="42"/>
      <c r="D47" s="42"/>
      <c r="E47" s="42"/>
      <c r="F47" s="42"/>
      <c r="G47" s="42"/>
      <c r="H47" s="42"/>
      <c r="I47" s="41"/>
      <c r="J47" s="85"/>
      <c r="K47" s="85"/>
      <c r="L47" s="85" t="s">
        <v>442</v>
      </c>
      <c r="M47" s="89">
        <v>2.1690293064594489E-2</v>
      </c>
      <c r="N47" s="239" t="s">
        <v>438</v>
      </c>
      <c r="O47" s="85"/>
      <c r="P47" s="85"/>
      <c r="Q47" s="85"/>
      <c r="R47" s="85"/>
      <c r="S47" s="85"/>
      <c r="T47" s="85"/>
      <c r="U47" s="85"/>
      <c r="V47" s="161"/>
    </row>
    <row r="49" spans="1:22" s="162" customFormat="1" x14ac:dyDescent="0.3">
      <c r="A49" s="42"/>
      <c r="B49" s="42"/>
      <c r="C49" s="42"/>
      <c r="D49" s="42"/>
      <c r="E49" s="42"/>
      <c r="F49" s="42"/>
      <c r="G49" s="42"/>
      <c r="H49" s="42"/>
      <c r="I49" s="41"/>
      <c r="J49" s="85"/>
      <c r="K49" s="85"/>
      <c r="L49" s="85" t="s">
        <v>439</v>
      </c>
      <c r="M49" s="89">
        <f>M41/M37</f>
        <v>1.6427978148716642E-2</v>
      </c>
      <c r="N49" s="85"/>
      <c r="O49" s="85"/>
      <c r="P49" s="85"/>
      <c r="Q49" s="85"/>
      <c r="R49" s="85"/>
      <c r="S49" s="85"/>
      <c r="T49" s="85"/>
      <c r="U49" s="85"/>
      <c r="V49" s="161"/>
    </row>
    <row r="50" spans="1:22" x14ac:dyDescent="0.3">
      <c r="L50" s="85" t="s">
        <v>440</v>
      </c>
      <c r="M50" s="236" t="s">
        <v>437</v>
      </c>
    </row>
  </sheetData>
  <sheetProtection algorithmName="SHA-512" hashValue="j1EY9X5JrbhBv3gvofJAdNsxCVRMytcJIftYg4VC0jvsBmcENWA+3hummy7s5alk3YaR7t5UR127g7StSDCLJg==" saltValue="mp+y7KC5qimjAAeYIXDeNw==" spinCount="100000" sheet="1" objects="1" scenario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CD9C7-B65C-47AE-A7F7-5438EA87DF93}">
  <dimension ref="A1:W114"/>
  <sheetViews>
    <sheetView zoomScale="57" zoomScaleNormal="70" workbookViewId="0">
      <selection activeCell="C35" sqref="C35"/>
    </sheetView>
  </sheetViews>
  <sheetFormatPr defaultColWidth="8.6640625" defaultRowHeight="15.6" x14ac:dyDescent="0.3"/>
  <cols>
    <col min="1" max="1" width="3.6640625" style="42" customWidth="1"/>
    <col min="2" max="2" width="51.109375" style="42" customWidth="1"/>
    <col min="3" max="3" width="64.44140625" style="42" customWidth="1"/>
    <col min="4" max="4" width="6.88671875" style="42" customWidth="1"/>
    <col min="5" max="5" width="0.109375" style="42" customWidth="1"/>
    <col min="6" max="6" width="2.6640625" style="42" customWidth="1"/>
    <col min="7" max="7" width="1" style="41" customWidth="1"/>
    <col min="8" max="8" width="5" style="49" customWidth="1"/>
    <col min="9" max="9" width="12" style="49" customWidth="1"/>
    <col min="10" max="10" width="17.33203125" style="49" customWidth="1"/>
    <col min="11" max="11" width="13.44140625" style="49" customWidth="1"/>
    <col min="12" max="12" width="14.5546875" style="49" customWidth="1"/>
    <col min="13" max="13" width="15" style="49" customWidth="1"/>
    <col min="14" max="14" width="15.109375" style="49" customWidth="1"/>
    <col min="15" max="15" width="14.33203125" style="49" customWidth="1"/>
    <col min="16" max="16" width="8.6640625" style="49"/>
    <col min="17" max="17" width="14.6640625" style="49" customWidth="1"/>
    <col min="18" max="18" width="1" style="161" customWidth="1"/>
    <col min="19" max="19" width="12.6640625" style="144" customWidth="1"/>
    <col min="20" max="20" width="15.33203125" style="144" customWidth="1"/>
    <col min="21" max="21" width="16" style="144" customWidth="1"/>
    <col min="22" max="16384" width="8.6640625" style="144"/>
  </cols>
  <sheetData>
    <row r="1" spans="1:23" s="143" customFormat="1" x14ac:dyDescent="0.3">
      <c r="A1" s="47" t="s">
        <v>257</v>
      </c>
      <c r="B1" s="42"/>
      <c r="C1" s="42"/>
      <c r="D1" s="42"/>
      <c r="E1" s="42"/>
      <c r="F1" s="42"/>
      <c r="G1" s="41"/>
      <c r="H1" s="151" t="str">
        <f>A1</f>
        <v>Exam RETDAU:  Fall 2022</v>
      </c>
      <c r="I1" s="152"/>
      <c r="J1" s="152"/>
      <c r="K1" s="152"/>
      <c r="L1" s="152"/>
      <c r="M1" s="152"/>
      <c r="N1" s="152"/>
      <c r="O1" s="152"/>
      <c r="P1" s="152"/>
      <c r="Q1" s="152"/>
      <c r="R1" s="161"/>
    </row>
    <row r="2" spans="1:23" s="143" customFormat="1" x14ac:dyDescent="0.3">
      <c r="A2" s="47" t="s">
        <v>0</v>
      </c>
      <c r="B2" s="42"/>
      <c r="C2" s="42"/>
      <c r="D2" s="42"/>
      <c r="E2" s="42"/>
      <c r="F2" s="42"/>
      <c r="G2" s="41"/>
      <c r="H2" s="151" t="str">
        <f>A2</f>
        <v>Design and Accounting Exam – U.S.</v>
      </c>
      <c r="I2" s="152"/>
      <c r="J2" s="152"/>
      <c r="K2" s="152"/>
      <c r="L2" s="152"/>
      <c r="M2" s="152"/>
      <c r="N2" s="152"/>
      <c r="O2" s="152"/>
      <c r="P2" s="152"/>
      <c r="Q2" s="152"/>
      <c r="R2" s="161"/>
    </row>
    <row r="3" spans="1:23" s="143" customFormat="1" x14ac:dyDescent="0.3">
      <c r="A3" s="47" t="s">
        <v>258</v>
      </c>
      <c r="B3" s="42"/>
      <c r="C3" s="42"/>
      <c r="D3" s="42"/>
      <c r="E3" s="42"/>
      <c r="F3" s="42"/>
      <c r="G3" s="41"/>
      <c r="H3" s="151" t="str">
        <f>A3</f>
        <v>Question 8</v>
      </c>
      <c r="I3" s="152"/>
      <c r="J3" s="152"/>
      <c r="K3" s="152"/>
      <c r="L3" s="152"/>
      <c r="M3" s="152"/>
      <c r="N3" s="152"/>
      <c r="O3" s="152"/>
      <c r="P3" s="152"/>
      <c r="Q3" s="152"/>
      <c r="R3" s="161"/>
    </row>
    <row r="4" spans="1:23" s="143" customFormat="1" x14ac:dyDescent="0.3">
      <c r="A4" s="42"/>
      <c r="B4" s="42"/>
      <c r="C4" s="42"/>
      <c r="D4" s="42"/>
      <c r="E4" s="42"/>
      <c r="F4" s="42"/>
      <c r="G4" s="41"/>
      <c r="H4" s="152"/>
      <c r="I4" s="152"/>
      <c r="J4" s="152"/>
      <c r="K4" s="152"/>
      <c r="L4" s="152"/>
      <c r="M4" s="152"/>
      <c r="N4" s="152"/>
      <c r="O4" s="152"/>
      <c r="P4" s="152"/>
      <c r="Q4" s="152"/>
      <c r="R4" s="161"/>
    </row>
    <row r="5" spans="1:23" s="143" customFormat="1" ht="16.2" customHeight="1" x14ac:dyDescent="0.35">
      <c r="A5" s="242" t="s">
        <v>259</v>
      </c>
      <c r="B5" s="242"/>
      <c r="C5" s="242"/>
      <c r="D5" s="242"/>
      <c r="E5" s="242"/>
      <c r="F5" s="242"/>
      <c r="G5" s="41"/>
      <c r="H5" s="153" t="s">
        <v>1</v>
      </c>
      <c r="I5" s="152"/>
      <c r="J5" s="152"/>
      <c r="K5" s="152"/>
      <c r="L5" s="152"/>
      <c r="M5" s="152"/>
      <c r="N5" s="152"/>
      <c r="O5" s="152"/>
      <c r="P5" s="152"/>
      <c r="Q5" s="152"/>
      <c r="R5" s="161"/>
    </row>
    <row r="6" spans="1:23" s="143" customFormat="1" ht="15.6" customHeight="1" x14ac:dyDescent="0.3">
      <c r="A6" s="73"/>
      <c r="B6" s="73"/>
      <c r="C6" s="73"/>
      <c r="D6" s="73"/>
      <c r="E6" s="73"/>
      <c r="F6" s="73"/>
      <c r="G6" s="41"/>
      <c r="H6" s="152"/>
      <c r="I6" s="152"/>
      <c r="J6" s="152"/>
      <c r="K6" s="152"/>
      <c r="L6" s="152"/>
      <c r="M6" s="152"/>
      <c r="N6" s="152"/>
      <c r="O6" s="152"/>
      <c r="P6" s="152"/>
      <c r="Q6" s="152"/>
      <c r="R6" s="161"/>
    </row>
    <row r="7" spans="1:23" s="143" customFormat="1" ht="15.6" customHeight="1" x14ac:dyDescent="0.3">
      <c r="A7" s="73"/>
      <c r="B7" s="76" t="s">
        <v>260</v>
      </c>
      <c r="C7" s="92" t="s">
        <v>271</v>
      </c>
      <c r="D7" s="73"/>
      <c r="E7" s="73"/>
      <c r="F7" s="73"/>
      <c r="G7" s="41"/>
      <c r="H7" s="152" t="s">
        <v>5</v>
      </c>
      <c r="I7" s="154" t="s">
        <v>283</v>
      </c>
      <c r="J7" s="155"/>
      <c r="K7" s="155"/>
      <c r="L7" s="155"/>
      <c r="M7" s="155"/>
      <c r="N7" s="155"/>
      <c r="O7" s="155"/>
      <c r="P7" s="155"/>
      <c r="Q7" s="155"/>
      <c r="R7" s="161"/>
    </row>
    <row r="8" spans="1:23" s="143" customFormat="1" ht="31.2" x14ac:dyDescent="0.3">
      <c r="A8" s="73"/>
      <c r="B8" s="91" t="s">
        <v>261</v>
      </c>
      <c r="C8" s="77" t="s">
        <v>272</v>
      </c>
      <c r="D8" s="73"/>
      <c r="E8" s="73"/>
      <c r="F8" s="73"/>
      <c r="G8" s="41"/>
      <c r="H8" s="152"/>
      <c r="I8" s="154"/>
      <c r="J8" s="155"/>
      <c r="K8" s="155"/>
      <c r="L8" s="155"/>
      <c r="M8" s="155"/>
      <c r="N8" s="155"/>
      <c r="O8" s="155"/>
      <c r="P8" s="155"/>
      <c r="Q8" s="155"/>
      <c r="R8" s="161"/>
    </row>
    <row r="9" spans="1:23" s="143" customFormat="1" x14ac:dyDescent="0.3">
      <c r="A9" s="73"/>
      <c r="B9" s="91" t="s">
        <v>262</v>
      </c>
      <c r="C9" s="77" t="s">
        <v>273</v>
      </c>
      <c r="D9" s="73"/>
      <c r="E9" s="73"/>
      <c r="F9" s="73"/>
      <c r="G9" s="41"/>
      <c r="H9" s="152"/>
      <c r="I9" s="154" t="str">
        <f>B23</f>
        <v>Show all work and justify your response.</v>
      </c>
      <c r="J9" s="155"/>
      <c r="K9" s="155"/>
      <c r="L9" s="155"/>
      <c r="M9" s="155"/>
      <c r="N9" s="155"/>
      <c r="O9" s="155"/>
      <c r="P9" s="155"/>
      <c r="Q9" s="155"/>
      <c r="R9" s="161"/>
    </row>
    <row r="10" spans="1:23" s="143" customFormat="1" ht="46.8" x14ac:dyDescent="0.3">
      <c r="A10" s="42"/>
      <c r="B10" s="91" t="s">
        <v>263</v>
      </c>
      <c r="C10" s="77" t="s">
        <v>274</v>
      </c>
      <c r="D10" s="42"/>
      <c r="E10" s="42"/>
      <c r="F10" s="42"/>
      <c r="G10" s="41"/>
      <c r="H10" s="165"/>
      <c r="I10" s="165"/>
      <c r="J10" s="165"/>
      <c r="K10" s="165"/>
      <c r="L10" s="165"/>
      <c r="M10" s="165"/>
      <c r="N10" s="165"/>
      <c r="O10" s="165"/>
      <c r="P10" s="165"/>
      <c r="Q10" s="165"/>
      <c r="R10" s="161"/>
    </row>
    <row r="11" spans="1:23" s="167" customFormat="1" x14ac:dyDescent="0.3">
      <c r="A11" s="93"/>
      <c r="B11" s="94"/>
      <c r="C11" s="95"/>
      <c r="D11" s="93"/>
      <c r="E11" s="93"/>
      <c r="F11" s="93"/>
      <c r="G11" s="96"/>
      <c r="H11" s="243" t="s">
        <v>366</v>
      </c>
      <c r="I11" s="243"/>
      <c r="J11" s="243"/>
      <c r="K11" s="243"/>
      <c r="L11" s="243"/>
      <c r="M11" s="49"/>
      <c r="N11" s="243" t="s">
        <v>367</v>
      </c>
      <c r="O11" s="243"/>
      <c r="P11" s="49"/>
      <c r="Q11" s="243" t="s">
        <v>263</v>
      </c>
      <c r="R11" s="243"/>
      <c r="S11" s="243"/>
      <c r="T11" s="243"/>
      <c r="U11" s="243"/>
      <c r="V11" s="188"/>
      <c r="W11" s="188"/>
    </row>
    <row r="12" spans="1:23" s="143" customFormat="1" x14ac:dyDescent="0.3">
      <c r="A12" s="42" t="s">
        <v>264</v>
      </c>
      <c r="B12" s="94"/>
      <c r="C12" s="95"/>
      <c r="D12" s="42"/>
      <c r="E12" s="42"/>
      <c r="F12" s="42"/>
      <c r="G12" s="41"/>
      <c r="H12" s="49" t="s">
        <v>90</v>
      </c>
      <c r="I12" s="49" t="s">
        <v>294</v>
      </c>
      <c r="J12" s="49" t="s">
        <v>368</v>
      </c>
      <c r="K12" s="49" t="s">
        <v>369</v>
      </c>
      <c r="L12" s="49" t="s">
        <v>370</v>
      </c>
      <c r="M12" s="49"/>
      <c r="N12" s="49" t="s">
        <v>371</v>
      </c>
      <c r="O12" s="49" t="s">
        <v>372</v>
      </c>
      <c r="P12" s="49"/>
      <c r="Q12" s="49" t="s">
        <v>373</v>
      </c>
      <c r="R12" s="41"/>
      <c r="S12" t="s">
        <v>374</v>
      </c>
      <c r="T12" t="s">
        <v>375</v>
      </c>
      <c r="U12" t="s">
        <v>376</v>
      </c>
      <c r="V12"/>
      <c r="W12" t="s">
        <v>377</v>
      </c>
    </row>
    <row r="13" spans="1:23" s="143" customFormat="1" x14ac:dyDescent="0.3">
      <c r="A13" s="42"/>
      <c r="B13" s="94"/>
      <c r="C13" s="95"/>
      <c r="D13" s="42"/>
      <c r="E13" s="42"/>
      <c r="F13" s="42"/>
      <c r="G13" s="41"/>
      <c r="H13" s="49">
        <v>45</v>
      </c>
      <c r="I13" s="53">
        <v>100000</v>
      </c>
      <c r="J13" s="62">
        <f>0.01*I13</f>
        <v>1000</v>
      </c>
      <c r="K13" s="62">
        <f>J13</f>
        <v>1000</v>
      </c>
      <c r="L13" s="62">
        <f>C$17*K13/(1+$C$14)^(65-H14)</f>
        <v>6644.9939366908129</v>
      </c>
      <c r="M13" s="49"/>
      <c r="N13" s="189">
        <f>0.08*I13</f>
        <v>8000</v>
      </c>
      <c r="O13" s="189">
        <f>N13</f>
        <v>8000</v>
      </c>
      <c r="P13" s="49"/>
      <c r="Q13" s="62">
        <f>0.5*L13</f>
        <v>3322.4969683454065</v>
      </c>
      <c r="R13" s="41"/>
      <c r="S13" s="190">
        <f>0.05*I13</f>
        <v>5000</v>
      </c>
      <c r="T13" s="189">
        <f>S13</f>
        <v>5000</v>
      </c>
      <c r="U13" s="190">
        <f>Q13+T13</f>
        <v>8322.4969683454074</v>
      </c>
      <c r="V13"/>
      <c r="W13" t="str">
        <f>IF(MAX(L13,O13,U13)=L13,"DB",IF(MAX(L13,O13,U13)=O13,"DC","Hybrid"))</f>
        <v>Hybrid</v>
      </c>
    </row>
    <row r="14" spans="1:23" s="143" customFormat="1" x14ac:dyDescent="0.3">
      <c r="A14" s="42"/>
      <c r="B14" s="78" t="s">
        <v>265</v>
      </c>
      <c r="C14" s="79">
        <v>0.04</v>
      </c>
      <c r="D14" s="42"/>
      <c r="E14" s="42"/>
      <c r="F14" s="42"/>
      <c r="G14" s="41"/>
      <c r="H14" s="49">
        <f>1+H13</f>
        <v>46</v>
      </c>
      <c r="I14" s="54">
        <f>I13*(1+$C$15)</f>
        <v>101000</v>
      </c>
      <c r="J14" s="62">
        <f t="shared" ref="J14:J32" si="0">0.01*I14</f>
        <v>1010</v>
      </c>
      <c r="K14" s="62">
        <f>K13+J14</f>
        <v>2010</v>
      </c>
      <c r="L14" s="62">
        <f t="shared" ref="L14:L32" si="1">C$17*K14/(1+$C$14)^(65-H15)</f>
        <v>13890.695325258474</v>
      </c>
      <c r="M14" s="49"/>
      <c r="N14" s="189">
        <f t="shared" ref="N14:N32" si="2">0.08*I14</f>
        <v>8080</v>
      </c>
      <c r="O14" s="62">
        <f>O13*(1+C$14)+N14</f>
        <v>16400</v>
      </c>
      <c r="P14" s="49"/>
      <c r="Q14" s="62">
        <f t="shared" ref="Q14:Q32" si="3">0.5*L14</f>
        <v>6945.3476626292368</v>
      </c>
      <c r="R14" s="41"/>
      <c r="S14" s="190">
        <f t="shared" ref="S14:S17" si="4">0.05*I14</f>
        <v>5050</v>
      </c>
      <c r="T14" s="62">
        <f>T13*(1+C$14)+S14</f>
        <v>10250</v>
      </c>
      <c r="U14" s="190">
        <f t="shared" ref="U14:U32" si="5">Q14+T14</f>
        <v>17195.347662629236</v>
      </c>
      <c r="V14"/>
      <c r="W14" t="str">
        <f t="shared" ref="W14:W32" si="6">IF(MAX(L14,O14,U14)=L14,"DB",IF(MAX(L14,O14,U14)=O14,"DC","Hybrid"))</f>
        <v>Hybrid</v>
      </c>
    </row>
    <row r="15" spans="1:23" s="143" customFormat="1" x14ac:dyDescent="0.3">
      <c r="A15" s="42"/>
      <c r="B15" s="78" t="s">
        <v>266</v>
      </c>
      <c r="C15" s="79">
        <v>0.01</v>
      </c>
      <c r="D15" s="42"/>
      <c r="E15" s="42"/>
      <c r="F15" s="42"/>
      <c r="G15" s="41"/>
      <c r="H15" s="49">
        <f t="shared" ref="H15:H33" si="7">1+H14</f>
        <v>47</v>
      </c>
      <c r="I15" s="54">
        <f t="shared" ref="I15:I32" si="8">I14*(1+$C$15)</f>
        <v>102010</v>
      </c>
      <c r="J15" s="62">
        <f t="shared" si="0"/>
        <v>1020.1</v>
      </c>
      <c r="K15" s="62">
        <f t="shared" ref="K15:K32" si="9">K14+J15</f>
        <v>3030.1</v>
      </c>
      <c r="L15" s="62">
        <f t="shared" si="1"/>
        <v>21778.011811576285</v>
      </c>
      <c r="M15" s="49"/>
      <c r="N15" s="189">
        <f t="shared" si="2"/>
        <v>8160.8</v>
      </c>
      <c r="O15" s="62">
        <f t="shared" ref="O15:O32" si="10">O14*(1+C$14)+N15</f>
        <v>25216.799999999999</v>
      </c>
      <c r="P15" s="49"/>
      <c r="Q15" s="62">
        <f t="shared" si="3"/>
        <v>10889.005905788143</v>
      </c>
      <c r="R15" s="41"/>
      <c r="S15" s="190">
        <f t="shared" si="4"/>
        <v>5100.5</v>
      </c>
      <c r="T15" s="62">
        <f t="shared" ref="T15:T32" si="11">T14*(1+C$14)+S15</f>
        <v>15760.5</v>
      </c>
      <c r="U15" s="190">
        <f t="shared" si="5"/>
        <v>26649.505905788144</v>
      </c>
      <c r="V15"/>
      <c r="W15" t="str">
        <f t="shared" si="6"/>
        <v>Hybrid</v>
      </c>
    </row>
    <row r="16" spans="1:23" s="143" customFormat="1" x14ac:dyDescent="0.3">
      <c r="A16" s="42"/>
      <c r="B16" s="78" t="s">
        <v>267</v>
      </c>
      <c r="C16" s="80" t="s">
        <v>2</v>
      </c>
      <c r="D16" s="42"/>
      <c r="E16" s="42"/>
      <c r="F16" s="42"/>
      <c r="G16" s="41"/>
      <c r="H16" s="49">
        <f t="shared" si="7"/>
        <v>48</v>
      </c>
      <c r="I16" s="54">
        <f t="shared" si="8"/>
        <v>103030.1</v>
      </c>
      <c r="J16" s="62">
        <f t="shared" si="0"/>
        <v>1030.3010000000002</v>
      </c>
      <c r="K16" s="62">
        <f t="shared" si="9"/>
        <v>4060.4009999999998</v>
      </c>
      <c r="L16" s="62">
        <f t="shared" si="1"/>
        <v>30350.338066481509</v>
      </c>
      <c r="M16" s="49"/>
      <c r="N16" s="189">
        <f t="shared" si="2"/>
        <v>8242.4080000000013</v>
      </c>
      <c r="O16" s="62">
        <f t="shared" si="10"/>
        <v>34467.880000000005</v>
      </c>
      <c r="P16" s="49"/>
      <c r="Q16" s="62">
        <f t="shared" si="3"/>
        <v>15175.169033240754</v>
      </c>
      <c r="R16" s="41"/>
      <c r="S16" s="190">
        <f t="shared" si="4"/>
        <v>5151.505000000001</v>
      </c>
      <c r="T16" s="62">
        <f t="shared" si="11"/>
        <v>21542.425000000003</v>
      </c>
      <c r="U16" s="190">
        <f t="shared" si="5"/>
        <v>36717.594033240755</v>
      </c>
      <c r="V16"/>
      <c r="W16" t="str">
        <f t="shared" si="6"/>
        <v>Hybrid</v>
      </c>
    </row>
    <row r="17" spans="1:23" s="143" customFormat="1" x14ac:dyDescent="0.3">
      <c r="A17" s="42"/>
      <c r="B17" s="78" t="s">
        <v>268</v>
      </c>
      <c r="C17" s="97">
        <v>14</v>
      </c>
      <c r="D17" s="42"/>
      <c r="E17" s="42"/>
      <c r="F17" s="42"/>
      <c r="G17" s="41"/>
      <c r="H17" s="49">
        <f t="shared" si="7"/>
        <v>49</v>
      </c>
      <c r="I17" s="54">
        <f t="shared" si="8"/>
        <v>104060.40100000001</v>
      </c>
      <c r="J17" s="62">
        <f t="shared" si="0"/>
        <v>1040.6040100000002</v>
      </c>
      <c r="K17" s="62">
        <f t="shared" si="9"/>
        <v>5101.0050099999999</v>
      </c>
      <c r="L17" s="62">
        <f t="shared" si="1"/>
        <v>39653.698143018024</v>
      </c>
      <c r="M17" s="49"/>
      <c r="N17" s="189">
        <f t="shared" si="2"/>
        <v>8324.832080000002</v>
      </c>
      <c r="O17" s="62">
        <f t="shared" si="10"/>
        <v>44171.427280000004</v>
      </c>
      <c r="P17" s="49"/>
      <c r="Q17" s="62">
        <f t="shared" si="3"/>
        <v>19826.849071509012</v>
      </c>
      <c r="R17" s="41"/>
      <c r="S17" s="190">
        <f t="shared" si="4"/>
        <v>5203.020050000001</v>
      </c>
      <c r="T17" s="62">
        <f t="shared" si="11"/>
        <v>27607.142050000002</v>
      </c>
      <c r="U17" s="190">
        <f t="shared" si="5"/>
        <v>47433.991121509011</v>
      </c>
      <c r="V17"/>
      <c r="W17" t="str">
        <f t="shared" si="6"/>
        <v>Hybrid</v>
      </c>
    </row>
    <row r="18" spans="1:23" s="143" customFormat="1" x14ac:dyDescent="0.3">
      <c r="A18" s="42"/>
      <c r="B18" s="78" t="s">
        <v>269</v>
      </c>
      <c r="C18" s="80" t="s">
        <v>2</v>
      </c>
      <c r="D18" s="42"/>
      <c r="E18" s="42"/>
      <c r="F18" s="42"/>
      <c r="G18" s="41"/>
      <c r="H18" s="49">
        <f t="shared" si="7"/>
        <v>50</v>
      </c>
      <c r="I18" s="54">
        <f t="shared" si="8"/>
        <v>105101.00501000001</v>
      </c>
      <c r="J18" s="62">
        <f t="shared" si="0"/>
        <v>1051.0100501000002</v>
      </c>
      <c r="K18" s="62">
        <f t="shared" si="9"/>
        <v>6152.0150601000005</v>
      </c>
      <c r="L18" s="62">
        <f t="shared" si="1"/>
        <v>49736.895688931421</v>
      </c>
      <c r="M18" s="49"/>
      <c r="N18" s="189">
        <f t="shared" si="2"/>
        <v>8408.0804008000014</v>
      </c>
      <c r="O18" s="62">
        <f t="shared" si="10"/>
        <v>54346.364772000001</v>
      </c>
      <c r="P18" s="49"/>
      <c r="Q18" s="62">
        <f t="shared" si="3"/>
        <v>24868.447844465711</v>
      </c>
      <c r="R18" s="41"/>
      <c r="S18" s="190">
        <f>0.02*I18</f>
        <v>2102.0201002000003</v>
      </c>
      <c r="T18" s="62">
        <f t="shared" si="11"/>
        <v>30813.447832200003</v>
      </c>
      <c r="U18" s="191">
        <f t="shared" si="5"/>
        <v>55681.895676665714</v>
      </c>
      <c r="V18"/>
      <c r="W18" t="str">
        <f t="shared" si="6"/>
        <v>Hybrid</v>
      </c>
    </row>
    <row r="19" spans="1:23" s="143" customFormat="1" x14ac:dyDescent="0.3">
      <c r="A19" s="42"/>
      <c r="B19" s="78" t="s">
        <v>270</v>
      </c>
      <c r="C19" s="80" t="s">
        <v>275</v>
      </c>
      <c r="D19" s="42"/>
      <c r="E19" s="42"/>
      <c r="F19" s="42"/>
      <c r="G19" s="41"/>
      <c r="H19" s="49">
        <f t="shared" si="7"/>
        <v>51</v>
      </c>
      <c r="I19" s="54">
        <f t="shared" si="8"/>
        <v>106152.01506010001</v>
      </c>
      <c r="J19" s="62">
        <f t="shared" si="0"/>
        <v>1061.5201506010001</v>
      </c>
      <c r="K19" s="62">
        <f t="shared" si="9"/>
        <v>7213.5352107010003</v>
      </c>
      <c r="L19" s="62">
        <f t="shared" si="1"/>
        <v>60651.672437539055</v>
      </c>
      <c r="M19" s="49"/>
      <c r="N19" s="189">
        <f t="shared" si="2"/>
        <v>8492.1612048080005</v>
      </c>
      <c r="O19" s="62">
        <f t="shared" si="10"/>
        <v>65012.380567688</v>
      </c>
      <c r="P19" s="49"/>
      <c r="Q19" s="62">
        <f t="shared" si="3"/>
        <v>30325.836218769527</v>
      </c>
      <c r="R19" s="41"/>
      <c r="S19" s="190">
        <f t="shared" ref="S19:S32" si="12">0.02*I19</f>
        <v>2123.0403012020001</v>
      </c>
      <c r="T19" s="62">
        <f t="shared" si="11"/>
        <v>34169.026046690007</v>
      </c>
      <c r="U19" s="190">
        <f t="shared" si="5"/>
        <v>64494.862265459538</v>
      </c>
      <c r="V19"/>
      <c r="W19" t="str">
        <f t="shared" si="6"/>
        <v>DC</v>
      </c>
    </row>
    <row r="20" spans="1:23" s="143" customFormat="1" ht="15.6" customHeight="1" x14ac:dyDescent="0.3">
      <c r="A20" s="42"/>
      <c r="B20" s="73"/>
      <c r="C20" s="45"/>
      <c r="D20" s="42"/>
      <c r="E20" s="42"/>
      <c r="F20" s="42"/>
      <c r="G20" s="41"/>
      <c r="H20" s="49">
        <f t="shared" si="7"/>
        <v>52</v>
      </c>
      <c r="I20" s="54">
        <f t="shared" si="8"/>
        <v>107213.53521070101</v>
      </c>
      <c r="J20" s="62">
        <f t="shared" si="0"/>
        <v>1072.13535210701</v>
      </c>
      <c r="K20" s="62">
        <f t="shared" si="9"/>
        <v>8285.6705628080108</v>
      </c>
      <c r="L20" s="62">
        <f t="shared" si="1"/>
        <v>72452.875422511948</v>
      </c>
      <c r="M20" s="49"/>
      <c r="N20" s="189">
        <f t="shared" si="2"/>
        <v>8577.0828168560802</v>
      </c>
      <c r="O20" s="62">
        <f t="shared" si="10"/>
        <v>76189.95860725161</v>
      </c>
      <c r="P20" s="49"/>
      <c r="Q20" s="62">
        <f t="shared" si="3"/>
        <v>36226.437711255974</v>
      </c>
      <c r="R20" s="41"/>
      <c r="S20" s="190">
        <f t="shared" si="12"/>
        <v>2144.27070421402</v>
      </c>
      <c r="T20" s="62">
        <f t="shared" si="11"/>
        <v>37680.057792771629</v>
      </c>
      <c r="U20" s="190">
        <f t="shared" si="5"/>
        <v>73906.495504027611</v>
      </c>
      <c r="V20"/>
      <c r="W20" t="str">
        <f t="shared" si="6"/>
        <v>DC</v>
      </c>
    </row>
    <row r="21" spans="1:23" s="143" customFormat="1" ht="15.6" customHeight="1" x14ac:dyDescent="0.3">
      <c r="A21" s="42" t="s">
        <v>5</v>
      </c>
      <c r="B21" s="242" t="s">
        <v>282</v>
      </c>
      <c r="C21" s="242"/>
      <c r="D21" s="242"/>
      <c r="E21" s="242"/>
      <c r="F21" s="242"/>
      <c r="G21" s="41"/>
      <c r="H21" s="49">
        <f t="shared" si="7"/>
        <v>53</v>
      </c>
      <c r="I21" s="54">
        <f t="shared" si="8"/>
        <v>108285.67056280802</v>
      </c>
      <c r="J21" s="62">
        <f t="shared" si="0"/>
        <v>1082.8567056280804</v>
      </c>
      <c r="K21" s="62">
        <f t="shared" si="9"/>
        <v>9368.5272684360916</v>
      </c>
      <c r="L21" s="62">
        <f t="shared" si="1"/>
        <v>85198.633385692301</v>
      </c>
      <c r="M21" s="49"/>
      <c r="N21" s="189">
        <f t="shared" si="2"/>
        <v>8662.8536450246429</v>
      </c>
      <c r="O21" s="62">
        <f t="shared" si="10"/>
        <v>87900.410596566318</v>
      </c>
      <c r="P21" s="49"/>
      <c r="Q21" s="62">
        <f t="shared" si="3"/>
        <v>42599.316692846151</v>
      </c>
      <c r="R21" s="41"/>
      <c r="S21" s="190">
        <f t="shared" si="12"/>
        <v>2165.7134112561607</v>
      </c>
      <c r="T21" s="62">
        <f t="shared" si="11"/>
        <v>41352.97351573866</v>
      </c>
      <c r="U21" s="190">
        <f t="shared" si="5"/>
        <v>83952.290208584804</v>
      </c>
      <c r="V21"/>
      <c r="W21" t="str">
        <f t="shared" si="6"/>
        <v>DC</v>
      </c>
    </row>
    <row r="22" spans="1:23" s="143" customFormat="1" ht="15.6" customHeight="1" x14ac:dyDescent="0.3">
      <c r="A22" s="42"/>
      <c r="B22" s="242"/>
      <c r="C22" s="242"/>
      <c r="D22" s="242"/>
      <c r="E22" s="242"/>
      <c r="F22" s="242"/>
      <c r="G22" s="41"/>
      <c r="H22" s="49">
        <f t="shared" si="7"/>
        <v>54</v>
      </c>
      <c r="I22" s="54">
        <f t="shared" si="8"/>
        <v>109368.52726843611</v>
      </c>
      <c r="J22" s="62">
        <f t="shared" si="0"/>
        <v>1093.6852726843611</v>
      </c>
      <c r="K22" s="62">
        <f t="shared" si="9"/>
        <v>10462.212541120452</v>
      </c>
      <c r="L22" s="62">
        <f t="shared" si="1"/>
        <v>98950.542871892379</v>
      </c>
      <c r="M22" s="49"/>
      <c r="N22" s="189">
        <f t="shared" si="2"/>
        <v>8749.4821814748884</v>
      </c>
      <c r="O22" s="192">
        <f t="shared" si="10"/>
        <v>100165.90920190387</v>
      </c>
      <c r="P22" s="49"/>
      <c r="Q22" s="62">
        <f t="shared" si="3"/>
        <v>49475.27143594619</v>
      </c>
      <c r="R22" s="41"/>
      <c r="S22" s="190">
        <f t="shared" si="12"/>
        <v>2187.3705453687221</v>
      </c>
      <c r="T22" s="62">
        <f t="shared" si="11"/>
        <v>45194.463001736927</v>
      </c>
      <c r="U22" s="190">
        <f t="shared" si="5"/>
        <v>94669.734437683117</v>
      </c>
      <c r="V22"/>
      <c r="W22" t="str">
        <f t="shared" si="6"/>
        <v>DC</v>
      </c>
    </row>
    <row r="23" spans="1:23" x14ac:dyDescent="0.3">
      <c r="B23" s="44" t="s">
        <v>276</v>
      </c>
      <c r="H23" s="49">
        <f t="shared" si="7"/>
        <v>55</v>
      </c>
      <c r="I23" s="54">
        <f t="shared" si="8"/>
        <v>110462.21254112048</v>
      </c>
      <c r="J23" s="62">
        <f t="shared" si="0"/>
        <v>1104.6221254112047</v>
      </c>
      <c r="K23" s="62">
        <f t="shared" si="9"/>
        <v>11566.834666531657</v>
      </c>
      <c r="L23" s="62">
        <f t="shared" si="1"/>
        <v>113773.86453073939</v>
      </c>
      <c r="N23" s="189">
        <f t="shared" si="2"/>
        <v>8836.9770032896377</v>
      </c>
      <c r="O23" s="62">
        <f t="shared" si="10"/>
        <v>113009.52257326966</v>
      </c>
      <c r="Q23" s="62">
        <f t="shared" si="3"/>
        <v>56886.932265369695</v>
      </c>
      <c r="R23" s="41"/>
      <c r="S23" s="190">
        <f t="shared" si="12"/>
        <v>2209.2442508224094</v>
      </c>
      <c r="T23" s="62">
        <f t="shared" si="11"/>
        <v>49211.485772628817</v>
      </c>
      <c r="U23" s="190">
        <f t="shared" si="5"/>
        <v>106098.41803799852</v>
      </c>
      <c r="V23"/>
      <c r="W23" t="str">
        <f t="shared" si="6"/>
        <v>DB</v>
      </c>
    </row>
    <row r="24" spans="1:23" x14ac:dyDescent="0.3">
      <c r="B24" s="44"/>
      <c r="H24" s="49">
        <f t="shared" si="7"/>
        <v>56</v>
      </c>
      <c r="I24" s="54">
        <f t="shared" si="8"/>
        <v>111566.83466653168</v>
      </c>
      <c r="J24" s="62">
        <f t="shared" si="0"/>
        <v>1115.6683466653169</v>
      </c>
      <c r="K24" s="62">
        <f t="shared" si="9"/>
        <v>12682.503013196974</v>
      </c>
      <c r="L24" s="62">
        <f t="shared" si="1"/>
        <v>129737.73017311645</v>
      </c>
      <c r="N24" s="189">
        <f t="shared" si="2"/>
        <v>8925.3467733225352</v>
      </c>
      <c r="O24" s="62">
        <f t="shared" si="10"/>
        <v>126455.25024952299</v>
      </c>
      <c r="Q24" s="62">
        <f t="shared" si="3"/>
        <v>64868.865086558224</v>
      </c>
      <c r="R24" s="41"/>
      <c r="S24" s="190">
        <f t="shared" si="12"/>
        <v>2231.3366933306338</v>
      </c>
      <c r="T24" s="62">
        <f t="shared" si="11"/>
        <v>53411.281896864602</v>
      </c>
      <c r="U24" s="190">
        <f t="shared" si="5"/>
        <v>118280.14698342283</v>
      </c>
      <c r="V24"/>
      <c r="W24" t="str">
        <f t="shared" si="6"/>
        <v>DB</v>
      </c>
    </row>
    <row r="25" spans="1:23" ht="16.2" x14ac:dyDescent="0.3">
      <c r="B25" s="43" t="s">
        <v>4</v>
      </c>
      <c r="H25" s="49">
        <f t="shared" si="7"/>
        <v>57</v>
      </c>
      <c r="I25" s="54">
        <f t="shared" si="8"/>
        <v>112682.503013197</v>
      </c>
      <c r="J25" s="62">
        <f t="shared" si="0"/>
        <v>1126.8250301319699</v>
      </c>
      <c r="K25" s="62">
        <f t="shared" si="9"/>
        <v>13809.328043328944</v>
      </c>
      <c r="L25" s="62">
        <f t="shared" si="1"/>
        <v>146915.36115867039</v>
      </c>
      <c r="N25" s="189">
        <f t="shared" si="2"/>
        <v>9014.6002410557594</v>
      </c>
      <c r="O25" s="62">
        <f t="shared" si="10"/>
        <v>140528.06050055969</v>
      </c>
      <c r="Q25" s="62">
        <f t="shared" si="3"/>
        <v>73457.680579335196</v>
      </c>
      <c r="R25" s="41"/>
      <c r="S25" s="190">
        <f t="shared" si="12"/>
        <v>2253.6500602639398</v>
      </c>
      <c r="T25" s="62">
        <f t="shared" si="11"/>
        <v>57801.383233003129</v>
      </c>
      <c r="U25" s="190">
        <f t="shared" si="5"/>
        <v>131259.06381233834</v>
      </c>
      <c r="V25"/>
      <c r="W25" t="str">
        <f t="shared" si="6"/>
        <v>DB</v>
      </c>
    </row>
    <row r="26" spans="1:23" x14ac:dyDescent="0.3">
      <c r="H26" s="49">
        <f t="shared" si="7"/>
        <v>58</v>
      </c>
      <c r="I26" s="54">
        <f t="shared" si="8"/>
        <v>113809.32804332896</v>
      </c>
      <c r="J26" s="62">
        <f t="shared" si="0"/>
        <v>1138.0932804332897</v>
      </c>
      <c r="K26" s="62">
        <f t="shared" si="9"/>
        <v>14947.421323762233</v>
      </c>
      <c r="L26" s="62">
        <f t="shared" si="1"/>
        <v>165384.29872128944</v>
      </c>
      <c r="N26" s="189">
        <f t="shared" si="2"/>
        <v>9104.7462434663175</v>
      </c>
      <c r="O26" s="62">
        <f t="shared" si="10"/>
        <v>155253.9291640484</v>
      </c>
      <c r="Q26" s="62">
        <f t="shared" si="3"/>
        <v>82692.149360644718</v>
      </c>
      <c r="R26" s="41"/>
      <c r="S26" s="190">
        <f t="shared" si="12"/>
        <v>2276.1865608665794</v>
      </c>
      <c r="T26" s="62">
        <f t="shared" si="11"/>
        <v>62389.625123189835</v>
      </c>
      <c r="U26" s="190">
        <f t="shared" si="5"/>
        <v>145081.77448383457</v>
      </c>
      <c r="V26"/>
      <c r="W26" t="str">
        <f t="shared" si="6"/>
        <v>DB</v>
      </c>
    </row>
    <row r="27" spans="1:23" x14ac:dyDescent="0.3">
      <c r="H27" s="49">
        <f t="shared" si="7"/>
        <v>59</v>
      </c>
      <c r="I27" s="54">
        <f t="shared" si="8"/>
        <v>114947.42132376225</v>
      </c>
      <c r="J27" s="62">
        <f t="shared" si="0"/>
        <v>1149.4742132376225</v>
      </c>
      <c r="K27" s="62">
        <f t="shared" si="9"/>
        <v>16096.895536999857</v>
      </c>
      <c r="L27" s="62">
        <f t="shared" si="1"/>
        <v>185226.64687147335</v>
      </c>
      <c r="N27" s="189">
        <f t="shared" si="2"/>
        <v>9195.7937059009801</v>
      </c>
      <c r="O27" s="62">
        <f t="shared" si="10"/>
        <v>170659.88003651134</v>
      </c>
      <c r="Q27" s="62">
        <f t="shared" si="3"/>
        <v>92613.323435736675</v>
      </c>
      <c r="R27" s="41"/>
      <c r="S27" s="190">
        <f t="shared" si="12"/>
        <v>2298.948426475245</v>
      </c>
      <c r="T27" s="62">
        <f t="shared" si="11"/>
        <v>67184.158554592679</v>
      </c>
      <c r="U27" s="190">
        <f t="shared" si="5"/>
        <v>159797.48199032934</v>
      </c>
      <c r="V27"/>
      <c r="W27" t="str">
        <f t="shared" si="6"/>
        <v>DB</v>
      </c>
    </row>
    <row r="28" spans="1:23" x14ac:dyDescent="0.3">
      <c r="H28" s="49">
        <f t="shared" si="7"/>
        <v>60</v>
      </c>
      <c r="I28" s="54">
        <f t="shared" si="8"/>
        <v>116096.89553699987</v>
      </c>
      <c r="J28" s="62">
        <f t="shared" si="0"/>
        <v>1160.9689553699989</v>
      </c>
      <c r="K28" s="62">
        <f t="shared" si="9"/>
        <v>17257.864492369856</v>
      </c>
      <c r="L28" s="62">
        <f t="shared" si="1"/>
        <v>206529.32854821178</v>
      </c>
      <c r="N28" s="189">
        <f t="shared" si="2"/>
        <v>9287.7516429599909</v>
      </c>
      <c r="O28" s="62">
        <f t="shared" si="10"/>
        <v>186774.02688093178</v>
      </c>
      <c r="Q28" s="62">
        <f t="shared" si="3"/>
        <v>103264.66427410589</v>
      </c>
      <c r="R28" s="41"/>
      <c r="S28" s="190">
        <f t="shared" si="12"/>
        <v>2321.9379107399977</v>
      </c>
      <c r="T28" s="62">
        <f t="shared" si="11"/>
        <v>72193.462807516393</v>
      </c>
      <c r="U28" s="190">
        <f t="shared" si="5"/>
        <v>175458.12708162228</v>
      </c>
      <c r="V28"/>
      <c r="W28" t="str">
        <f t="shared" si="6"/>
        <v>DB</v>
      </c>
    </row>
    <row r="29" spans="1:23" x14ac:dyDescent="0.3">
      <c r="H29" s="49">
        <f t="shared" si="7"/>
        <v>61</v>
      </c>
      <c r="I29" s="54">
        <f t="shared" si="8"/>
        <v>117257.86449236987</v>
      </c>
      <c r="J29" s="62">
        <f t="shared" si="0"/>
        <v>1172.5786449236987</v>
      </c>
      <c r="K29" s="62">
        <f t="shared" si="9"/>
        <v>18430.443137293554</v>
      </c>
      <c r="L29" s="62">
        <f t="shared" si="1"/>
        <v>229384.35572843449</v>
      </c>
      <c r="N29" s="189">
        <f t="shared" si="2"/>
        <v>9380.6291593895894</v>
      </c>
      <c r="O29" s="62">
        <f t="shared" si="10"/>
        <v>203625.61711555865</v>
      </c>
      <c r="Q29" s="62">
        <f t="shared" si="3"/>
        <v>114692.17786421724</v>
      </c>
      <c r="R29" s="41"/>
      <c r="S29" s="190">
        <f t="shared" si="12"/>
        <v>2345.1572898473974</v>
      </c>
      <c r="T29" s="62">
        <f t="shared" si="11"/>
        <v>77426.358609664443</v>
      </c>
      <c r="U29" s="190">
        <f t="shared" si="5"/>
        <v>192118.53647388169</v>
      </c>
      <c r="V29"/>
      <c r="W29" t="str">
        <f t="shared" si="6"/>
        <v>DB</v>
      </c>
    </row>
    <row r="30" spans="1:23" x14ac:dyDescent="0.3">
      <c r="H30" s="49">
        <f t="shared" si="7"/>
        <v>62</v>
      </c>
      <c r="I30" s="54">
        <f t="shared" si="8"/>
        <v>118430.44313729358</v>
      </c>
      <c r="J30" s="62">
        <f t="shared" si="0"/>
        <v>1184.3044313729358</v>
      </c>
      <c r="K30" s="62">
        <f t="shared" si="9"/>
        <v>19614.747568666491</v>
      </c>
      <c r="L30" s="62">
        <f t="shared" si="1"/>
        <v>253889.11423939612</v>
      </c>
      <c r="N30" s="189">
        <f t="shared" si="2"/>
        <v>9474.4354509834866</v>
      </c>
      <c r="O30" s="62">
        <f t="shared" si="10"/>
        <v>221245.0772511645</v>
      </c>
      <c r="Q30" s="62">
        <f t="shared" si="3"/>
        <v>126944.55711969806</v>
      </c>
      <c r="R30" s="41"/>
      <c r="S30" s="190">
        <f t="shared" si="12"/>
        <v>2368.6088627458716</v>
      </c>
      <c r="T30" s="62">
        <f t="shared" si="11"/>
        <v>82892.021816796885</v>
      </c>
      <c r="U30" s="190">
        <f t="shared" si="5"/>
        <v>209836.57893649495</v>
      </c>
      <c r="V30"/>
      <c r="W30" t="str">
        <f t="shared" si="6"/>
        <v>DB</v>
      </c>
    </row>
    <row r="31" spans="1:23" x14ac:dyDescent="0.3">
      <c r="H31" s="49">
        <f t="shared" si="7"/>
        <v>63</v>
      </c>
      <c r="I31" s="54">
        <f t="shared" si="8"/>
        <v>119614.74756866651</v>
      </c>
      <c r="J31" s="62">
        <f t="shared" si="0"/>
        <v>1196.1474756866651</v>
      </c>
      <c r="K31" s="62">
        <f t="shared" si="9"/>
        <v>20810.895044353158</v>
      </c>
      <c r="L31" s="62">
        <f t="shared" si="1"/>
        <v>280146.6640586002</v>
      </c>
      <c r="N31" s="189">
        <f t="shared" si="2"/>
        <v>9569.1798054933206</v>
      </c>
      <c r="O31" s="62">
        <f t="shared" si="10"/>
        <v>239664.06014670443</v>
      </c>
      <c r="Q31" s="62">
        <f t="shared" si="3"/>
        <v>140073.3320293001</v>
      </c>
      <c r="R31" s="41"/>
      <c r="S31" s="190">
        <f t="shared" si="12"/>
        <v>2392.2949513733302</v>
      </c>
      <c r="T31" s="62">
        <f t="shared" si="11"/>
        <v>88599.997640842092</v>
      </c>
      <c r="U31" s="190">
        <f t="shared" si="5"/>
        <v>228673.32967014221</v>
      </c>
      <c r="V31"/>
      <c r="W31" t="str">
        <f t="shared" si="6"/>
        <v>DB</v>
      </c>
    </row>
    <row r="32" spans="1:23" x14ac:dyDescent="0.3">
      <c r="H32" s="49">
        <f t="shared" si="7"/>
        <v>64</v>
      </c>
      <c r="I32" s="54">
        <f t="shared" si="8"/>
        <v>120810.89504435318</v>
      </c>
      <c r="J32" s="62">
        <f t="shared" si="0"/>
        <v>1208.1089504435317</v>
      </c>
      <c r="K32" s="62">
        <f t="shared" si="9"/>
        <v>22019.003994796691</v>
      </c>
      <c r="L32" s="192">
        <f t="shared" si="1"/>
        <v>308266.05592715368</v>
      </c>
      <c r="N32" s="189">
        <f t="shared" si="2"/>
        <v>9664.8716035482539</v>
      </c>
      <c r="O32" s="62">
        <f t="shared" si="10"/>
        <v>258915.49415612087</v>
      </c>
      <c r="Q32" s="62">
        <f t="shared" si="3"/>
        <v>154133.02796357684</v>
      </c>
      <c r="R32" s="41"/>
      <c r="S32" s="190">
        <f t="shared" si="12"/>
        <v>2416.2179008870635</v>
      </c>
      <c r="T32" s="62">
        <f t="shared" si="11"/>
        <v>94560.215447362832</v>
      </c>
      <c r="U32" s="190">
        <f t="shared" si="5"/>
        <v>248693.24341093967</v>
      </c>
      <c r="V32"/>
      <c r="W32" t="str">
        <f t="shared" si="6"/>
        <v>DB</v>
      </c>
    </row>
    <row r="33" spans="8:23" x14ac:dyDescent="0.3">
      <c r="H33" s="49">
        <f t="shared" si="7"/>
        <v>65</v>
      </c>
      <c r="J33" s="53"/>
      <c r="K33" s="62"/>
      <c r="R33" s="41"/>
      <c r="S33"/>
      <c r="T33"/>
      <c r="U33"/>
      <c r="V33"/>
      <c r="W33"/>
    </row>
    <row r="34" spans="8:23" x14ac:dyDescent="0.3">
      <c r="J34" s="53"/>
      <c r="R34" s="41"/>
      <c r="S34"/>
      <c r="T34"/>
      <c r="U34"/>
      <c r="V34"/>
      <c r="W34"/>
    </row>
    <row r="35" spans="8:23" x14ac:dyDescent="0.3">
      <c r="H35" s="49" t="s">
        <v>378</v>
      </c>
      <c r="J35" s="53"/>
      <c r="R35" s="41"/>
      <c r="S35"/>
      <c r="T35"/>
      <c r="U35"/>
      <c r="V35"/>
      <c r="W35"/>
    </row>
    <row r="36" spans="8:23" x14ac:dyDescent="0.3">
      <c r="R36" s="41"/>
      <c r="S36"/>
      <c r="T36"/>
      <c r="U36"/>
      <c r="V36"/>
      <c r="W36"/>
    </row>
    <row r="37" spans="8:23" x14ac:dyDescent="0.3">
      <c r="H37" s="49" t="s">
        <v>379</v>
      </c>
      <c r="J37" s="55"/>
      <c r="R37" s="41"/>
      <c r="S37"/>
      <c r="T37"/>
      <c r="U37"/>
      <c r="V37"/>
      <c r="W37"/>
    </row>
    <row r="38" spans="8:23" x14ac:dyDescent="0.3">
      <c r="H38" s="49" t="s">
        <v>380</v>
      </c>
      <c r="R38" s="41"/>
      <c r="S38"/>
      <c r="T38"/>
      <c r="U38"/>
      <c r="V38"/>
      <c r="W38"/>
    </row>
    <row r="39" spans="8:23" x14ac:dyDescent="0.3">
      <c r="H39" s="49" t="s">
        <v>381</v>
      </c>
      <c r="I39" s="50"/>
      <c r="R39" s="41"/>
      <c r="S39"/>
      <c r="T39"/>
      <c r="U39"/>
      <c r="V39"/>
      <c r="W39"/>
    </row>
    <row r="41" spans="8:23" x14ac:dyDescent="0.3">
      <c r="I41" s="56"/>
    </row>
    <row r="43" spans="8:23" x14ac:dyDescent="0.3">
      <c r="I43" s="54"/>
    </row>
    <row r="44" spans="8:23" ht="15.75" customHeight="1" x14ac:dyDescent="0.3">
      <c r="I44" s="54"/>
    </row>
    <row r="45" spans="8:23" x14ac:dyDescent="0.3">
      <c r="I45" s="53"/>
    </row>
    <row r="46" spans="8:23" x14ac:dyDescent="0.3">
      <c r="I46" s="54"/>
    </row>
    <row r="47" spans="8:23" x14ac:dyDescent="0.3">
      <c r="I47" s="54"/>
    </row>
    <row r="48" spans="8:23" x14ac:dyDescent="0.3">
      <c r="I48" s="54"/>
    </row>
    <row r="52" spans="9:11" x14ac:dyDescent="0.3">
      <c r="I52" s="53"/>
    </row>
    <row r="55" spans="9:11" x14ac:dyDescent="0.3">
      <c r="I55" s="55"/>
    </row>
    <row r="56" spans="9:11" x14ac:dyDescent="0.3">
      <c r="I56" s="55"/>
    </row>
    <row r="57" spans="9:11" x14ac:dyDescent="0.3">
      <c r="I57" s="53"/>
      <c r="K57" s="52"/>
    </row>
    <row r="58" spans="9:11" x14ac:dyDescent="0.3">
      <c r="I58" s="53"/>
    </row>
    <row r="59" spans="9:11" x14ac:dyDescent="0.3">
      <c r="I59" s="53"/>
    </row>
    <row r="60" spans="9:11" x14ac:dyDescent="0.3">
      <c r="I60" s="55"/>
    </row>
    <row r="61" spans="9:11" x14ac:dyDescent="0.3">
      <c r="I61" s="53"/>
    </row>
    <row r="62" spans="9:11" x14ac:dyDescent="0.3">
      <c r="I62" s="53"/>
    </row>
    <row r="63" spans="9:11" x14ac:dyDescent="0.3">
      <c r="I63" s="53"/>
    </row>
    <row r="64" spans="9:11" x14ac:dyDescent="0.3">
      <c r="I64" s="55"/>
    </row>
    <row r="65" spans="9:11" x14ac:dyDescent="0.3">
      <c r="I65" s="53"/>
    </row>
    <row r="66" spans="9:11" x14ac:dyDescent="0.3">
      <c r="I66" s="53"/>
    </row>
    <row r="67" spans="9:11" x14ac:dyDescent="0.3">
      <c r="I67" s="55"/>
    </row>
    <row r="68" spans="9:11" x14ac:dyDescent="0.3">
      <c r="I68" s="55"/>
    </row>
    <row r="69" spans="9:11" x14ac:dyDescent="0.3">
      <c r="I69" s="55"/>
    </row>
    <row r="77" spans="9:11" x14ac:dyDescent="0.3">
      <c r="K77" s="53"/>
    </row>
    <row r="79" spans="9:11" x14ac:dyDescent="0.3">
      <c r="K79" s="53"/>
    </row>
    <row r="80" spans="9:11" x14ac:dyDescent="0.3">
      <c r="K80" s="53"/>
    </row>
    <row r="83" spans="10:13" x14ac:dyDescent="0.3">
      <c r="K83" s="51"/>
    </row>
    <row r="84" spans="10:13" x14ac:dyDescent="0.3">
      <c r="K84" s="53"/>
    </row>
    <row r="86" spans="10:13" x14ac:dyDescent="0.3">
      <c r="K86" s="52"/>
    </row>
    <row r="87" spans="10:13" x14ac:dyDescent="0.3">
      <c r="K87" s="57"/>
    </row>
    <row r="88" spans="10:13" x14ac:dyDescent="0.3">
      <c r="J88" s="53"/>
    </row>
    <row r="89" spans="10:13" x14ac:dyDescent="0.3">
      <c r="J89" s="53"/>
    </row>
    <row r="91" spans="10:13" x14ac:dyDescent="0.3">
      <c r="J91" s="58"/>
      <c r="K91" s="59"/>
      <c r="M91" s="59"/>
    </row>
    <row r="92" spans="10:13" x14ac:dyDescent="0.3">
      <c r="J92" s="52"/>
      <c r="K92" s="52"/>
      <c r="L92" s="51"/>
      <c r="M92" s="52"/>
    </row>
    <row r="93" spans="10:13" x14ac:dyDescent="0.3">
      <c r="J93" s="52"/>
      <c r="K93" s="52"/>
      <c r="L93" s="51"/>
      <c r="M93" s="52"/>
    </row>
    <row r="94" spans="10:13" x14ac:dyDescent="0.3">
      <c r="J94" s="52"/>
      <c r="K94" s="52"/>
      <c r="L94" s="51"/>
      <c r="M94" s="52"/>
    </row>
    <row r="95" spans="10:13" x14ac:dyDescent="0.3">
      <c r="J95" s="60"/>
      <c r="K95" s="60"/>
      <c r="L95" s="60"/>
      <c r="M95" s="60"/>
    </row>
    <row r="100" spans="9:13" x14ac:dyDescent="0.3">
      <c r="I100" s="61"/>
    </row>
    <row r="102" spans="9:13" x14ac:dyDescent="0.3">
      <c r="I102" s="54"/>
    </row>
    <row r="103" spans="9:13" x14ac:dyDescent="0.3">
      <c r="I103" s="54"/>
    </row>
    <row r="104" spans="9:13" x14ac:dyDescent="0.3">
      <c r="I104" s="54"/>
    </row>
    <row r="105" spans="9:13" x14ac:dyDescent="0.3">
      <c r="I105" s="54"/>
    </row>
    <row r="106" spans="9:13" x14ac:dyDescent="0.3">
      <c r="J106" s="62"/>
    </row>
    <row r="109" spans="9:13" x14ac:dyDescent="0.3">
      <c r="I109" s="51"/>
      <c r="K109" s="63"/>
      <c r="L109" s="63"/>
      <c r="M109" s="64"/>
    </row>
    <row r="110" spans="9:13" x14ac:dyDescent="0.3">
      <c r="K110" s="54"/>
      <c r="L110" s="65"/>
      <c r="M110" s="54"/>
    </row>
    <row r="111" spans="9:13" x14ac:dyDescent="0.3">
      <c r="K111" s="54"/>
      <c r="L111" s="65"/>
      <c r="M111" s="54"/>
    </row>
    <row r="112" spans="9:13" x14ac:dyDescent="0.3">
      <c r="K112" s="66"/>
      <c r="L112" s="67"/>
      <c r="M112" s="54"/>
    </row>
    <row r="113" spans="8:13" x14ac:dyDescent="0.3">
      <c r="K113" s="54"/>
      <c r="L113" s="54"/>
      <c r="M113" s="54"/>
    </row>
    <row r="114" spans="8:13" x14ac:dyDescent="0.3">
      <c r="H114" s="68"/>
    </row>
  </sheetData>
  <sheetProtection algorithmName="SHA-512" hashValue="SyMvZRWg8lpUYc3asTW94xV3Ohg4atkWPLvhcWp99LZwpI5gaz4tD2OFgJEEomBcwHL/E03fR6Q+S9/tSALmdw==" saltValue="9p2ugRglLLURahy2VqMceg==" spinCount="100000" sheet="1" objects="1" scenarios="1"/>
  <mergeCells count="5">
    <mergeCell ref="A5:F5"/>
    <mergeCell ref="B21:F22"/>
    <mergeCell ref="H11:L11"/>
    <mergeCell ref="N11:O11"/>
    <mergeCell ref="Q11:U1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C292F-3CB6-4B31-B8D8-B604B6ED72A6}">
  <dimension ref="A1:X79"/>
  <sheetViews>
    <sheetView zoomScale="75" zoomScaleNormal="75" workbookViewId="0">
      <selection sqref="A1:XFD1048576"/>
    </sheetView>
  </sheetViews>
  <sheetFormatPr defaultColWidth="9.33203125" defaultRowHeight="15.6" x14ac:dyDescent="0.3"/>
  <cols>
    <col min="1" max="1" width="3.6640625" style="42" customWidth="1"/>
    <col min="2" max="2" width="47.5546875" style="42" customWidth="1"/>
    <col min="3" max="3" width="27" style="42" customWidth="1"/>
    <col min="4" max="4" width="30.33203125" style="42" customWidth="1"/>
    <col min="5" max="5" width="9" style="42" customWidth="1"/>
    <col min="6" max="6" width="1" style="41" customWidth="1"/>
    <col min="7" max="7" width="4" style="85" customWidth="1"/>
    <col min="8" max="8" width="29.33203125" style="85" customWidth="1"/>
    <col min="9" max="9" width="21.109375" style="85" customWidth="1"/>
    <col min="10" max="10" width="27.6640625" style="85" customWidth="1"/>
    <col min="11" max="11" width="16.33203125" style="85" customWidth="1"/>
    <col min="12" max="13" width="9.33203125" style="85"/>
    <col min="14" max="14" width="1" style="81" customWidth="1"/>
    <col min="15" max="16" width="4" style="85" customWidth="1"/>
    <col min="17" max="17" width="29.33203125" style="85" customWidth="1"/>
    <col min="18" max="18" width="21.109375" style="85" customWidth="1"/>
    <col min="19" max="19" width="27.6640625" style="85" customWidth="1"/>
    <col min="20" max="20" width="16.109375" style="85" customWidth="1"/>
    <col min="21" max="21" width="16.33203125" style="85" customWidth="1"/>
    <col min="22" max="22" width="15" style="81" customWidth="1"/>
    <col min="23" max="23" width="14.44140625" style="162" customWidth="1"/>
    <col min="24" max="24" width="15.6640625" style="162" customWidth="1"/>
    <col min="25" max="16384" width="9.33203125" style="162"/>
  </cols>
  <sheetData>
    <row r="1" spans="1:24" x14ac:dyDescent="0.3">
      <c r="A1" s="47" t="str">
        <f>'Question 8'!A1</f>
        <v>Exam RETDAU:  Fall 2022</v>
      </c>
      <c r="G1" s="151" t="str">
        <f>A1</f>
        <v>Exam RETDAU:  Fall 2022</v>
      </c>
      <c r="H1" s="152"/>
      <c r="I1" s="152"/>
      <c r="J1" s="152"/>
      <c r="K1" s="152"/>
      <c r="L1" s="152"/>
      <c r="M1" s="152"/>
      <c r="O1" s="151" t="str">
        <f>G1</f>
        <v>Exam RETDAU:  Fall 2022</v>
      </c>
      <c r="P1" s="151"/>
      <c r="Q1" s="152"/>
      <c r="R1" s="152"/>
      <c r="S1" s="152"/>
      <c r="T1" s="152"/>
      <c r="U1" s="152"/>
    </row>
    <row r="2" spans="1:24" x14ac:dyDescent="0.3">
      <c r="A2" s="47" t="str">
        <f>'Question 8'!A2</f>
        <v>Design and Accounting Exam – U.S.</v>
      </c>
      <c r="G2" s="151" t="str">
        <f>A2</f>
        <v>Design and Accounting Exam – U.S.</v>
      </c>
      <c r="H2" s="152"/>
      <c r="I2" s="152"/>
      <c r="J2" s="152"/>
      <c r="K2" s="152"/>
      <c r="L2" s="152"/>
      <c r="M2" s="152"/>
      <c r="O2" s="151" t="str">
        <f t="shared" ref="O2:O3" si="0">G2</f>
        <v>Design and Accounting Exam – U.S.</v>
      </c>
      <c r="P2" s="151"/>
      <c r="Q2" s="152"/>
      <c r="R2" s="152"/>
      <c r="S2" s="152"/>
      <c r="T2" s="152"/>
      <c r="U2" s="152"/>
    </row>
    <row r="3" spans="1:24" x14ac:dyDescent="0.3">
      <c r="A3" s="47" t="s">
        <v>308</v>
      </c>
      <c r="G3" s="151" t="str">
        <f>A3</f>
        <v>Question 9</v>
      </c>
      <c r="H3" s="152"/>
      <c r="I3" s="152"/>
      <c r="J3" s="152"/>
      <c r="K3" s="152"/>
      <c r="L3" s="152"/>
      <c r="M3" s="152"/>
      <c r="O3" s="151" t="str">
        <f t="shared" si="0"/>
        <v>Question 9</v>
      </c>
      <c r="P3" s="151"/>
      <c r="Q3" s="152"/>
      <c r="R3" s="152"/>
      <c r="S3" s="152"/>
      <c r="T3" s="152"/>
      <c r="U3" s="152"/>
    </row>
    <row r="4" spans="1:24" x14ac:dyDescent="0.3">
      <c r="G4" s="152"/>
      <c r="H4" s="152"/>
      <c r="I4" s="152"/>
      <c r="J4" s="152"/>
      <c r="K4" s="152"/>
      <c r="L4" s="152"/>
      <c r="M4" s="152"/>
      <c r="O4" s="152"/>
      <c r="P4" s="152"/>
      <c r="Q4" s="152"/>
      <c r="R4" s="152"/>
      <c r="S4" s="152"/>
      <c r="T4" s="152"/>
      <c r="U4" s="152"/>
    </row>
    <row r="5" spans="1:24" ht="16.2" x14ac:dyDescent="0.35">
      <c r="A5" s="106" t="s">
        <v>324</v>
      </c>
      <c r="G5" s="153" t="s">
        <v>1</v>
      </c>
      <c r="H5" s="152"/>
      <c r="I5" s="152"/>
      <c r="J5" s="152"/>
      <c r="K5" s="152"/>
      <c r="L5" s="152"/>
      <c r="M5" s="152"/>
      <c r="O5" s="153" t="s">
        <v>1</v>
      </c>
      <c r="P5" s="153"/>
      <c r="Q5" s="152"/>
      <c r="R5" s="152"/>
      <c r="S5" s="152"/>
      <c r="T5" s="152"/>
      <c r="U5" s="152"/>
    </row>
    <row r="6" spans="1:24" x14ac:dyDescent="0.3">
      <c r="A6" s="106"/>
      <c r="G6" s="152"/>
      <c r="H6" s="152"/>
      <c r="I6" s="152"/>
      <c r="J6" s="152"/>
      <c r="K6" s="152"/>
      <c r="L6" s="152"/>
      <c r="M6" s="152"/>
      <c r="O6" s="152"/>
      <c r="P6" s="152"/>
      <c r="Q6" s="152"/>
      <c r="R6" s="152"/>
      <c r="S6" s="152"/>
      <c r="T6" s="152"/>
      <c r="U6" s="152"/>
    </row>
    <row r="7" spans="1:24" x14ac:dyDescent="0.3">
      <c r="A7" s="106" t="s">
        <v>309</v>
      </c>
      <c r="G7" s="152" t="s">
        <v>5</v>
      </c>
      <c r="H7" s="246" t="s">
        <v>339</v>
      </c>
      <c r="I7" s="247"/>
      <c r="J7" s="247"/>
      <c r="K7" s="247"/>
      <c r="L7" s="247"/>
      <c r="M7" s="160"/>
      <c r="O7" s="171" t="s">
        <v>301</v>
      </c>
      <c r="P7" s="171"/>
      <c r="Q7" s="172" t="s">
        <v>343</v>
      </c>
      <c r="R7" s="152"/>
      <c r="S7" s="152"/>
      <c r="T7" s="152"/>
      <c r="U7" s="152"/>
    </row>
    <row r="8" spans="1:24" ht="15.6" customHeight="1" x14ac:dyDescent="0.3">
      <c r="G8" s="152"/>
      <c r="H8" s="247"/>
      <c r="I8" s="247"/>
      <c r="J8" s="247"/>
      <c r="K8" s="247"/>
      <c r="L8" s="247"/>
      <c r="M8" s="155"/>
      <c r="O8" s="152"/>
      <c r="P8" s="152"/>
      <c r="Q8" s="247"/>
      <c r="R8" s="247"/>
      <c r="S8" s="247"/>
      <c r="T8" s="247"/>
      <c r="U8" s="247"/>
    </row>
    <row r="9" spans="1:24" x14ac:dyDescent="0.3">
      <c r="B9" s="128"/>
      <c r="C9" s="127" t="s">
        <v>310</v>
      </c>
      <c r="D9" s="127" t="s">
        <v>311</v>
      </c>
      <c r="G9" s="152"/>
      <c r="H9" s="152"/>
      <c r="I9" s="152"/>
      <c r="J9" s="152"/>
      <c r="K9" s="152"/>
      <c r="L9" s="168"/>
      <c r="M9" s="155"/>
      <c r="O9" s="152"/>
      <c r="P9" s="152"/>
      <c r="Q9" s="152" t="s">
        <v>3</v>
      </c>
      <c r="R9" s="152"/>
      <c r="S9" s="152"/>
      <c r="T9" s="152"/>
      <c r="U9" s="173"/>
    </row>
    <row r="10" spans="1:24" x14ac:dyDescent="0.3">
      <c r="B10" s="248" t="s">
        <v>314</v>
      </c>
      <c r="C10" s="248"/>
      <c r="D10" s="248"/>
      <c r="G10" s="152"/>
      <c r="H10" s="152" t="s">
        <v>3</v>
      </c>
      <c r="I10" s="152"/>
      <c r="J10" s="152"/>
      <c r="K10" s="152"/>
      <c r="L10" s="152"/>
      <c r="M10" s="155"/>
      <c r="O10" s="152"/>
      <c r="P10" s="152"/>
      <c r="Q10" s="151"/>
      <c r="R10" s="152"/>
      <c r="S10" s="152"/>
      <c r="T10" s="152"/>
      <c r="U10" s="152"/>
    </row>
    <row r="11" spans="1:24" x14ac:dyDescent="0.3">
      <c r="B11" s="129" t="s">
        <v>241</v>
      </c>
      <c r="C11" s="130">
        <v>1200000</v>
      </c>
      <c r="D11" s="130">
        <v>2900000</v>
      </c>
      <c r="G11" s="152"/>
      <c r="H11" s="169"/>
      <c r="I11" s="170"/>
      <c r="J11" s="170"/>
      <c r="K11" s="170"/>
      <c r="L11" s="169"/>
      <c r="M11" s="155"/>
      <c r="Q11" s="115"/>
      <c r="R11" s="116"/>
      <c r="S11" s="117"/>
      <c r="T11" s="117"/>
      <c r="U11" s="118"/>
    </row>
    <row r="12" spans="1:24" ht="15.9" customHeight="1" x14ac:dyDescent="0.3">
      <c r="B12" s="129" t="s">
        <v>312</v>
      </c>
      <c r="C12" s="131">
        <v>1300000</v>
      </c>
      <c r="D12" s="130">
        <v>2700000</v>
      </c>
      <c r="G12" s="152"/>
      <c r="H12" s="169"/>
      <c r="I12" s="170"/>
      <c r="J12" s="170"/>
      <c r="K12" s="170"/>
      <c r="L12" s="169"/>
      <c r="M12" s="155"/>
      <c r="Q12" s="174"/>
      <c r="R12" s="175"/>
      <c r="S12" s="175"/>
      <c r="T12" s="175"/>
      <c r="U12" s="175"/>
    </row>
    <row r="13" spans="1:24" ht="16.5" customHeight="1" x14ac:dyDescent="0.3">
      <c r="B13" s="129" t="s">
        <v>246</v>
      </c>
      <c r="C13" s="130">
        <v>100000</v>
      </c>
      <c r="D13" s="130">
        <v>300000</v>
      </c>
      <c r="G13" s="152"/>
      <c r="H13" s="169"/>
      <c r="I13" s="170"/>
      <c r="J13" s="170"/>
      <c r="K13" s="170"/>
      <c r="L13" s="169"/>
      <c r="M13" s="155"/>
      <c r="Q13" s="119"/>
      <c r="S13" s="118"/>
      <c r="T13" s="118"/>
    </row>
    <row r="14" spans="1:24" x14ac:dyDescent="0.3">
      <c r="B14" s="129" t="s">
        <v>247</v>
      </c>
      <c r="C14" s="130">
        <v>30000</v>
      </c>
      <c r="D14" s="130">
        <v>100000</v>
      </c>
      <c r="H14" s="174"/>
      <c r="I14" s="175"/>
      <c r="J14" s="175"/>
      <c r="K14" s="175"/>
      <c r="L14" s="118"/>
      <c r="M14" s="148"/>
      <c r="Q14" s="85" t="s">
        <v>411</v>
      </c>
      <c r="R14" s="120">
        <f>I73+I74</f>
        <v>598555</v>
      </c>
      <c r="V14" s="85"/>
      <c r="W14" s="85"/>
      <c r="X14" s="85"/>
    </row>
    <row r="15" spans="1:24" ht="15.6" customHeight="1" x14ac:dyDescent="0.3">
      <c r="B15" s="129" t="s">
        <v>325</v>
      </c>
      <c r="C15" s="130">
        <v>3500</v>
      </c>
      <c r="D15" s="130">
        <v>8000</v>
      </c>
      <c r="H15" s="207" t="s">
        <v>310</v>
      </c>
      <c r="I15" s="208"/>
      <c r="J15" s="208" t="s">
        <v>395</v>
      </c>
      <c r="K15" s="208" t="s">
        <v>396</v>
      </c>
      <c r="L15" s="118"/>
      <c r="M15" s="148"/>
      <c r="Q15" s="85" t="s">
        <v>412</v>
      </c>
      <c r="R15" s="120">
        <f>C57</f>
        <v>800000</v>
      </c>
      <c r="V15" s="85"/>
      <c r="W15" s="85"/>
      <c r="X15" s="85"/>
    </row>
    <row r="16" spans="1:24" ht="16.5" customHeight="1" x14ac:dyDescent="0.3">
      <c r="B16" s="129"/>
      <c r="C16" s="132"/>
      <c r="D16" s="132"/>
      <c r="H16" s="208"/>
      <c r="I16" s="209">
        <v>44562</v>
      </c>
      <c r="J16" s="209">
        <v>44926</v>
      </c>
      <c r="K16" s="209">
        <v>44927</v>
      </c>
      <c r="L16" s="118"/>
      <c r="M16" s="147"/>
      <c r="V16" s="85"/>
      <c r="W16" s="85"/>
      <c r="X16" s="85"/>
    </row>
    <row r="17" spans="1:24" x14ac:dyDescent="0.3">
      <c r="B17" s="129" t="s">
        <v>315</v>
      </c>
      <c r="C17" s="133">
        <v>-300000</v>
      </c>
      <c r="D17" s="130">
        <v>700000</v>
      </c>
      <c r="H17" s="208" t="s">
        <v>346</v>
      </c>
      <c r="I17" s="210">
        <f>C11</f>
        <v>1200000</v>
      </c>
      <c r="J17" s="210">
        <f>I17+I29-C27+I28</f>
        <v>1180625</v>
      </c>
      <c r="K17" s="210">
        <f>C21</f>
        <v>1100000</v>
      </c>
      <c r="L17" s="118"/>
      <c r="Q17" s="207" t="s">
        <v>413</v>
      </c>
      <c r="R17" s="208"/>
      <c r="S17" s="208" t="s">
        <v>395</v>
      </c>
      <c r="T17" s="208" t="s">
        <v>396</v>
      </c>
      <c r="U17" s="85" t="s">
        <v>414</v>
      </c>
      <c r="V17" s="85" t="s">
        <v>415</v>
      </c>
      <c r="W17" s="85" t="s">
        <v>416</v>
      </c>
      <c r="X17" s="85" t="s">
        <v>417</v>
      </c>
    </row>
    <row r="18" spans="1:24" ht="15.6" customHeight="1" x14ac:dyDescent="0.3">
      <c r="B18" s="129" t="s">
        <v>316</v>
      </c>
      <c r="C18" s="140">
        <v>10</v>
      </c>
      <c r="D18" s="140">
        <v>10</v>
      </c>
      <c r="H18" s="208" t="s">
        <v>397</v>
      </c>
      <c r="I18" s="211">
        <f>C12</f>
        <v>1300000</v>
      </c>
      <c r="J18" s="211">
        <f>C12-I30+C31-C27</f>
        <v>1281250</v>
      </c>
      <c r="K18" s="211">
        <f>C22</f>
        <v>1400000</v>
      </c>
      <c r="L18" s="118"/>
      <c r="Q18" s="208"/>
      <c r="R18" s="209">
        <v>44927</v>
      </c>
      <c r="S18" s="209">
        <v>45016</v>
      </c>
      <c r="T18" s="209">
        <v>45016</v>
      </c>
      <c r="U18" s="209">
        <v>45016</v>
      </c>
      <c r="V18" s="209">
        <v>45016</v>
      </c>
      <c r="W18" s="209">
        <v>45016</v>
      </c>
      <c r="X18" s="209">
        <v>45016</v>
      </c>
    </row>
    <row r="19" spans="1:24" x14ac:dyDescent="0.3">
      <c r="B19" s="128"/>
      <c r="C19" s="134"/>
      <c r="D19" s="134"/>
      <c r="H19" s="208" t="s">
        <v>398</v>
      </c>
      <c r="I19" s="210">
        <f>I18-I17</f>
        <v>100000</v>
      </c>
      <c r="J19" s="210">
        <f t="shared" ref="J19:K19" si="1">J18-J17</f>
        <v>100625</v>
      </c>
      <c r="K19" s="210">
        <f t="shared" si="1"/>
        <v>300000</v>
      </c>
      <c r="L19" s="118"/>
      <c r="Q19" s="208" t="s">
        <v>346</v>
      </c>
      <c r="R19" s="210">
        <f>K63</f>
        <v>4100000</v>
      </c>
      <c r="S19" s="210">
        <f>R19+I73/4+I74/4-C28/4-D28/4</f>
        <v>4140888.75</v>
      </c>
      <c r="T19" s="210">
        <f>C54</f>
        <v>4250000</v>
      </c>
      <c r="U19" s="120">
        <f>C58-C57</f>
        <v>20000</v>
      </c>
      <c r="V19" s="120">
        <f t="shared" ref="V19:V24" si="2">T19+U19</f>
        <v>4270000</v>
      </c>
      <c r="W19" s="120">
        <f>W20</f>
        <v>-820000</v>
      </c>
      <c r="X19" s="120">
        <f t="shared" ref="X19:X24" si="3">V19+W19</f>
        <v>3450000</v>
      </c>
    </row>
    <row r="20" spans="1:24" x14ac:dyDescent="0.3">
      <c r="B20" s="128" t="s">
        <v>317</v>
      </c>
      <c r="C20" s="134"/>
      <c r="D20" s="134"/>
      <c r="H20" s="208" t="s">
        <v>247</v>
      </c>
      <c r="I20" s="210">
        <f>C14</f>
        <v>30000</v>
      </c>
      <c r="J20" s="210">
        <f>I20-I32</f>
        <v>26500</v>
      </c>
      <c r="K20" s="212">
        <f>J20</f>
        <v>26500</v>
      </c>
      <c r="L20" s="118"/>
      <c r="Q20" s="208" t="s">
        <v>397</v>
      </c>
      <c r="R20" s="211">
        <f>K64</f>
        <v>4250000</v>
      </c>
      <c r="S20" s="211">
        <f>R20-I75/4-(C28+D28)/4</f>
        <v>4206778.125</v>
      </c>
      <c r="T20" s="211">
        <f>C55</f>
        <v>4300000</v>
      </c>
      <c r="U20" s="227">
        <v>0</v>
      </c>
      <c r="V20" s="228">
        <f t="shared" si="2"/>
        <v>4300000</v>
      </c>
      <c r="W20" s="228">
        <f>-C58</f>
        <v>-820000</v>
      </c>
      <c r="X20" s="228">
        <f t="shared" si="3"/>
        <v>3480000</v>
      </c>
    </row>
    <row r="21" spans="1:24" x14ac:dyDescent="0.3">
      <c r="B21" s="129" t="s">
        <v>241</v>
      </c>
      <c r="C21" s="130">
        <v>1100000</v>
      </c>
      <c r="D21" s="130">
        <v>3000000</v>
      </c>
      <c r="H21" s="208" t="s">
        <v>315</v>
      </c>
      <c r="I21" s="211">
        <f>C17</f>
        <v>-300000</v>
      </c>
      <c r="J21" s="211">
        <f>I21-I33</f>
        <v>-283000</v>
      </c>
      <c r="K21" s="211">
        <f>K22-K20-K19</f>
        <v>-482375</v>
      </c>
      <c r="L21" s="118"/>
      <c r="Q21" s="208" t="s">
        <v>398</v>
      </c>
      <c r="R21" s="210">
        <f>R20-R19</f>
        <v>150000</v>
      </c>
      <c r="S21" s="210">
        <f>S20-S19</f>
        <v>65889.375</v>
      </c>
      <c r="T21" s="210">
        <f>T20-T19</f>
        <v>50000</v>
      </c>
      <c r="U21" s="210">
        <f>U20-U19</f>
        <v>-20000</v>
      </c>
      <c r="V21" s="120">
        <f t="shared" si="2"/>
        <v>30000</v>
      </c>
      <c r="W21" s="210">
        <f>W20-W19</f>
        <v>0</v>
      </c>
      <c r="X21" s="120">
        <f t="shared" si="3"/>
        <v>30000</v>
      </c>
    </row>
    <row r="22" spans="1:24" x14ac:dyDescent="0.3">
      <c r="B22" s="129" t="s">
        <v>312</v>
      </c>
      <c r="C22" s="130">
        <v>1400000</v>
      </c>
      <c r="D22" s="130">
        <v>2850000</v>
      </c>
      <c r="H22" s="208" t="s">
        <v>399</v>
      </c>
      <c r="I22" s="210">
        <f>SUM(I19:I21)</f>
        <v>-170000</v>
      </c>
      <c r="J22" s="210">
        <f>SUM(J19:J21)</f>
        <v>-155875</v>
      </c>
      <c r="K22" s="210">
        <f>J22</f>
        <v>-155875</v>
      </c>
      <c r="L22" s="118"/>
      <c r="Q22" s="208" t="s">
        <v>247</v>
      </c>
      <c r="R22" s="210">
        <f>K66</f>
        <v>118500</v>
      </c>
      <c r="S22" s="210">
        <f>R22-I77/4</f>
        <v>115625</v>
      </c>
      <c r="T22" s="212">
        <f>S22</f>
        <v>115625</v>
      </c>
      <c r="U22" s="85">
        <v>0</v>
      </c>
      <c r="V22" s="120">
        <f t="shared" si="2"/>
        <v>115625</v>
      </c>
      <c r="W22" s="229">
        <v>0</v>
      </c>
      <c r="X22" s="120">
        <f t="shared" si="3"/>
        <v>115625</v>
      </c>
    </row>
    <row r="23" spans="1:24" x14ac:dyDescent="0.3">
      <c r="B23" s="129" t="s">
        <v>246</v>
      </c>
      <c r="C23" s="130">
        <v>125000</v>
      </c>
      <c r="D23" s="130">
        <v>360000</v>
      </c>
      <c r="H23" s="208"/>
      <c r="I23" s="213" t="s">
        <v>400</v>
      </c>
      <c r="J23" s="214">
        <f>I22-I34+C31</f>
        <v>-155875</v>
      </c>
      <c r="K23" s="215"/>
      <c r="L23" s="118"/>
      <c r="Q23" s="208" t="s">
        <v>315</v>
      </c>
      <c r="R23" s="211">
        <f>K67</f>
        <v>-98250</v>
      </c>
      <c r="S23" s="211">
        <f>R23-I78/4</f>
        <v>-98250</v>
      </c>
      <c r="T23" s="211">
        <f>T24-T22-T21</f>
        <v>-82360.625</v>
      </c>
      <c r="U23" s="211">
        <f>U24-U22-U21</f>
        <v>20000</v>
      </c>
      <c r="V23" s="228">
        <f t="shared" si="2"/>
        <v>-62360.625</v>
      </c>
      <c r="W23" s="230">
        <f>ROUND(W19/V19*V23,0)</f>
        <v>11976</v>
      </c>
      <c r="X23" s="228">
        <f t="shared" si="3"/>
        <v>-50384.625</v>
      </c>
    </row>
    <row r="24" spans="1:24" x14ac:dyDescent="0.3">
      <c r="B24" s="129" t="s">
        <v>316</v>
      </c>
      <c r="C24" s="140">
        <v>10</v>
      </c>
      <c r="D24" s="140">
        <v>10</v>
      </c>
      <c r="H24" s="208"/>
      <c r="J24" s="216"/>
      <c r="K24" s="184"/>
      <c r="L24" s="118"/>
      <c r="Q24" s="208" t="s">
        <v>399</v>
      </c>
      <c r="R24" s="210">
        <f>SUM(R21:R23)</f>
        <v>170250</v>
      </c>
      <c r="S24" s="210">
        <f>SUM(S21:S23)</f>
        <v>83264.375</v>
      </c>
      <c r="T24" s="210">
        <f>S24</f>
        <v>83264.375</v>
      </c>
      <c r="U24" s="85">
        <v>0</v>
      </c>
      <c r="V24" s="120">
        <f t="shared" si="2"/>
        <v>83264.375</v>
      </c>
      <c r="W24" s="120">
        <f>W23</f>
        <v>11976</v>
      </c>
      <c r="X24" s="120">
        <f t="shared" si="3"/>
        <v>95240.375</v>
      </c>
    </row>
    <row r="25" spans="1:24" x14ac:dyDescent="0.3">
      <c r="A25" s="106"/>
      <c r="B25" s="128"/>
      <c r="C25" s="132"/>
      <c r="D25" s="132"/>
      <c r="H25" s="208"/>
      <c r="J25" s="216"/>
      <c r="K25" s="184"/>
      <c r="L25" s="118"/>
      <c r="Q25" s="208"/>
      <c r="S25" s="120"/>
      <c r="T25" s="215"/>
      <c r="V25" s="85"/>
      <c r="W25" s="85"/>
      <c r="X25" s="120"/>
    </row>
    <row r="26" spans="1:24" x14ac:dyDescent="0.3">
      <c r="A26" s="106"/>
      <c r="B26" s="128" t="s">
        <v>243</v>
      </c>
      <c r="C26" s="134"/>
      <c r="D26" s="134"/>
      <c r="H26" s="207"/>
      <c r="J26" s="120"/>
      <c r="K26" s="215"/>
      <c r="L26" s="118"/>
      <c r="Q26" s="85" t="s">
        <v>418</v>
      </c>
      <c r="R26" s="231">
        <f>K45</f>
        <v>2.5999999999999999E-2</v>
      </c>
      <c r="S26" s="231"/>
      <c r="T26" s="231"/>
      <c r="V26" s="85"/>
      <c r="W26" s="85"/>
      <c r="X26" s="85"/>
    </row>
    <row r="27" spans="1:24" ht="31.2" x14ac:dyDescent="0.3">
      <c r="A27" s="106"/>
      <c r="B27" s="141">
        <v>2022</v>
      </c>
      <c r="C27" s="130">
        <v>150000</v>
      </c>
      <c r="D27" s="130">
        <v>250000</v>
      </c>
      <c r="H27" s="217" t="s">
        <v>401</v>
      </c>
      <c r="I27" s="218"/>
      <c r="J27" s="218"/>
      <c r="K27" s="215"/>
      <c r="L27" s="118"/>
      <c r="V27" s="122" t="s">
        <v>419</v>
      </c>
      <c r="W27" s="232">
        <f>ROUND(W19/V19,4)</f>
        <v>-0.192</v>
      </c>
      <c r="X27" s="85"/>
    </row>
    <row r="28" spans="1:24" x14ac:dyDescent="0.3">
      <c r="B28" s="141">
        <v>2023</v>
      </c>
      <c r="C28" s="130">
        <v>160000</v>
      </c>
      <c r="D28" s="130">
        <v>275000</v>
      </c>
      <c r="H28" s="218" t="s">
        <v>246</v>
      </c>
      <c r="I28" s="219">
        <f>C13*(1+C35)</f>
        <v>102499.99999999999</v>
      </c>
      <c r="L28" s="118"/>
      <c r="Q28" s="85" t="s">
        <v>420</v>
      </c>
      <c r="V28" s="85"/>
      <c r="W28" s="124"/>
      <c r="X28" s="85"/>
    </row>
    <row r="29" spans="1:24" x14ac:dyDescent="0.3">
      <c r="B29" s="128"/>
      <c r="C29" s="127"/>
      <c r="D29" s="127"/>
      <c r="H29" s="218" t="s">
        <v>402</v>
      </c>
      <c r="I29" s="219">
        <f>(C11*C35-C27*C35/2)</f>
        <v>28125</v>
      </c>
      <c r="L29" s="118"/>
      <c r="V29" s="85"/>
      <c r="W29" s="85"/>
      <c r="X29" s="85"/>
    </row>
    <row r="30" spans="1:24" x14ac:dyDescent="0.3">
      <c r="B30" s="128" t="s">
        <v>318</v>
      </c>
      <c r="C30" s="135"/>
      <c r="D30" s="135"/>
      <c r="E30" s="121"/>
      <c r="H30" s="218" t="s">
        <v>242</v>
      </c>
      <c r="I30" s="219">
        <f>-C12*C37+C27/2*C37-C31*C37/2</f>
        <v>-81250</v>
      </c>
      <c r="J30" s="220"/>
      <c r="L30" s="118"/>
      <c r="V30" s="85"/>
      <c r="W30" s="85"/>
      <c r="X30" s="85"/>
    </row>
    <row r="31" spans="1:24" x14ac:dyDescent="0.3">
      <c r="B31" s="141">
        <v>2022</v>
      </c>
      <c r="C31" s="130">
        <v>50000</v>
      </c>
      <c r="D31" s="132" t="s">
        <v>2</v>
      </c>
      <c r="H31" s="218" t="s">
        <v>403</v>
      </c>
      <c r="I31" s="218"/>
      <c r="L31" s="118"/>
      <c r="V31" s="85"/>
      <c r="W31" s="85"/>
      <c r="X31" s="85"/>
    </row>
    <row r="32" spans="1:24" x14ac:dyDescent="0.3">
      <c r="B32" s="141">
        <v>2023</v>
      </c>
      <c r="C32" s="132" t="s">
        <v>2</v>
      </c>
      <c r="D32" s="132" t="s">
        <v>2</v>
      </c>
      <c r="H32" s="221" t="s">
        <v>410</v>
      </c>
      <c r="I32" s="219">
        <f>C15</f>
        <v>3500</v>
      </c>
      <c r="L32" s="118"/>
      <c r="Q32" s="233" t="s">
        <v>421</v>
      </c>
      <c r="S32" s="120">
        <f>T23</f>
        <v>-82360.625</v>
      </c>
      <c r="V32" s="85"/>
      <c r="W32" s="85"/>
      <c r="X32" s="85"/>
    </row>
    <row r="33" spans="1:24" x14ac:dyDescent="0.3">
      <c r="B33" s="128"/>
      <c r="C33" s="135"/>
      <c r="D33" s="135"/>
      <c r="H33" s="221" t="s">
        <v>404</v>
      </c>
      <c r="I33" s="219">
        <f>-ROUND((ABS(C17)-0.1*MAX(C12,C11))/C18,0)</f>
        <v>-17000</v>
      </c>
      <c r="Q33" s="85" t="s">
        <v>422</v>
      </c>
      <c r="S33" s="120">
        <f>U23</f>
        <v>20000</v>
      </c>
      <c r="V33" s="85"/>
      <c r="W33" s="85"/>
      <c r="X33" s="85"/>
    </row>
    <row r="34" spans="1:24" x14ac:dyDescent="0.3">
      <c r="B34" s="128" t="s">
        <v>319</v>
      </c>
      <c r="C34" s="134"/>
      <c r="D34" s="134"/>
      <c r="H34" s="218" t="s">
        <v>405</v>
      </c>
      <c r="I34" s="219">
        <f>SUM(I28:I33)</f>
        <v>35874.999999999985</v>
      </c>
      <c r="L34" s="118"/>
      <c r="Q34" s="85" t="s">
        <v>423</v>
      </c>
      <c r="S34" s="120">
        <f>SUM(S32:S33)</f>
        <v>-62360.625</v>
      </c>
      <c r="V34" s="85"/>
      <c r="W34" s="85"/>
      <c r="X34" s="85"/>
    </row>
    <row r="35" spans="1:24" x14ac:dyDescent="0.3">
      <c r="B35" s="129" t="s">
        <v>320</v>
      </c>
      <c r="C35" s="136">
        <v>2.5000000000000001E-2</v>
      </c>
      <c r="D35" s="136">
        <v>0.03</v>
      </c>
      <c r="L35" s="118"/>
      <c r="V35" s="85"/>
      <c r="W35" s="85"/>
      <c r="X35" s="85"/>
    </row>
    <row r="36" spans="1:24" x14ac:dyDescent="0.3">
      <c r="B36" s="129" t="s">
        <v>321</v>
      </c>
      <c r="C36" s="249">
        <v>2.5999999999999999E-2</v>
      </c>
      <c r="D36" s="249"/>
      <c r="J36" s="123"/>
      <c r="L36" s="118"/>
      <c r="Q36" s="85" t="s">
        <v>424</v>
      </c>
      <c r="S36" s="120">
        <f>T19</f>
        <v>4250000</v>
      </c>
      <c r="V36" s="85"/>
      <c r="W36" s="85"/>
      <c r="X36" s="85"/>
    </row>
    <row r="37" spans="1:24" x14ac:dyDescent="0.3">
      <c r="B37" s="129" t="s">
        <v>242</v>
      </c>
      <c r="C37" s="136">
        <v>6.5000000000000002E-2</v>
      </c>
      <c r="D37" s="136">
        <v>6.5000000000000002E-2</v>
      </c>
      <c r="H37" s="119" t="s">
        <v>406</v>
      </c>
      <c r="J37" s="85" t="s">
        <v>395</v>
      </c>
      <c r="K37" s="85" t="s">
        <v>396</v>
      </c>
      <c r="L37" s="118"/>
      <c r="Q37" s="85" t="s">
        <v>425</v>
      </c>
      <c r="S37" s="120">
        <f>S33</f>
        <v>20000</v>
      </c>
      <c r="V37" s="85"/>
      <c r="W37" s="85"/>
      <c r="X37" s="85"/>
    </row>
    <row r="38" spans="1:24" x14ac:dyDescent="0.3">
      <c r="B38" s="129" t="s">
        <v>322</v>
      </c>
      <c r="C38" s="134" t="s">
        <v>323</v>
      </c>
      <c r="D38" s="134" t="s">
        <v>323</v>
      </c>
      <c r="H38" s="208"/>
      <c r="I38" s="209">
        <v>44562</v>
      </c>
      <c r="J38" s="209">
        <v>44926</v>
      </c>
      <c r="K38" s="209">
        <v>44927</v>
      </c>
      <c r="L38" s="118"/>
      <c r="Q38" s="85" t="s">
        <v>426</v>
      </c>
      <c r="S38" s="120">
        <f>SUM(S36:S37)</f>
        <v>4270000</v>
      </c>
      <c r="V38" s="85"/>
      <c r="W38" s="85"/>
      <c r="X38" s="85"/>
    </row>
    <row r="39" spans="1:24" x14ac:dyDescent="0.3">
      <c r="B39" s="129" t="s">
        <v>326</v>
      </c>
      <c r="C39" s="134" t="s">
        <v>328</v>
      </c>
      <c r="D39" s="134" t="s">
        <v>328</v>
      </c>
      <c r="H39" s="208" t="s">
        <v>346</v>
      </c>
      <c r="I39" s="210">
        <f>D11</f>
        <v>2900000</v>
      </c>
      <c r="J39" s="210">
        <f>I39+I52-D27+I51</f>
        <v>3042250</v>
      </c>
      <c r="K39" s="210">
        <f>D21</f>
        <v>3000000</v>
      </c>
      <c r="L39" s="118"/>
      <c r="Q39" s="85" t="s">
        <v>427</v>
      </c>
      <c r="S39" s="120">
        <f>X19</f>
        <v>3450000</v>
      </c>
      <c r="V39" s="85"/>
      <c r="W39" s="85"/>
      <c r="X39" s="85"/>
    </row>
    <row r="40" spans="1:24" x14ac:dyDescent="0.3">
      <c r="B40" s="129" t="s">
        <v>327</v>
      </c>
      <c r="C40" s="134" t="s">
        <v>328</v>
      </c>
      <c r="D40" s="134" t="s">
        <v>328</v>
      </c>
      <c r="H40" s="208" t="s">
        <v>397</v>
      </c>
      <c r="I40" s="211">
        <f>D12</f>
        <v>2700000</v>
      </c>
      <c r="J40" s="211">
        <f>I40-I53-D27+0</f>
        <v>2617375</v>
      </c>
      <c r="K40" s="211">
        <f>D22</f>
        <v>2850000</v>
      </c>
      <c r="L40" s="118"/>
      <c r="Q40" s="85" t="s">
        <v>428</v>
      </c>
      <c r="S40" s="120">
        <f>S36-S39+S37</f>
        <v>820000</v>
      </c>
      <c r="V40" s="85"/>
      <c r="W40" s="85"/>
      <c r="X40" s="85"/>
    </row>
    <row r="41" spans="1:24" s="161" customFormat="1" x14ac:dyDescent="0.3">
      <c r="A41" s="42"/>
      <c r="B41" s="42"/>
      <c r="C41" s="42"/>
      <c r="D41" s="42"/>
      <c r="E41" s="42"/>
      <c r="F41" s="41"/>
      <c r="G41" s="85"/>
      <c r="H41" s="208" t="s">
        <v>398</v>
      </c>
      <c r="I41" s="210">
        <f>I40-I39</f>
        <v>-200000</v>
      </c>
      <c r="J41" s="210">
        <f>J40-J39</f>
        <v>-424875</v>
      </c>
      <c r="K41" s="210">
        <f>K40-K39</f>
        <v>-150000</v>
      </c>
      <c r="L41" s="118"/>
      <c r="M41" s="85"/>
      <c r="N41" s="81"/>
      <c r="O41" s="85"/>
      <c r="P41" s="85"/>
      <c r="Q41" s="85" t="s">
        <v>429</v>
      </c>
      <c r="R41" s="85"/>
      <c r="S41" s="124">
        <f>S40/(S38)*S34</f>
        <v>-11975.576697892271</v>
      </c>
      <c r="T41" s="85"/>
      <c r="U41" s="85"/>
      <c r="V41" s="85"/>
      <c r="W41" s="85"/>
      <c r="X41" s="85"/>
    </row>
    <row r="42" spans="1:24" s="161" customFormat="1" x14ac:dyDescent="0.3">
      <c r="A42" s="42" t="s">
        <v>5</v>
      </c>
      <c r="B42" s="250" t="s">
        <v>329</v>
      </c>
      <c r="C42" s="250"/>
      <c r="D42" s="250"/>
      <c r="E42" s="42"/>
      <c r="F42" s="41"/>
      <c r="G42" s="85"/>
      <c r="H42" s="208" t="s">
        <v>247</v>
      </c>
      <c r="I42" s="210">
        <f>D14</f>
        <v>100000</v>
      </c>
      <c r="J42" s="210">
        <f>I42-I55</f>
        <v>92000</v>
      </c>
      <c r="K42" s="212">
        <f>J42</f>
        <v>92000</v>
      </c>
      <c r="L42" s="118"/>
      <c r="M42" s="85"/>
      <c r="N42" s="81"/>
      <c r="O42" s="85"/>
      <c r="P42" s="85"/>
      <c r="Q42" s="85"/>
      <c r="R42" s="85"/>
      <c r="S42" s="85"/>
      <c r="T42" s="85"/>
      <c r="U42" s="85"/>
      <c r="V42" s="85"/>
      <c r="W42" s="85"/>
      <c r="X42" s="85"/>
    </row>
    <row r="43" spans="1:24" s="161" customFormat="1" x14ac:dyDescent="0.3">
      <c r="A43" s="42"/>
      <c r="B43" s="250"/>
      <c r="C43" s="250"/>
      <c r="D43" s="250"/>
      <c r="E43" s="42"/>
      <c r="F43" s="41"/>
      <c r="G43" s="85"/>
      <c r="H43" s="208" t="s">
        <v>315</v>
      </c>
      <c r="I43" s="211">
        <f>D17</f>
        <v>700000</v>
      </c>
      <c r="J43" s="211">
        <f>I43-I56</f>
        <v>659000</v>
      </c>
      <c r="K43" s="211">
        <f>K44-K42-K41</f>
        <v>384125</v>
      </c>
      <c r="L43" s="85"/>
      <c r="M43" s="85"/>
      <c r="N43" s="81"/>
      <c r="O43" s="85"/>
      <c r="P43" s="85"/>
      <c r="Q43" s="85"/>
      <c r="R43" s="85"/>
      <c r="S43" s="85"/>
      <c r="T43" s="85"/>
      <c r="U43" s="85"/>
      <c r="V43" s="85"/>
      <c r="W43" s="85"/>
      <c r="X43" s="85"/>
    </row>
    <row r="44" spans="1:24" s="161" customFormat="1" x14ac:dyDescent="0.3">
      <c r="A44" s="42"/>
      <c r="B44" s="42"/>
      <c r="C44" s="42"/>
      <c r="D44" s="42"/>
      <c r="E44" s="42"/>
      <c r="F44" s="41"/>
      <c r="G44" s="85"/>
      <c r="H44" s="208" t="s">
        <v>399</v>
      </c>
      <c r="I44" s="210">
        <f>SUM(I41:I43)</f>
        <v>600000</v>
      </c>
      <c r="J44" s="210">
        <f>SUM(J41:J43)</f>
        <v>326125</v>
      </c>
      <c r="K44" s="210">
        <f>J44</f>
        <v>326125</v>
      </c>
      <c r="L44" s="85"/>
      <c r="M44" s="85"/>
      <c r="N44" s="81"/>
      <c r="O44" s="85"/>
      <c r="P44" s="85"/>
      <c r="Q44" s="85"/>
      <c r="R44" s="85"/>
      <c r="S44" s="85"/>
      <c r="T44" s="85"/>
      <c r="U44" s="85"/>
      <c r="V44" s="81"/>
    </row>
    <row r="45" spans="1:24" s="161" customFormat="1" x14ac:dyDescent="0.3">
      <c r="A45" s="42"/>
      <c r="B45" s="106" t="s">
        <v>3</v>
      </c>
      <c r="C45" s="42"/>
      <c r="D45" s="42"/>
      <c r="E45" s="42"/>
      <c r="F45" s="41"/>
      <c r="G45" s="85"/>
      <c r="H45" s="208" t="s">
        <v>336</v>
      </c>
      <c r="I45" s="215">
        <f>D35</f>
        <v>0.03</v>
      </c>
      <c r="J45" s="215">
        <f>I45</f>
        <v>0.03</v>
      </c>
      <c r="K45" s="215">
        <f>+C36</f>
        <v>2.5999999999999999E-2</v>
      </c>
      <c r="L45" s="85"/>
      <c r="M45" s="85"/>
      <c r="N45" s="81"/>
      <c r="O45" s="85"/>
      <c r="P45" s="85"/>
      <c r="Q45" s="85"/>
      <c r="R45" s="85"/>
      <c r="S45" s="85"/>
      <c r="T45" s="85"/>
      <c r="U45" s="85"/>
      <c r="V45" s="81"/>
    </row>
    <row r="46" spans="1:24" s="161" customFormat="1" x14ac:dyDescent="0.3">
      <c r="A46" s="42"/>
      <c r="B46" s="105"/>
      <c r="C46" s="42"/>
      <c r="D46" s="42"/>
      <c r="E46" s="42"/>
      <c r="F46" s="41"/>
      <c r="G46" s="85"/>
      <c r="H46" s="85"/>
      <c r="I46" s="213" t="s">
        <v>400</v>
      </c>
      <c r="J46" s="214">
        <f>I44-I57+D33</f>
        <v>326125</v>
      </c>
      <c r="K46" s="85"/>
      <c r="L46" s="85"/>
      <c r="M46" s="85"/>
      <c r="N46" s="81"/>
      <c r="O46" s="85"/>
      <c r="P46" s="85"/>
      <c r="Q46" s="85"/>
      <c r="R46" s="85"/>
      <c r="S46" s="85"/>
      <c r="T46" s="85"/>
      <c r="U46" s="85"/>
      <c r="V46" s="81"/>
    </row>
    <row r="47" spans="1:24" s="161" customFormat="1" ht="16.2" x14ac:dyDescent="0.3">
      <c r="A47" s="42"/>
      <c r="B47" s="43" t="s">
        <v>4</v>
      </c>
      <c r="C47" s="42"/>
      <c r="D47" s="42"/>
      <c r="E47" s="42"/>
      <c r="F47" s="41"/>
      <c r="G47" s="85"/>
      <c r="H47" s="85"/>
      <c r="I47" s="85"/>
      <c r="J47" s="216"/>
      <c r="K47" s="184"/>
      <c r="L47" s="85"/>
      <c r="M47" s="85"/>
      <c r="N47" s="81"/>
      <c r="O47" s="85"/>
      <c r="P47" s="85"/>
      <c r="Q47" s="85"/>
      <c r="R47" s="85"/>
      <c r="S47" s="85"/>
      <c r="T47" s="85"/>
      <c r="U47" s="85"/>
      <c r="V47" s="81"/>
    </row>
    <row r="48" spans="1:24" s="161" customFormat="1" x14ac:dyDescent="0.3">
      <c r="A48" s="42"/>
      <c r="B48" s="42"/>
      <c r="C48" s="42"/>
      <c r="D48" s="42"/>
      <c r="E48" s="42"/>
      <c r="F48" s="41"/>
      <c r="G48" s="85"/>
      <c r="H48" s="85"/>
      <c r="I48" s="85"/>
      <c r="J48" s="216"/>
      <c r="K48" s="184"/>
      <c r="L48" s="85"/>
      <c r="M48" s="85"/>
      <c r="N48" s="81"/>
      <c r="O48" s="85"/>
      <c r="P48" s="85"/>
      <c r="Q48" s="85"/>
      <c r="R48" s="85"/>
      <c r="S48" s="85"/>
      <c r="T48" s="85"/>
      <c r="U48" s="85"/>
      <c r="V48" s="81"/>
    </row>
    <row r="49" spans="1:22" s="161" customFormat="1" x14ac:dyDescent="0.3">
      <c r="A49" s="106" t="s">
        <v>330</v>
      </c>
      <c r="B49" s="42"/>
      <c r="C49" s="42"/>
      <c r="D49" s="42"/>
      <c r="E49" s="42"/>
      <c r="F49" s="41"/>
      <c r="G49" s="85"/>
      <c r="H49" s="222" t="s">
        <v>401</v>
      </c>
      <c r="I49" s="85"/>
      <c r="J49" s="85"/>
      <c r="K49" s="85"/>
      <c r="L49" s="85"/>
      <c r="M49" s="85"/>
      <c r="N49" s="81"/>
      <c r="O49" s="85"/>
      <c r="P49" s="85"/>
      <c r="Q49" s="85"/>
      <c r="R49" s="85"/>
      <c r="S49" s="85"/>
      <c r="T49" s="85"/>
      <c r="U49" s="85"/>
      <c r="V49" s="81"/>
    </row>
    <row r="50" spans="1:22" s="161" customFormat="1" x14ac:dyDescent="0.3">
      <c r="A50" s="106"/>
      <c r="B50" s="42"/>
      <c r="C50" s="42"/>
      <c r="D50" s="42"/>
      <c r="E50" s="42"/>
      <c r="F50" s="41"/>
      <c r="G50" s="85"/>
      <c r="H50" s="85"/>
      <c r="I50" s="85"/>
      <c r="J50" s="85"/>
      <c r="K50" s="85"/>
      <c r="L50" s="85"/>
      <c r="M50" s="85"/>
      <c r="N50" s="81"/>
      <c r="O50" s="85"/>
      <c r="P50" s="85"/>
      <c r="Q50" s="85"/>
      <c r="R50" s="85"/>
      <c r="S50" s="85"/>
      <c r="T50" s="85"/>
      <c r="U50" s="85"/>
      <c r="V50" s="81"/>
    </row>
    <row r="51" spans="1:22" s="161" customFormat="1" x14ac:dyDescent="0.3">
      <c r="A51" s="106" t="s">
        <v>331</v>
      </c>
      <c r="B51" s="42"/>
      <c r="C51" s="42"/>
      <c r="D51" s="42"/>
      <c r="E51" s="42"/>
      <c r="F51" s="41"/>
      <c r="G51" s="85"/>
      <c r="H51" s="218" t="s">
        <v>246</v>
      </c>
      <c r="I51" s="219">
        <f>D13*(1+D35)</f>
        <v>309000</v>
      </c>
      <c r="J51" s="220"/>
      <c r="K51" s="85"/>
      <c r="L51" s="85"/>
      <c r="M51" s="85"/>
      <c r="N51" s="81"/>
      <c r="O51" s="85"/>
      <c r="P51" s="85"/>
      <c r="Q51" s="85"/>
      <c r="R51" s="85"/>
      <c r="S51" s="85"/>
      <c r="T51" s="85"/>
      <c r="U51" s="85"/>
      <c r="V51" s="81"/>
    </row>
    <row r="52" spans="1:22" s="161" customFormat="1" x14ac:dyDescent="0.3">
      <c r="A52" s="106"/>
      <c r="B52" s="42"/>
      <c r="C52" s="42"/>
      <c r="D52" s="42"/>
      <c r="E52" s="42"/>
      <c r="F52" s="41"/>
      <c r="G52" s="85"/>
      <c r="H52" s="218" t="s">
        <v>402</v>
      </c>
      <c r="I52" s="219">
        <f>ROUND(D11*D35-D35/2*D27,0)</f>
        <v>83250</v>
      </c>
      <c r="J52" s="85"/>
      <c r="K52" s="85"/>
      <c r="L52" s="85"/>
      <c r="M52" s="85"/>
      <c r="N52" s="81"/>
      <c r="O52" s="85"/>
      <c r="P52" s="85"/>
      <c r="Q52" s="85"/>
      <c r="R52" s="85"/>
      <c r="S52" s="85"/>
      <c r="T52" s="85"/>
      <c r="U52" s="85"/>
      <c r="V52" s="81"/>
    </row>
    <row r="53" spans="1:22" s="161" customFormat="1" x14ac:dyDescent="0.3">
      <c r="A53" s="42"/>
      <c r="B53" s="76"/>
      <c r="C53" s="139" t="s">
        <v>313</v>
      </c>
      <c r="D53" s="42"/>
      <c r="E53" s="42"/>
      <c r="F53" s="41"/>
      <c r="G53" s="85"/>
      <c r="H53" s="218" t="s">
        <v>242</v>
      </c>
      <c r="I53" s="234">
        <f>-D12*D37+D27/2*D37-0*D37</f>
        <v>-167375</v>
      </c>
      <c r="J53" s="220"/>
      <c r="K53" s="85"/>
      <c r="L53" s="85"/>
      <c r="M53" s="85"/>
      <c r="N53" s="81"/>
      <c r="O53" s="85"/>
      <c r="P53" s="85"/>
      <c r="Q53" s="85"/>
      <c r="R53" s="85"/>
      <c r="S53" s="85"/>
      <c r="T53" s="85"/>
      <c r="U53" s="85"/>
      <c r="V53" s="81"/>
    </row>
    <row r="54" spans="1:22" s="161" customFormat="1" ht="31.2" x14ac:dyDescent="0.3">
      <c r="A54" s="42"/>
      <c r="B54" s="77" t="s">
        <v>332</v>
      </c>
      <c r="C54" s="137">
        <v>4250000</v>
      </c>
      <c r="D54" s="42"/>
      <c r="E54" s="42"/>
      <c r="F54" s="41"/>
      <c r="G54" s="85"/>
      <c r="H54" s="218" t="s">
        <v>403</v>
      </c>
      <c r="I54" s="218"/>
      <c r="J54" s="85"/>
      <c r="K54" s="85"/>
      <c r="L54" s="85"/>
      <c r="M54" s="85"/>
      <c r="N54" s="81"/>
      <c r="O54" s="85"/>
      <c r="P54" s="85"/>
      <c r="Q54" s="85"/>
      <c r="R54" s="85"/>
      <c r="S54" s="85"/>
      <c r="T54" s="85"/>
      <c r="U54" s="85"/>
      <c r="V54" s="81"/>
    </row>
    <row r="55" spans="1:22" s="161" customFormat="1" x14ac:dyDescent="0.3">
      <c r="A55" s="42"/>
      <c r="B55" s="77" t="s">
        <v>333</v>
      </c>
      <c r="C55" s="137">
        <v>4300000</v>
      </c>
      <c r="D55" s="42"/>
      <c r="E55" s="42"/>
      <c r="F55" s="41"/>
      <c r="G55" s="85"/>
      <c r="H55" s="221" t="s">
        <v>410</v>
      </c>
      <c r="I55" s="219">
        <f>D15</f>
        <v>8000</v>
      </c>
      <c r="J55" s="85"/>
      <c r="K55" s="85"/>
      <c r="L55" s="85"/>
      <c r="M55" s="85"/>
      <c r="N55" s="81"/>
      <c r="O55" s="85"/>
      <c r="P55" s="85"/>
      <c r="Q55" s="85"/>
      <c r="R55" s="85"/>
      <c r="S55" s="85"/>
      <c r="T55" s="85"/>
      <c r="U55" s="85"/>
      <c r="V55" s="81"/>
    </row>
    <row r="56" spans="1:22" s="161" customFormat="1" x14ac:dyDescent="0.3">
      <c r="A56" s="42"/>
      <c r="B56" s="77"/>
      <c r="C56" s="138"/>
      <c r="D56" s="42"/>
      <c r="E56" s="42"/>
      <c r="F56" s="41"/>
      <c r="G56" s="85"/>
      <c r="H56" s="221" t="s">
        <v>404</v>
      </c>
      <c r="I56" s="219">
        <f>ROUND((D17-0.1*MAX(D12,D11))/D18,0)</f>
        <v>41000</v>
      </c>
      <c r="J56" s="85"/>
      <c r="K56" s="85"/>
      <c r="L56" s="85"/>
      <c r="M56" s="85"/>
      <c r="N56" s="81"/>
      <c r="O56" s="85"/>
      <c r="P56" s="85"/>
      <c r="Q56" s="85"/>
      <c r="R56" s="85"/>
      <c r="S56" s="85"/>
      <c r="T56" s="85"/>
      <c r="U56" s="85"/>
      <c r="V56" s="81"/>
    </row>
    <row r="57" spans="1:22" s="161" customFormat="1" x14ac:dyDescent="0.3">
      <c r="A57" s="42"/>
      <c r="B57" s="77" t="s">
        <v>334</v>
      </c>
      <c r="C57" s="137">
        <v>800000</v>
      </c>
      <c r="D57" s="42"/>
      <c r="E57" s="42"/>
      <c r="F57" s="41"/>
      <c r="G57" s="85"/>
      <c r="H57" s="218" t="s">
        <v>405</v>
      </c>
      <c r="I57" s="219">
        <f>SUM(I51:I56)</f>
        <v>273875</v>
      </c>
      <c r="J57" s="85"/>
      <c r="K57" s="85"/>
      <c r="L57" s="85"/>
      <c r="M57" s="85"/>
      <c r="N57" s="81"/>
      <c r="O57" s="85"/>
      <c r="P57" s="85"/>
      <c r="Q57" s="85"/>
      <c r="R57" s="85"/>
      <c r="S57" s="85"/>
      <c r="T57" s="85"/>
      <c r="U57" s="85"/>
      <c r="V57" s="81"/>
    </row>
    <row r="58" spans="1:22" s="161" customFormat="1" x14ac:dyDescent="0.3">
      <c r="A58" s="42"/>
      <c r="B58" s="77" t="s">
        <v>335</v>
      </c>
      <c r="C58" s="137">
        <v>820000</v>
      </c>
      <c r="D58" s="42"/>
      <c r="E58" s="42"/>
      <c r="F58" s="41"/>
      <c r="G58" s="85"/>
      <c r="H58" s="85"/>
      <c r="I58" s="85"/>
      <c r="J58" s="85"/>
      <c r="K58" s="85"/>
      <c r="L58" s="85"/>
      <c r="M58" s="85"/>
      <c r="N58" s="81"/>
      <c r="O58" s="85"/>
      <c r="P58" s="85"/>
      <c r="Q58" s="85"/>
      <c r="R58" s="85"/>
      <c r="S58" s="85"/>
      <c r="T58" s="85"/>
      <c r="U58" s="85"/>
      <c r="V58" s="81"/>
    </row>
    <row r="59" spans="1:22" s="161" customFormat="1" x14ac:dyDescent="0.3">
      <c r="A59" s="42"/>
      <c r="B59" s="77"/>
      <c r="C59" s="137"/>
      <c r="D59" s="42"/>
      <c r="E59" s="42"/>
      <c r="F59" s="41"/>
      <c r="G59" s="85"/>
      <c r="H59" s="85"/>
      <c r="I59" s="85"/>
      <c r="J59" s="85"/>
      <c r="K59" s="85"/>
      <c r="L59" s="85"/>
      <c r="M59" s="85"/>
      <c r="N59" s="81"/>
      <c r="O59" s="85"/>
      <c r="P59" s="85"/>
      <c r="Q59" s="85"/>
      <c r="R59" s="85"/>
      <c r="S59" s="85"/>
      <c r="T59" s="85"/>
      <c r="U59" s="85"/>
      <c r="V59" s="81"/>
    </row>
    <row r="60" spans="1:22" s="161" customFormat="1" x14ac:dyDescent="0.3">
      <c r="A60" s="42"/>
      <c r="B60" s="76" t="s">
        <v>319</v>
      </c>
      <c r="C60" s="137"/>
      <c r="D60" s="42"/>
      <c r="E60" s="42"/>
      <c r="F60" s="41"/>
      <c r="G60" s="85"/>
      <c r="H60" s="85"/>
      <c r="I60" s="85"/>
      <c r="J60" s="85"/>
      <c r="K60" s="85"/>
      <c r="L60" s="85"/>
      <c r="M60" s="85"/>
      <c r="N60" s="81"/>
      <c r="O60" s="85"/>
      <c r="P60" s="85"/>
      <c r="Q60" s="85"/>
      <c r="R60" s="85"/>
      <c r="S60" s="85"/>
      <c r="T60" s="85"/>
      <c r="U60" s="85"/>
      <c r="V60" s="81"/>
    </row>
    <row r="61" spans="1:22" s="161" customFormat="1" x14ac:dyDescent="0.3">
      <c r="A61" s="42"/>
      <c r="B61" s="77" t="s">
        <v>336</v>
      </c>
      <c r="C61" s="142">
        <v>2.5999999999999999E-2</v>
      </c>
      <c r="D61" s="42"/>
      <c r="E61" s="42"/>
      <c r="F61" s="41"/>
      <c r="G61" s="85"/>
      <c r="H61" s="119" t="s">
        <v>407</v>
      </c>
      <c r="I61" s="85"/>
      <c r="J61" s="85"/>
      <c r="K61" s="85" t="s">
        <v>396</v>
      </c>
      <c r="L61" s="85"/>
      <c r="M61" s="85"/>
      <c r="N61" s="81"/>
      <c r="O61" s="85"/>
      <c r="P61" s="85"/>
      <c r="Q61" s="85"/>
      <c r="R61" s="85"/>
      <c r="S61" s="85"/>
      <c r="T61" s="85"/>
      <c r="U61" s="85"/>
      <c r="V61" s="81"/>
    </row>
    <row r="62" spans="1:22" s="161" customFormat="1" x14ac:dyDescent="0.3">
      <c r="A62" s="42"/>
      <c r="B62" s="244" t="s">
        <v>337</v>
      </c>
      <c r="C62" s="245"/>
      <c r="D62" s="42"/>
      <c r="E62" s="42"/>
      <c r="F62" s="41"/>
      <c r="G62" s="85"/>
      <c r="H62" s="208"/>
      <c r="I62" s="223"/>
      <c r="J62" s="223"/>
      <c r="K62" s="223">
        <v>44927</v>
      </c>
      <c r="L62" s="85"/>
      <c r="M62" s="85"/>
      <c r="N62" s="81"/>
      <c r="O62" s="85"/>
      <c r="P62" s="85"/>
      <c r="Q62" s="85"/>
      <c r="R62" s="85"/>
      <c r="S62" s="85"/>
      <c r="T62" s="85"/>
      <c r="U62" s="85"/>
      <c r="V62" s="81"/>
    </row>
    <row r="63" spans="1:22" s="161" customFormat="1" x14ac:dyDescent="0.3">
      <c r="A63" s="42"/>
      <c r="B63" s="42"/>
      <c r="C63" s="42"/>
      <c r="D63" s="42"/>
      <c r="E63" s="42"/>
      <c r="F63" s="41"/>
      <c r="G63" s="85"/>
      <c r="H63" s="208" t="s">
        <v>346</v>
      </c>
      <c r="I63" s="210"/>
      <c r="J63" s="210"/>
      <c r="K63" s="210">
        <f t="shared" ref="K63:K68" si="4">K39+K17</f>
        <v>4100000</v>
      </c>
      <c r="L63" s="85"/>
      <c r="M63" s="85"/>
      <c r="N63" s="81"/>
      <c r="O63" s="85"/>
      <c r="P63" s="85"/>
      <c r="Q63" s="85"/>
      <c r="R63" s="85"/>
      <c r="S63" s="85"/>
      <c r="T63" s="85"/>
      <c r="U63" s="85"/>
      <c r="V63" s="81"/>
    </row>
    <row r="64" spans="1:22" s="161" customFormat="1" x14ac:dyDescent="0.3">
      <c r="A64" s="42" t="s">
        <v>301</v>
      </c>
      <c r="B64" s="114" t="s">
        <v>338</v>
      </c>
      <c r="C64" s="121"/>
      <c r="D64" s="121"/>
      <c r="E64" s="42"/>
      <c r="F64" s="41"/>
      <c r="G64" s="85"/>
      <c r="H64" s="208" t="s">
        <v>397</v>
      </c>
      <c r="I64" s="210"/>
      <c r="J64" s="224"/>
      <c r="K64" s="210">
        <f t="shared" si="4"/>
        <v>4250000</v>
      </c>
      <c r="L64" s="85"/>
      <c r="M64" s="85"/>
      <c r="N64" s="81"/>
      <c r="O64" s="85"/>
      <c r="P64" s="85"/>
      <c r="Q64" s="85"/>
      <c r="R64" s="85"/>
      <c r="S64" s="85"/>
      <c r="T64" s="85"/>
      <c r="U64" s="85"/>
      <c r="V64" s="81"/>
    </row>
    <row r="65" spans="1:22" s="161" customFormat="1" x14ac:dyDescent="0.3">
      <c r="A65" s="42"/>
      <c r="B65" s="125"/>
      <c r="C65" s="121"/>
      <c r="D65" s="121"/>
      <c r="E65" s="42"/>
      <c r="F65" s="41"/>
      <c r="G65" s="85"/>
      <c r="H65" s="208" t="s">
        <v>398</v>
      </c>
      <c r="I65" s="210"/>
      <c r="J65" s="210"/>
      <c r="K65" s="210">
        <f t="shared" si="4"/>
        <v>150000</v>
      </c>
      <c r="L65" s="85"/>
      <c r="M65" s="85"/>
      <c r="N65" s="81"/>
      <c r="O65" s="85"/>
      <c r="P65" s="85"/>
      <c r="Q65" s="120"/>
      <c r="R65" s="120"/>
      <c r="S65" s="120"/>
      <c r="T65" s="120"/>
      <c r="U65" s="120"/>
      <c r="V65" s="81"/>
    </row>
    <row r="66" spans="1:22" s="161" customFormat="1" x14ac:dyDescent="0.3">
      <c r="A66" s="42"/>
      <c r="B66" s="74" t="s">
        <v>3</v>
      </c>
      <c r="C66" s="121"/>
      <c r="D66" s="121"/>
      <c r="E66" s="42"/>
      <c r="F66" s="41"/>
      <c r="G66" s="85"/>
      <c r="H66" s="208" t="s">
        <v>247</v>
      </c>
      <c r="I66" s="210"/>
      <c r="J66" s="212"/>
      <c r="K66" s="210">
        <f t="shared" si="4"/>
        <v>118500</v>
      </c>
      <c r="L66" s="85"/>
      <c r="M66" s="85"/>
      <c r="N66" s="81"/>
      <c r="O66" s="85"/>
      <c r="P66" s="85"/>
      <c r="Q66" s="120"/>
      <c r="R66" s="120"/>
      <c r="S66" s="120"/>
      <c r="T66" s="120"/>
      <c r="U66" s="120"/>
      <c r="V66" s="81"/>
    </row>
    <row r="67" spans="1:22" s="161" customFormat="1" x14ac:dyDescent="0.3">
      <c r="A67" s="42"/>
      <c r="B67" s="74"/>
      <c r="C67" s="121"/>
      <c r="D67" s="121"/>
      <c r="E67" s="42"/>
      <c r="F67" s="41"/>
      <c r="G67" s="85"/>
      <c r="H67" s="208" t="s">
        <v>315</v>
      </c>
      <c r="I67" s="210"/>
      <c r="J67" s="212"/>
      <c r="K67" s="210">
        <f t="shared" si="4"/>
        <v>-98250</v>
      </c>
      <c r="L67" s="85"/>
      <c r="M67" s="85"/>
      <c r="N67" s="81"/>
      <c r="O67" s="85"/>
      <c r="P67" s="85"/>
      <c r="Q67" s="120"/>
      <c r="R67" s="120"/>
      <c r="S67" s="120"/>
      <c r="T67" s="120"/>
      <c r="U67" s="120"/>
      <c r="V67" s="81"/>
    </row>
    <row r="68" spans="1:22" s="161" customFormat="1" ht="16.2" x14ac:dyDescent="0.3">
      <c r="A68" s="42"/>
      <c r="B68" s="43" t="s">
        <v>4</v>
      </c>
      <c r="C68" s="42"/>
      <c r="D68" s="42"/>
      <c r="E68" s="42"/>
      <c r="F68" s="41"/>
      <c r="G68" s="85"/>
      <c r="H68" s="208" t="s">
        <v>399</v>
      </c>
      <c r="I68" s="210"/>
      <c r="J68" s="210"/>
      <c r="K68" s="210">
        <f t="shared" si="4"/>
        <v>170250</v>
      </c>
      <c r="L68" s="85"/>
      <c r="M68" s="85"/>
      <c r="N68" s="81"/>
      <c r="O68" s="85"/>
      <c r="P68" s="85"/>
      <c r="Q68" s="120"/>
      <c r="R68" s="120"/>
      <c r="S68" s="120"/>
      <c r="T68" s="120"/>
      <c r="U68" s="120"/>
      <c r="V68" s="81"/>
    </row>
    <row r="69" spans="1:22" s="161" customFormat="1" x14ac:dyDescent="0.3">
      <c r="A69" s="42"/>
      <c r="B69" s="42"/>
      <c r="C69" s="42"/>
      <c r="D69" s="42"/>
      <c r="E69" s="42"/>
      <c r="F69" s="41"/>
      <c r="G69" s="85"/>
      <c r="H69" s="208"/>
      <c r="I69" s="215"/>
      <c r="J69" s="215"/>
      <c r="K69" s="215"/>
      <c r="L69" s="85"/>
      <c r="M69" s="85"/>
      <c r="N69" s="81"/>
      <c r="O69" s="85"/>
      <c r="P69" s="85"/>
      <c r="Q69" s="120"/>
      <c r="R69" s="120"/>
      <c r="S69" s="120"/>
      <c r="T69" s="120"/>
      <c r="U69" s="120"/>
      <c r="V69" s="81"/>
    </row>
    <row r="70" spans="1:22" s="161" customFormat="1" x14ac:dyDescent="0.3">
      <c r="A70" s="42"/>
      <c r="B70" s="126"/>
      <c r="C70" s="126"/>
      <c r="D70" s="126"/>
      <c r="E70" s="42"/>
      <c r="F70" s="41"/>
      <c r="G70" s="85"/>
      <c r="H70" s="85"/>
      <c r="I70" s="85"/>
      <c r="J70" s="85"/>
      <c r="K70" s="85"/>
      <c r="L70" s="85"/>
      <c r="M70" s="85"/>
      <c r="N70" s="81"/>
      <c r="O70" s="85"/>
      <c r="P70" s="85"/>
      <c r="Q70" s="120"/>
      <c r="R70" s="120"/>
      <c r="S70" s="120"/>
      <c r="T70" s="120"/>
      <c r="U70" s="120"/>
      <c r="V70" s="81"/>
    </row>
    <row r="72" spans="1:22" x14ac:dyDescent="0.3">
      <c r="H72" s="119" t="s">
        <v>408</v>
      </c>
      <c r="J72" s="225"/>
    </row>
    <row r="73" spans="1:22" x14ac:dyDescent="0.3">
      <c r="H73" s="218" t="s">
        <v>246</v>
      </c>
      <c r="I73" s="219">
        <f>(C23+D23)*(1+C36)</f>
        <v>497610</v>
      </c>
      <c r="J73" s="184"/>
    </row>
    <row r="74" spans="1:22" x14ac:dyDescent="0.3">
      <c r="H74" s="218" t="s">
        <v>402</v>
      </c>
      <c r="I74" s="219">
        <f>K63*C36-(C28+D28)*C36/2</f>
        <v>100945</v>
      </c>
      <c r="J74" s="184"/>
    </row>
    <row r="75" spans="1:22" x14ac:dyDescent="0.3">
      <c r="H75" s="218" t="s">
        <v>242</v>
      </c>
      <c r="I75" s="219">
        <f>-K64*D37+(D28+C28)*D37/2</f>
        <v>-262112.5</v>
      </c>
    </row>
    <row r="76" spans="1:22" x14ac:dyDescent="0.3">
      <c r="H76" s="218" t="s">
        <v>403</v>
      </c>
      <c r="I76" s="218"/>
    </row>
    <row r="77" spans="1:22" x14ac:dyDescent="0.3">
      <c r="H77" s="221" t="s">
        <v>409</v>
      </c>
      <c r="I77" s="219">
        <f>C15+D15</f>
        <v>11500</v>
      </c>
    </row>
    <row r="78" spans="1:22" x14ac:dyDescent="0.3">
      <c r="H78" s="221" t="s">
        <v>404</v>
      </c>
      <c r="I78" s="226">
        <f>MAX(K67-MAX(K64,K63)*0.1,0)/C24</f>
        <v>0</v>
      </c>
    </row>
    <row r="79" spans="1:22" x14ac:dyDescent="0.3">
      <c r="H79" s="218" t="s">
        <v>405</v>
      </c>
      <c r="I79" s="219">
        <f>SUM(I73:I78)</f>
        <v>347942.5</v>
      </c>
    </row>
  </sheetData>
  <sheetProtection algorithmName="SHA-512" hashValue="08FLcdzQ88eyeocqHqz9g5wRxQZmjU+a27rnmowDrVZ1vjSckVMp6wKMcauVS7PiXCWzOADtg2otWkswk8HmsA==" saltValue="Wwf8pBNgvStVAm6uR9pgPA==" spinCount="100000" sheet="1" objects="1" scenarios="1"/>
  <mergeCells count="6">
    <mergeCell ref="B62:C62"/>
    <mergeCell ref="H7:L8"/>
    <mergeCell ref="Q8:U8"/>
    <mergeCell ref="B10:D10"/>
    <mergeCell ref="C36:D36"/>
    <mergeCell ref="B42:D43"/>
  </mergeCells>
  <pageMargins left="0.7" right="0.7" top="0.75" bottom="0.75" header="0.3" footer="0.3"/>
  <pageSetup scale="84" orientation="portrait" horizontalDpi="4294967293" verticalDpi="300" r:id="rId1"/>
  <colBreaks count="1" manualBreakCount="1">
    <brk id="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B6BA7-1DF5-4247-99E8-C2DC7DDEA19B}">
  <dimension ref="A1:S114"/>
  <sheetViews>
    <sheetView zoomScale="58" zoomScaleNormal="70" workbookViewId="0">
      <selection activeCell="A5" sqref="A1:XFD1048576"/>
    </sheetView>
  </sheetViews>
  <sheetFormatPr defaultColWidth="8.6640625" defaultRowHeight="15.6" x14ac:dyDescent="0.3"/>
  <cols>
    <col min="1" max="1" width="3.6640625" style="42" customWidth="1"/>
    <col min="2" max="4" width="23.33203125" style="42" customWidth="1"/>
    <col min="5" max="5" width="0.109375" style="42" customWidth="1"/>
    <col min="6" max="6" width="28.33203125" style="42" customWidth="1"/>
    <col min="7" max="7" width="9.44140625" style="42" customWidth="1"/>
    <col min="8" max="8" width="1" style="41" customWidth="1"/>
    <col min="9" max="9" width="23" style="49" customWidth="1"/>
    <col min="10" max="10" width="12" style="49" customWidth="1"/>
    <col min="11" max="11" width="17.33203125" style="49" customWidth="1"/>
    <col min="12" max="12" width="13.44140625" style="49" customWidth="1"/>
    <col min="13" max="13" width="12.5546875" style="49" bestFit="1" customWidth="1"/>
    <col min="14" max="14" width="20.6640625" style="49" customWidth="1"/>
    <col min="15" max="15" width="17.109375" style="49" customWidth="1"/>
    <col min="16" max="16" width="11" style="49" customWidth="1"/>
    <col min="17" max="17" width="22" style="49" customWidth="1"/>
    <col min="18" max="18" width="14.6640625" style="49" customWidth="1"/>
    <col min="19" max="19" width="1" style="161" customWidth="1"/>
    <col min="20" max="16384" width="8.6640625" style="144"/>
  </cols>
  <sheetData>
    <row r="1" spans="1:19" s="143" customFormat="1" x14ac:dyDescent="0.3">
      <c r="A1" s="47" t="s">
        <v>257</v>
      </c>
      <c r="B1" s="42"/>
      <c r="C1" s="42"/>
      <c r="D1" s="42"/>
      <c r="E1" s="42"/>
      <c r="F1" s="42"/>
      <c r="G1" s="42"/>
      <c r="H1" s="41"/>
      <c r="I1" s="151" t="str">
        <f>A1</f>
        <v>Exam RETDAU:  Fall 2022</v>
      </c>
      <c r="J1" s="152"/>
      <c r="K1" s="152"/>
      <c r="L1" s="152"/>
      <c r="M1" s="152"/>
      <c r="N1" s="152"/>
      <c r="O1" s="152"/>
      <c r="P1" s="152"/>
      <c r="Q1" s="152"/>
      <c r="R1" s="152"/>
      <c r="S1" s="161"/>
    </row>
    <row r="2" spans="1:19" s="143" customFormat="1" x14ac:dyDescent="0.3">
      <c r="A2" s="47" t="s">
        <v>0</v>
      </c>
      <c r="B2" s="42"/>
      <c r="C2" s="42"/>
      <c r="D2" s="42"/>
      <c r="E2" s="42"/>
      <c r="F2" s="42"/>
      <c r="G2" s="42"/>
      <c r="H2" s="41"/>
      <c r="I2" s="151" t="str">
        <f>A2</f>
        <v>Design and Accounting Exam – U.S.</v>
      </c>
      <c r="J2" s="152"/>
      <c r="K2" s="152"/>
      <c r="L2" s="152"/>
      <c r="M2" s="152"/>
      <c r="N2" s="152"/>
      <c r="O2" s="152"/>
      <c r="P2" s="152"/>
      <c r="Q2" s="152"/>
      <c r="R2" s="152"/>
      <c r="S2" s="161"/>
    </row>
    <row r="3" spans="1:19" s="143" customFormat="1" x14ac:dyDescent="0.3">
      <c r="A3" s="47" t="s">
        <v>287</v>
      </c>
      <c r="B3" s="42"/>
      <c r="C3" s="42"/>
      <c r="D3" s="42"/>
      <c r="E3" s="42"/>
      <c r="F3" s="42"/>
      <c r="G3" s="42"/>
      <c r="H3" s="41"/>
      <c r="I3" s="151" t="str">
        <f>A3</f>
        <v>Question 11</v>
      </c>
      <c r="J3" s="152"/>
      <c r="K3" s="152"/>
      <c r="L3" s="152"/>
      <c r="M3" s="152"/>
      <c r="N3" s="152"/>
      <c r="O3" s="152"/>
      <c r="P3" s="152"/>
      <c r="Q3" s="152"/>
      <c r="R3" s="152"/>
      <c r="S3" s="161"/>
    </row>
    <row r="4" spans="1:19" s="143" customFormat="1" x14ac:dyDescent="0.3">
      <c r="A4" s="42"/>
      <c r="B4" s="42"/>
      <c r="C4" s="42"/>
      <c r="D4" s="42"/>
      <c r="E4" s="42"/>
      <c r="F4" s="42"/>
      <c r="G4" s="42"/>
      <c r="H4" s="41"/>
      <c r="I4" s="152"/>
      <c r="J4" s="152"/>
      <c r="K4" s="152"/>
      <c r="L4" s="152"/>
      <c r="M4" s="152"/>
      <c r="N4" s="152"/>
      <c r="O4" s="152"/>
      <c r="P4" s="152"/>
      <c r="Q4" s="152"/>
      <c r="R4" s="152"/>
      <c r="S4" s="161"/>
    </row>
    <row r="5" spans="1:19" s="143" customFormat="1" ht="16.2" customHeight="1" x14ac:dyDescent="0.35">
      <c r="A5" s="242" t="s">
        <v>288</v>
      </c>
      <c r="B5" s="242"/>
      <c r="C5" s="242"/>
      <c r="D5" s="242"/>
      <c r="E5" s="242"/>
      <c r="F5" s="242"/>
      <c r="G5" s="242"/>
      <c r="H5" s="41"/>
      <c r="I5" s="153" t="s">
        <v>1</v>
      </c>
      <c r="J5" s="152"/>
      <c r="K5" s="152"/>
      <c r="L5" s="152"/>
      <c r="M5" s="152"/>
      <c r="N5" s="152"/>
      <c r="O5" s="152"/>
      <c r="P5" s="152"/>
      <c r="Q5" s="152"/>
      <c r="R5" s="152"/>
      <c r="S5" s="161"/>
    </row>
    <row r="6" spans="1:19" s="143" customFormat="1" ht="15.6" customHeight="1" x14ac:dyDescent="0.3">
      <c r="A6" s="73"/>
      <c r="B6" s="73"/>
      <c r="C6" s="73"/>
      <c r="D6" s="73"/>
      <c r="E6" s="73"/>
      <c r="F6" s="73"/>
      <c r="G6" s="73"/>
      <c r="H6" s="41"/>
      <c r="I6" s="152"/>
      <c r="J6" s="152"/>
      <c r="K6" s="152"/>
      <c r="L6" s="152"/>
      <c r="M6" s="152"/>
      <c r="N6" s="152"/>
      <c r="O6" s="152"/>
      <c r="P6" s="152"/>
      <c r="Q6" s="152"/>
      <c r="R6" s="152"/>
      <c r="S6" s="161"/>
    </row>
    <row r="7" spans="1:19" s="143" customFormat="1" ht="15.6" customHeight="1" x14ac:dyDescent="0.3">
      <c r="A7" s="98"/>
      <c r="B7" s="242" t="s">
        <v>340</v>
      </c>
      <c r="C7" s="242"/>
      <c r="D7" s="242"/>
      <c r="E7" s="242"/>
      <c r="F7" s="242"/>
      <c r="G7" s="73"/>
      <c r="H7" s="41"/>
      <c r="I7" s="152" t="s">
        <v>5</v>
      </c>
      <c r="J7" s="154" t="s">
        <v>296</v>
      </c>
      <c r="K7" s="155"/>
      <c r="L7" s="155"/>
      <c r="M7" s="155"/>
      <c r="N7" s="155"/>
      <c r="O7" s="155"/>
      <c r="P7" s="155"/>
      <c r="Q7" s="155"/>
      <c r="R7" s="155"/>
      <c r="S7" s="161"/>
    </row>
    <row r="8" spans="1:19" s="143" customFormat="1" ht="15.6" customHeight="1" x14ac:dyDescent="0.3">
      <c r="A8" s="98"/>
      <c r="B8" s="242" t="s">
        <v>341</v>
      </c>
      <c r="C8" s="242"/>
      <c r="D8" s="242"/>
      <c r="E8" s="242"/>
      <c r="F8" s="242"/>
      <c r="G8" s="73"/>
      <c r="H8" s="41"/>
      <c r="I8" s="152"/>
      <c r="J8" s="154"/>
      <c r="K8" s="155"/>
      <c r="L8" s="155"/>
      <c r="M8" s="155"/>
      <c r="N8" s="155"/>
      <c r="O8" s="155"/>
      <c r="P8" s="155"/>
      <c r="Q8" s="155"/>
      <c r="R8" s="155"/>
      <c r="S8" s="161"/>
    </row>
    <row r="9" spans="1:19" s="143" customFormat="1" ht="15.6" customHeight="1" x14ac:dyDescent="0.3">
      <c r="A9" s="98"/>
      <c r="B9" s="242" t="s">
        <v>293</v>
      </c>
      <c r="C9" s="242"/>
      <c r="D9" s="242"/>
      <c r="E9" s="242"/>
      <c r="F9" s="242"/>
      <c r="G9" s="73"/>
      <c r="H9" s="41"/>
      <c r="I9" s="152"/>
      <c r="J9" s="154" t="str">
        <f>B38</f>
        <v xml:space="preserve">(i)    Enhanced money-back guarantee based on a minimum annual rate of 1% </v>
      </c>
      <c r="K9" s="155"/>
      <c r="L9" s="155"/>
      <c r="M9" s="155"/>
      <c r="N9" s="155"/>
      <c r="O9" s="155"/>
      <c r="P9" s="155"/>
      <c r="Q9" s="155"/>
      <c r="R9" s="155"/>
      <c r="S9" s="161"/>
    </row>
    <row r="10" spans="1:19" s="143" customFormat="1" ht="15.6" customHeight="1" x14ac:dyDescent="0.3">
      <c r="A10" s="93"/>
      <c r="B10" s="242" t="s">
        <v>292</v>
      </c>
      <c r="C10" s="242"/>
      <c r="D10" s="242"/>
      <c r="E10" s="242"/>
      <c r="F10" s="242"/>
      <c r="G10" s="42"/>
      <c r="H10" s="41"/>
      <c r="I10" s="152"/>
      <c r="J10" s="160"/>
      <c r="K10" s="160"/>
      <c r="L10" s="160"/>
      <c r="M10" s="160"/>
      <c r="N10" s="160"/>
      <c r="O10" s="160"/>
      <c r="P10" s="160"/>
      <c r="Q10" s="160"/>
      <c r="R10" s="160"/>
      <c r="S10" s="161"/>
    </row>
    <row r="11" spans="1:19" s="167" customFormat="1" ht="15.6" customHeight="1" x14ac:dyDescent="0.3">
      <c r="A11" s="93"/>
      <c r="B11" s="242" t="s">
        <v>295</v>
      </c>
      <c r="C11" s="242"/>
      <c r="D11" s="242"/>
      <c r="E11" s="242"/>
      <c r="F11" s="242"/>
      <c r="G11" s="93"/>
      <c r="H11" s="96"/>
      <c r="I11" s="165"/>
      <c r="J11" s="154" t="str">
        <f>B40</f>
        <v>(ii)   Enhanced money-back guarantee based on a cumulative floor of 3% per year</v>
      </c>
      <c r="K11" s="165"/>
      <c r="L11" s="165"/>
      <c r="M11" s="165"/>
      <c r="N11" s="165"/>
      <c r="O11" s="165"/>
      <c r="P11" s="165"/>
      <c r="Q11" s="165"/>
      <c r="R11" s="165"/>
      <c r="S11" s="166"/>
    </row>
    <row r="12" spans="1:19" s="167" customFormat="1" ht="15.6" customHeight="1" x14ac:dyDescent="0.3">
      <c r="A12" s="93"/>
      <c r="B12" s="242"/>
      <c r="C12" s="242"/>
      <c r="D12" s="242"/>
      <c r="E12" s="242"/>
      <c r="F12" s="242"/>
      <c r="G12" s="93"/>
      <c r="H12" s="96"/>
      <c r="I12" s="165"/>
      <c r="J12" s="154"/>
      <c r="K12" s="165"/>
      <c r="L12" s="165"/>
      <c r="M12" s="165"/>
      <c r="N12" s="165"/>
      <c r="O12" s="165"/>
      <c r="P12" s="165"/>
      <c r="Q12" s="165"/>
      <c r="R12" s="165"/>
      <c r="S12" s="166"/>
    </row>
    <row r="13" spans="1:19" s="143" customFormat="1" x14ac:dyDescent="0.3">
      <c r="A13" s="93"/>
      <c r="B13" s="94"/>
      <c r="C13" s="95"/>
      <c r="D13" s="42"/>
      <c r="E13" s="42"/>
      <c r="F13" s="42"/>
      <c r="G13" s="42"/>
      <c r="H13" s="41"/>
      <c r="I13" s="165"/>
      <c r="J13" s="154" t="str">
        <f>B42</f>
        <v>Show all work and justify your response.</v>
      </c>
      <c r="K13" s="165"/>
      <c r="L13" s="165"/>
      <c r="M13" s="165"/>
      <c r="N13" s="165"/>
      <c r="O13" s="165"/>
      <c r="P13" s="165"/>
      <c r="Q13" s="165"/>
      <c r="R13" s="165"/>
      <c r="S13" s="161"/>
    </row>
    <row r="14" spans="1:19" s="143" customFormat="1" x14ac:dyDescent="0.3">
      <c r="A14" s="93"/>
      <c r="B14" s="99" t="s">
        <v>245</v>
      </c>
      <c r="C14" s="99" t="s">
        <v>294</v>
      </c>
      <c r="D14" s="99" t="s">
        <v>342</v>
      </c>
      <c r="E14" s="42"/>
      <c r="F14" s="42"/>
      <c r="G14" s="42"/>
      <c r="H14" s="41"/>
      <c r="I14" s="165"/>
      <c r="J14" s="165"/>
      <c r="K14" s="165"/>
      <c r="L14" s="165"/>
      <c r="M14" s="165"/>
      <c r="N14" s="165"/>
      <c r="O14" s="165"/>
      <c r="P14" s="165"/>
      <c r="Q14" s="165"/>
      <c r="R14" s="165"/>
      <c r="S14" s="161"/>
    </row>
    <row r="15" spans="1:19" s="143" customFormat="1" x14ac:dyDescent="0.3">
      <c r="A15" s="93"/>
      <c r="B15" s="100">
        <f t="shared" ref="B15:B32" si="0">+B16-1</f>
        <v>2003</v>
      </c>
      <c r="C15" s="101">
        <v>100000</v>
      </c>
      <c r="D15" s="102"/>
      <c r="E15" s="42"/>
      <c r="F15" s="42"/>
      <c r="G15" s="42"/>
      <c r="H15" s="41"/>
      <c r="I15" t="s">
        <v>382</v>
      </c>
      <c r="J15" s="193">
        <v>0.05</v>
      </c>
      <c r="K15" s="194"/>
      <c r="L15" s="194"/>
      <c r="M15" s="194"/>
      <c r="N15" s="194"/>
      <c r="O15" s="194"/>
      <c r="P15"/>
      <c r="Q15"/>
      <c r="R15"/>
      <c r="S15" s="161"/>
    </row>
    <row r="16" spans="1:19" s="143" customFormat="1" x14ac:dyDescent="0.3">
      <c r="A16" s="93"/>
      <c r="B16" s="100">
        <f t="shared" si="0"/>
        <v>2004</v>
      </c>
      <c r="C16" s="101">
        <f>ROUND(C15*1.03,0)</f>
        <v>103000</v>
      </c>
      <c r="D16" s="102">
        <v>2.0500000000000001E-2</v>
      </c>
      <c r="E16" s="42"/>
      <c r="F16" s="42"/>
      <c r="G16" s="42"/>
      <c r="H16" s="41"/>
      <c r="I16"/>
      <c r="J16"/>
      <c r="K16"/>
      <c r="L16"/>
      <c r="M16"/>
      <c r="N16"/>
      <c r="O16"/>
      <c r="P16"/>
      <c r="Q16"/>
      <c r="R16"/>
      <c r="S16" s="161"/>
    </row>
    <row r="17" spans="1:19" s="143" customFormat="1" ht="40.200000000000003" x14ac:dyDescent="0.3">
      <c r="A17" s="93"/>
      <c r="B17" s="100">
        <f t="shared" si="0"/>
        <v>2005</v>
      </c>
      <c r="C17" s="101">
        <f t="shared" ref="C17:C34" si="1">ROUND(C16*1.03,0)</f>
        <v>106090</v>
      </c>
      <c r="D17" s="102">
        <v>2.3599999999999999E-2</v>
      </c>
      <c r="E17" s="42"/>
      <c r="F17" s="42"/>
      <c r="G17" s="42"/>
      <c r="H17" s="41"/>
      <c r="I17" s="195" t="s">
        <v>245</v>
      </c>
      <c r="J17" s="195" t="s">
        <v>294</v>
      </c>
      <c r="K17" s="195" t="s">
        <v>342</v>
      </c>
      <c r="L17" s="196" t="s">
        <v>383</v>
      </c>
      <c r="M17" s="196" t="s">
        <v>384</v>
      </c>
      <c r="N17" s="196" t="s">
        <v>385</v>
      </c>
      <c r="O17" s="196" t="s">
        <v>386</v>
      </c>
      <c r="P17" s="196" t="s">
        <v>387</v>
      </c>
      <c r="Q17" s="196" t="s">
        <v>388</v>
      </c>
      <c r="R17" s="196" t="s">
        <v>387</v>
      </c>
      <c r="S17" s="161"/>
    </row>
    <row r="18" spans="1:19" s="143" customFormat="1" x14ac:dyDescent="0.3">
      <c r="A18" s="93"/>
      <c r="B18" s="100">
        <f t="shared" si="0"/>
        <v>2006</v>
      </c>
      <c r="C18" s="101">
        <f t="shared" si="1"/>
        <v>109273</v>
      </c>
      <c r="D18" s="102">
        <v>-2.93E-2</v>
      </c>
      <c r="E18" s="42"/>
      <c r="F18" s="42"/>
      <c r="G18" s="42"/>
      <c r="H18" s="41"/>
      <c r="I18">
        <f>B15</f>
        <v>2003</v>
      </c>
      <c r="J18" s="197">
        <f>C15</f>
        <v>100000</v>
      </c>
      <c r="K18" s="198"/>
      <c r="L18" s="199">
        <f>ROUND(J18*$J$15,2)</f>
        <v>5000</v>
      </c>
      <c r="M18" s="199">
        <v>0</v>
      </c>
      <c r="N18" s="199">
        <f>SUM(L18:M18)</f>
        <v>5000</v>
      </c>
      <c r="O18" s="199">
        <v>0</v>
      </c>
      <c r="P18" s="199">
        <f>+L18+O18</f>
        <v>5000</v>
      </c>
      <c r="Q18" s="199">
        <v>0</v>
      </c>
      <c r="R18" s="199">
        <f>+L18+Q18</f>
        <v>5000</v>
      </c>
      <c r="S18" s="161"/>
    </row>
    <row r="19" spans="1:19" s="143" customFormat="1" x14ac:dyDescent="0.3">
      <c r="A19" s="93"/>
      <c r="B19" s="100">
        <f t="shared" si="0"/>
        <v>2007</v>
      </c>
      <c r="C19" s="101">
        <f t="shared" si="1"/>
        <v>112551</v>
      </c>
      <c r="D19" s="102">
        <v>4.2000000000000003E-2</v>
      </c>
      <c r="E19" s="42"/>
      <c r="F19" s="42"/>
      <c r="G19" s="42"/>
      <c r="H19" s="41"/>
      <c r="I19">
        <f t="shared" ref="I19:K34" si="2">B16</f>
        <v>2004</v>
      </c>
      <c r="J19" s="197">
        <f t="shared" si="2"/>
        <v>103000</v>
      </c>
      <c r="K19" s="198">
        <f t="shared" si="2"/>
        <v>2.0500000000000001E-2</v>
      </c>
      <c r="L19" s="199">
        <f t="shared" ref="L19:L37" si="3">ROUND(J19*$J$15,2)</f>
        <v>5150</v>
      </c>
      <c r="M19" s="199">
        <f>ROUND(N18*K19,2)</f>
        <v>102.5</v>
      </c>
      <c r="N19" s="199">
        <f t="shared" ref="N19:N36" si="4">N18+L19+M19</f>
        <v>10252.5</v>
      </c>
      <c r="O19" s="199">
        <f>ROUND(MAX($K19,1%)*P18,2)</f>
        <v>102.5</v>
      </c>
      <c r="P19" s="199">
        <f>P18+L19+O19</f>
        <v>10252.5</v>
      </c>
      <c r="Q19" s="199">
        <f>3%*R18</f>
        <v>150</v>
      </c>
      <c r="R19" s="199">
        <f>R18+L19+Q19</f>
        <v>10300</v>
      </c>
      <c r="S19" s="161"/>
    </row>
    <row r="20" spans="1:19" s="143" customFormat="1" x14ac:dyDescent="0.3">
      <c r="A20" s="93"/>
      <c r="B20" s="100">
        <f t="shared" si="0"/>
        <v>2008</v>
      </c>
      <c r="C20" s="101">
        <f t="shared" si="1"/>
        <v>115928</v>
      </c>
      <c r="D20" s="102">
        <v>6.4000000000000003E-3</v>
      </c>
      <c r="E20" s="42"/>
      <c r="F20" s="42"/>
      <c r="G20" s="42"/>
      <c r="H20" s="41"/>
      <c r="I20">
        <f t="shared" si="2"/>
        <v>2005</v>
      </c>
      <c r="J20" s="197">
        <f t="shared" si="2"/>
        <v>106090</v>
      </c>
      <c r="K20" s="198">
        <f t="shared" si="2"/>
        <v>2.3599999999999999E-2</v>
      </c>
      <c r="L20" s="199">
        <f t="shared" si="3"/>
        <v>5304.5</v>
      </c>
      <c r="M20" s="199">
        <f t="shared" ref="M20:M37" si="5">ROUND(N19*K20,2)</f>
        <v>241.96</v>
      </c>
      <c r="N20" s="199">
        <f t="shared" si="4"/>
        <v>15798.96</v>
      </c>
      <c r="O20" s="199">
        <f t="shared" ref="O20:O37" si="6">ROUND(MAX($K20,1%)*P19,2)</f>
        <v>241.96</v>
      </c>
      <c r="P20" s="199">
        <f t="shared" ref="P20:P37" si="7">P19+L20+O20</f>
        <v>15798.96</v>
      </c>
      <c r="Q20" s="199">
        <f>3%*R19</f>
        <v>309</v>
      </c>
      <c r="R20" s="199">
        <f t="shared" ref="R20:R37" si="8">R19+L20+Q20</f>
        <v>15913.5</v>
      </c>
      <c r="S20" s="161"/>
    </row>
    <row r="21" spans="1:19" s="143" customFormat="1" x14ac:dyDescent="0.3">
      <c r="A21" s="93"/>
      <c r="B21" s="100">
        <f t="shared" si="0"/>
        <v>2009</v>
      </c>
      <c r="C21" s="101">
        <f t="shared" si="1"/>
        <v>119406</v>
      </c>
      <c r="D21" s="102">
        <v>4.7600000000000003E-2</v>
      </c>
      <c r="E21" s="42"/>
      <c r="F21" s="42"/>
      <c r="G21" s="42"/>
      <c r="H21" s="41"/>
      <c r="I21">
        <f t="shared" si="2"/>
        <v>2006</v>
      </c>
      <c r="J21" s="197">
        <f t="shared" si="2"/>
        <v>109273</v>
      </c>
      <c r="K21" s="198">
        <f t="shared" si="2"/>
        <v>-2.93E-2</v>
      </c>
      <c r="L21" s="199">
        <f t="shared" si="3"/>
        <v>5463.65</v>
      </c>
      <c r="M21" s="199">
        <f t="shared" si="5"/>
        <v>-462.91</v>
      </c>
      <c r="N21" s="199">
        <f t="shared" si="4"/>
        <v>20799.7</v>
      </c>
      <c r="O21" s="199">
        <f t="shared" si="6"/>
        <v>157.99</v>
      </c>
      <c r="P21" s="199">
        <f t="shared" si="7"/>
        <v>21420.600000000002</v>
      </c>
      <c r="Q21" s="199">
        <f t="shared" ref="Q21:Q37" si="9">3%*R20</f>
        <v>477.40499999999997</v>
      </c>
      <c r="R21" s="199">
        <f t="shared" si="8"/>
        <v>21854.555</v>
      </c>
      <c r="S21" s="161"/>
    </row>
    <row r="22" spans="1:19" s="143" customFormat="1" x14ac:dyDescent="0.3">
      <c r="A22" s="93"/>
      <c r="B22" s="100">
        <f t="shared" si="0"/>
        <v>2010</v>
      </c>
      <c r="C22" s="101">
        <f t="shared" si="1"/>
        <v>122988</v>
      </c>
      <c r="D22" s="102">
        <v>3.6400000000000002E-2</v>
      </c>
      <c r="E22" s="42"/>
      <c r="F22" s="42"/>
      <c r="G22" s="42"/>
      <c r="H22" s="41"/>
      <c r="I22">
        <f t="shared" si="2"/>
        <v>2007</v>
      </c>
      <c r="J22" s="197">
        <f t="shared" si="2"/>
        <v>112551</v>
      </c>
      <c r="K22" s="198">
        <f t="shared" si="2"/>
        <v>4.2000000000000003E-2</v>
      </c>
      <c r="L22" s="199">
        <f t="shared" si="3"/>
        <v>5627.55</v>
      </c>
      <c r="M22" s="199">
        <f t="shared" si="5"/>
        <v>873.59</v>
      </c>
      <c r="N22" s="199">
        <f t="shared" si="4"/>
        <v>27300.84</v>
      </c>
      <c r="O22" s="199">
        <f t="shared" si="6"/>
        <v>899.67</v>
      </c>
      <c r="P22" s="199">
        <f t="shared" si="7"/>
        <v>27947.82</v>
      </c>
      <c r="Q22" s="199">
        <f t="shared" si="9"/>
        <v>655.63665000000003</v>
      </c>
      <c r="R22" s="199">
        <f t="shared" si="8"/>
        <v>28137.74165</v>
      </c>
      <c r="S22" s="161"/>
    </row>
    <row r="23" spans="1:19" s="143" customFormat="1" x14ac:dyDescent="0.3">
      <c r="A23" s="93"/>
      <c r="B23" s="100">
        <f t="shared" si="0"/>
        <v>2011</v>
      </c>
      <c r="C23" s="101">
        <f t="shared" si="1"/>
        <v>126678</v>
      </c>
      <c r="D23" s="102">
        <v>4.02E-2</v>
      </c>
      <c r="E23" s="42"/>
      <c r="F23" s="42"/>
      <c r="G23" s="42"/>
      <c r="H23" s="41"/>
      <c r="I23">
        <f t="shared" si="2"/>
        <v>2008</v>
      </c>
      <c r="J23" s="197">
        <f t="shared" si="2"/>
        <v>115928</v>
      </c>
      <c r="K23" s="198">
        <f t="shared" si="2"/>
        <v>6.4000000000000003E-3</v>
      </c>
      <c r="L23" s="199">
        <f t="shared" si="3"/>
        <v>5796.4</v>
      </c>
      <c r="M23" s="199">
        <f t="shared" si="5"/>
        <v>174.73</v>
      </c>
      <c r="N23" s="199">
        <f t="shared" si="4"/>
        <v>33271.97</v>
      </c>
      <c r="O23" s="199">
        <f t="shared" si="6"/>
        <v>279.48</v>
      </c>
      <c r="P23" s="199">
        <f t="shared" si="7"/>
        <v>34023.700000000004</v>
      </c>
      <c r="Q23" s="199">
        <f t="shared" si="9"/>
        <v>844.13224949999994</v>
      </c>
      <c r="R23" s="199">
        <f t="shared" si="8"/>
        <v>34778.273899499996</v>
      </c>
      <c r="S23" s="161"/>
    </row>
    <row r="24" spans="1:19" s="143" customFormat="1" x14ac:dyDescent="0.3">
      <c r="A24" s="93"/>
      <c r="B24" s="100">
        <f t="shared" si="0"/>
        <v>2012</v>
      </c>
      <c r="C24" s="101">
        <f t="shared" si="1"/>
        <v>130478</v>
      </c>
      <c r="D24" s="102">
        <v>2.6200000000000001E-2</v>
      </c>
      <c r="E24" s="42"/>
      <c r="F24" s="42"/>
      <c r="G24" s="42"/>
      <c r="H24" s="41"/>
      <c r="I24">
        <f t="shared" si="2"/>
        <v>2009</v>
      </c>
      <c r="J24" s="197">
        <f t="shared" si="2"/>
        <v>119406</v>
      </c>
      <c r="K24" s="198">
        <f t="shared" si="2"/>
        <v>4.7600000000000003E-2</v>
      </c>
      <c r="L24" s="199">
        <f t="shared" si="3"/>
        <v>5970.3</v>
      </c>
      <c r="M24" s="199">
        <f t="shared" si="5"/>
        <v>1583.75</v>
      </c>
      <c r="N24" s="199">
        <f t="shared" si="4"/>
        <v>40826.020000000004</v>
      </c>
      <c r="O24" s="199">
        <f t="shared" si="6"/>
        <v>1619.53</v>
      </c>
      <c r="P24" s="199">
        <f t="shared" si="7"/>
        <v>41613.530000000006</v>
      </c>
      <c r="Q24" s="199">
        <f t="shared" si="9"/>
        <v>1043.3482169849999</v>
      </c>
      <c r="R24" s="199">
        <f t="shared" si="8"/>
        <v>41791.922116485002</v>
      </c>
      <c r="S24" s="161"/>
    </row>
    <row r="25" spans="1:19" s="143" customFormat="1" x14ac:dyDescent="0.3">
      <c r="A25" s="93"/>
      <c r="B25" s="100">
        <f t="shared" si="0"/>
        <v>2013</v>
      </c>
      <c r="C25" s="101">
        <f t="shared" si="1"/>
        <v>134392</v>
      </c>
      <c r="D25" s="102">
        <v>5.5199999999999999E-2</v>
      </c>
      <c r="E25" s="42"/>
      <c r="F25" s="42"/>
      <c r="G25" s="42"/>
      <c r="H25" s="41"/>
      <c r="I25">
        <f t="shared" si="2"/>
        <v>2010</v>
      </c>
      <c r="J25" s="197">
        <f t="shared" si="2"/>
        <v>122988</v>
      </c>
      <c r="K25" s="198">
        <f t="shared" si="2"/>
        <v>3.6400000000000002E-2</v>
      </c>
      <c r="L25" s="199">
        <f t="shared" si="3"/>
        <v>6149.4</v>
      </c>
      <c r="M25" s="199">
        <f t="shared" si="5"/>
        <v>1486.07</v>
      </c>
      <c r="N25" s="199">
        <f t="shared" si="4"/>
        <v>48461.490000000005</v>
      </c>
      <c r="O25" s="199">
        <f t="shared" si="6"/>
        <v>1514.73</v>
      </c>
      <c r="P25" s="199">
        <f t="shared" si="7"/>
        <v>49277.660000000011</v>
      </c>
      <c r="Q25" s="199">
        <f t="shared" si="9"/>
        <v>1253.7576634945501</v>
      </c>
      <c r="R25" s="199">
        <f t="shared" si="8"/>
        <v>49195.079779979555</v>
      </c>
      <c r="S25" s="161"/>
    </row>
    <row r="26" spans="1:19" s="143" customFormat="1" x14ac:dyDescent="0.3">
      <c r="A26" s="93"/>
      <c r="B26" s="100">
        <f t="shared" si="0"/>
        <v>2014</v>
      </c>
      <c r="C26" s="101">
        <f t="shared" si="1"/>
        <v>138424</v>
      </c>
      <c r="D26" s="102">
        <v>4.2200000000000001E-2</v>
      </c>
      <c r="E26" s="42"/>
      <c r="F26" s="42"/>
      <c r="G26" s="42"/>
      <c r="H26" s="41"/>
      <c r="I26">
        <f t="shared" si="2"/>
        <v>2011</v>
      </c>
      <c r="J26" s="197">
        <f t="shared" si="2"/>
        <v>126678</v>
      </c>
      <c r="K26" s="198">
        <f t="shared" si="2"/>
        <v>4.02E-2</v>
      </c>
      <c r="L26" s="199">
        <f t="shared" si="3"/>
        <v>6333.9</v>
      </c>
      <c r="M26" s="199">
        <f t="shared" si="5"/>
        <v>1948.15</v>
      </c>
      <c r="N26" s="199">
        <f t="shared" si="4"/>
        <v>56743.540000000008</v>
      </c>
      <c r="O26" s="199">
        <f t="shared" si="6"/>
        <v>1980.96</v>
      </c>
      <c r="P26" s="199">
        <f t="shared" si="7"/>
        <v>57592.520000000011</v>
      </c>
      <c r="Q26" s="199">
        <f t="shared" si="9"/>
        <v>1475.8523933993865</v>
      </c>
      <c r="R26" s="199">
        <f t="shared" si="8"/>
        <v>57004.832173378942</v>
      </c>
      <c r="S26" s="161"/>
    </row>
    <row r="27" spans="1:19" s="143" customFormat="1" x14ac:dyDescent="0.3">
      <c r="A27" s="93"/>
      <c r="B27" s="100">
        <f t="shared" si="0"/>
        <v>2015</v>
      </c>
      <c r="C27" s="101">
        <f t="shared" si="1"/>
        <v>142577</v>
      </c>
      <c r="D27" s="102">
        <v>3.85E-2</v>
      </c>
      <c r="E27" s="42"/>
      <c r="F27" s="42"/>
      <c r="G27" s="42"/>
      <c r="H27" s="41"/>
      <c r="I27">
        <f t="shared" si="2"/>
        <v>2012</v>
      </c>
      <c r="J27" s="197">
        <f t="shared" si="2"/>
        <v>130478</v>
      </c>
      <c r="K27" s="198">
        <f t="shared" si="2"/>
        <v>2.6200000000000001E-2</v>
      </c>
      <c r="L27" s="199">
        <f t="shared" si="3"/>
        <v>6523.9</v>
      </c>
      <c r="M27" s="199">
        <f t="shared" si="5"/>
        <v>1486.68</v>
      </c>
      <c r="N27" s="199">
        <f t="shared" si="4"/>
        <v>64754.12000000001</v>
      </c>
      <c r="O27" s="199">
        <f t="shared" si="6"/>
        <v>1508.92</v>
      </c>
      <c r="P27" s="199">
        <f t="shared" si="7"/>
        <v>65625.340000000011</v>
      </c>
      <c r="Q27" s="199">
        <f t="shared" si="9"/>
        <v>1710.1449652013682</v>
      </c>
      <c r="R27" s="199">
        <f t="shared" si="8"/>
        <v>65238.877138580312</v>
      </c>
      <c r="S27" s="161"/>
    </row>
    <row r="28" spans="1:19" s="143" customFormat="1" x14ac:dyDescent="0.3">
      <c r="A28" s="93"/>
      <c r="B28" s="100">
        <f t="shared" si="0"/>
        <v>2016</v>
      </c>
      <c r="C28" s="101">
        <f t="shared" si="1"/>
        <v>146854</v>
      </c>
      <c r="D28" s="102">
        <v>6.4000000000000003E-3</v>
      </c>
      <c r="E28" s="42"/>
      <c r="F28" s="42"/>
      <c r="G28" s="42"/>
      <c r="H28" s="41"/>
      <c r="I28">
        <f t="shared" si="2"/>
        <v>2013</v>
      </c>
      <c r="J28" s="197">
        <f t="shared" si="2"/>
        <v>134392</v>
      </c>
      <c r="K28" s="198">
        <f t="shared" si="2"/>
        <v>5.5199999999999999E-2</v>
      </c>
      <c r="L28" s="199">
        <f t="shared" si="3"/>
        <v>6719.6</v>
      </c>
      <c r="M28" s="199">
        <f t="shared" si="5"/>
        <v>3574.43</v>
      </c>
      <c r="N28" s="199">
        <f t="shared" si="4"/>
        <v>75048.150000000009</v>
      </c>
      <c r="O28" s="199">
        <f t="shared" si="6"/>
        <v>3622.52</v>
      </c>
      <c r="P28" s="199">
        <f t="shared" si="7"/>
        <v>75967.460000000021</v>
      </c>
      <c r="Q28" s="199">
        <f t="shared" si="9"/>
        <v>1957.1663141574093</v>
      </c>
      <c r="R28" s="199">
        <f t="shared" si="8"/>
        <v>73915.643452737728</v>
      </c>
      <c r="S28" s="161"/>
    </row>
    <row r="29" spans="1:19" s="143" customFormat="1" x14ac:dyDescent="0.3">
      <c r="A29" s="93"/>
      <c r="B29" s="100">
        <f t="shared" si="0"/>
        <v>2017</v>
      </c>
      <c r="C29" s="101">
        <f t="shared" si="1"/>
        <v>151260</v>
      </c>
      <c r="D29" s="102">
        <v>-2.6800000000000001E-2</v>
      </c>
      <c r="E29" s="42"/>
      <c r="F29" s="42"/>
      <c r="G29" s="42"/>
      <c r="H29" s="41"/>
      <c r="I29">
        <f t="shared" si="2"/>
        <v>2014</v>
      </c>
      <c r="J29" s="197">
        <f t="shared" si="2"/>
        <v>138424</v>
      </c>
      <c r="K29" s="198">
        <f t="shared" si="2"/>
        <v>4.2200000000000001E-2</v>
      </c>
      <c r="L29" s="199">
        <f t="shared" si="3"/>
        <v>6921.2</v>
      </c>
      <c r="M29" s="199">
        <f t="shared" si="5"/>
        <v>3167.03</v>
      </c>
      <c r="N29" s="199">
        <f t="shared" si="4"/>
        <v>85136.38</v>
      </c>
      <c r="O29" s="199">
        <f t="shared" si="6"/>
        <v>3205.83</v>
      </c>
      <c r="P29" s="199">
        <f t="shared" si="7"/>
        <v>86094.49000000002</v>
      </c>
      <c r="Q29" s="199">
        <f t="shared" si="9"/>
        <v>2217.4693035821319</v>
      </c>
      <c r="R29" s="199">
        <f t="shared" si="8"/>
        <v>83054.31275631985</v>
      </c>
      <c r="S29" s="161"/>
    </row>
    <row r="30" spans="1:19" s="143" customFormat="1" x14ac:dyDescent="0.3">
      <c r="A30" s="93"/>
      <c r="B30" s="100">
        <f t="shared" si="0"/>
        <v>2018</v>
      </c>
      <c r="C30" s="101">
        <f t="shared" si="1"/>
        <v>155798</v>
      </c>
      <c r="D30" s="102">
        <v>3.5099999999999999E-2</v>
      </c>
      <c r="E30" s="42"/>
      <c r="F30" s="42"/>
      <c r="G30" s="42"/>
      <c r="H30" s="41"/>
      <c r="I30">
        <f t="shared" si="2"/>
        <v>2015</v>
      </c>
      <c r="J30" s="197">
        <f t="shared" si="2"/>
        <v>142577</v>
      </c>
      <c r="K30" s="198">
        <f t="shared" si="2"/>
        <v>3.85E-2</v>
      </c>
      <c r="L30" s="199">
        <f t="shared" si="3"/>
        <v>7128.85</v>
      </c>
      <c r="M30" s="199">
        <f t="shared" si="5"/>
        <v>3277.75</v>
      </c>
      <c r="N30" s="199">
        <f t="shared" si="4"/>
        <v>95542.98000000001</v>
      </c>
      <c r="O30" s="199">
        <f t="shared" si="6"/>
        <v>3314.64</v>
      </c>
      <c r="P30" s="199">
        <f t="shared" si="7"/>
        <v>96537.980000000025</v>
      </c>
      <c r="Q30" s="199">
        <f t="shared" si="9"/>
        <v>2491.6293826895953</v>
      </c>
      <c r="R30" s="199">
        <f t="shared" si="8"/>
        <v>92674.792139009456</v>
      </c>
      <c r="S30" s="161"/>
    </row>
    <row r="31" spans="1:19" s="143" customFormat="1" x14ac:dyDescent="0.3">
      <c r="A31" s="93"/>
      <c r="B31" s="100">
        <f t="shared" si="0"/>
        <v>2019</v>
      </c>
      <c r="C31" s="101">
        <f t="shared" si="1"/>
        <v>160472</v>
      </c>
      <c r="D31" s="102">
        <v>-2.18E-2</v>
      </c>
      <c r="E31" s="42"/>
      <c r="F31" s="42"/>
      <c r="G31" s="42"/>
      <c r="H31" s="41"/>
      <c r="I31">
        <f t="shared" si="2"/>
        <v>2016</v>
      </c>
      <c r="J31" s="197">
        <f t="shared" si="2"/>
        <v>146854</v>
      </c>
      <c r="K31" s="198">
        <f t="shared" si="2"/>
        <v>6.4000000000000003E-3</v>
      </c>
      <c r="L31" s="199">
        <f t="shared" si="3"/>
        <v>7342.7</v>
      </c>
      <c r="M31" s="199">
        <f t="shared" si="5"/>
        <v>611.48</v>
      </c>
      <c r="N31" s="199">
        <f t="shared" si="4"/>
        <v>103497.16</v>
      </c>
      <c r="O31" s="199">
        <f t="shared" si="6"/>
        <v>965.38</v>
      </c>
      <c r="P31" s="199">
        <f t="shared" si="7"/>
        <v>104846.06000000003</v>
      </c>
      <c r="Q31" s="199">
        <f t="shared" si="9"/>
        <v>2780.2437641702836</v>
      </c>
      <c r="R31" s="199">
        <f t="shared" si="8"/>
        <v>102797.73590317974</v>
      </c>
      <c r="S31" s="161"/>
    </row>
    <row r="32" spans="1:19" s="143" customFormat="1" x14ac:dyDescent="0.3">
      <c r="A32" s="93"/>
      <c r="B32" s="100">
        <f t="shared" si="0"/>
        <v>2020</v>
      </c>
      <c r="C32" s="101">
        <f t="shared" si="1"/>
        <v>165286</v>
      </c>
      <c r="D32" s="102">
        <v>4.8599999999999997E-2</v>
      </c>
      <c r="E32" s="42"/>
      <c r="F32" s="42"/>
      <c r="G32" s="42"/>
      <c r="H32" s="41"/>
      <c r="I32">
        <f t="shared" si="2"/>
        <v>2017</v>
      </c>
      <c r="J32" s="197">
        <f t="shared" si="2"/>
        <v>151260</v>
      </c>
      <c r="K32" s="198">
        <f t="shared" si="2"/>
        <v>-2.6800000000000001E-2</v>
      </c>
      <c r="L32" s="199">
        <f t="shared" si="3"/>
        <v>7563</v>
      </c>
      <c r="M32" s="199">
        <f t="shared" si="5"/>
        <v>-2773.72</v>
      </c>
      <c r="N32" s="199">
        <f>N31+L32+M32</f>
        <v>108286.44</v>
      </c>
      <c r="O32" s="199">
        <f t="shared" si="6"/>
        <v>1048.46</v>
      </c>
      <c r="P32" s="199">
        <f t="shared" si="7"/>
        <v>113457.52000000003</v>
      </c>
      <c r="Q32" s="199">
        <f t="shared" si="9"/>
        <v>3083.9320770953918</v>
      </c>
      <c r="R32" s="199">
        <f t="shared" si="8"/>
        <v>113444.66798027513</v>
      </c>
      <c r="S32" s="161"/>
    </row>
    <row r="33" spans="1:19" s="143" customFormat="1" x14ac:dyDescent="0.3">
      <c r="A33" s="93"/>
      <c r="B33" s="100">
        <f>+B34-1</f>
        <v>2021</v>
      </c>
      <c r="C33" s="101">
        <f t="shared" si="1"/>
        <v>170245</v>
      </c>
      <c r="D33" s="102">
        <v>-5.1000000000000004E-3</v>
      </c>
      <c r="E33" s="42"/>
      <c r="F33" s="42"/>
      <c r="G33" s="42"/>
      <c r="H33" s="41"/>
      <c r="I33">
        <f t="shared" si="2"/>
        <v>2018</v>
      </c>
      <c r="J33" s="197">
        <f t="shared" si="2"/>
        <v>155798</v>
      </c>
      <c r="K33" s="198">
        <f t="shared" si="2"/>
        <v>3.5099999999999999E-2</v>
      </c>
      <c r="L33" s="199">
        <f t="shared" si="3"/>
        <v>7789.9</v>
      </c>
      <c r="M33" s="199">
        <f t="shared" si="5"/>
        <v>3800.85</v>
      </c>
      <c r="N33" s="199">
        <f t="shared" si="4"/>
        <v>119877.19</v>
      </c>
      <c r="O33" s="199">
        <f t="shared" si="6"/>
        <v>3982.36</v>
      </c>
      <c r="P33" s="199">
        <f t="shared" si="7"/>
        <v>125229.78000000003</v>
      </c>
      <c r="Q33" s="199">
        <f t="shared" si="9"/>
        <v>3403.3400394082537</v>
      </c>
      <c r="R33" s="199">
        <f t="shared" si="8"/>
        <v>124637.90801968338</v>
      </c>
      <c r="S33" s="161"/>
    </row>
    <row r="34" spans="1:19" s="143" customFormat="1" x14ac:dyDescent="0.3">
      <c r="A34" s="93"/>
      <c r="B34" s="100">
        <v>2022</v>
      </c>
      <c r="C34" s="101">
        <f t="shared" si="1"/>
        <v>175352</v>
      </c>
      <c r="D34" s="102">
        <v>-2.92E-2</v>
      </c>
      <c r="E34" s="42"/>
      <c r="F34" s="42"/>
      <c r="G34" s="42"/>
      <c r="H34" s="41"/>
      <c r="I34">
        <f t="shared" si="2"/>
        <v>2019</v>
      </c>
      <c r="J34" s="197">
        <f t="shared" si="2"/>
        <v>160472</v>
      </c>
      <c r="K34" s="198">
        <f t="shared" si="2"/>
        <v>-2.18E-2</v>
      </c>
      <c r="L34" s="199">
        <f t="shared" si="3"/>
        <v>8023.6</v>
      </c>
      <c r="M34" s="199">
        <f t="shared" si="5"/>
        <v>-2613.3200000000002</v>
      </c>
      <c r="N34" s="199">
        <f t="shared" si="4"/>
        <v>125287.47</v>
      </c>
      <c r="O34" s="199">
        <f t="shared" si="6"/>
        <v>1252.3</v>
      </c>
      <c r="P34" s="199">
        <f t="shared" si="7"/>
        <v>134505.68000000002</v>
      </c>
      <c r="Q34" s="199">
        <f t="shared" si="9"/>
        <v>3739.1372405905013</v>
      </c>
      <c r="R34" s="199">
        <f t="shared" si="8"/>
        <v>136400.64526027389</v>
      </c>
      <c r="S34" s="161"/>
    </row>
    <row r="35" spans="1:19" s="143" customFormat="1" ht="15.6" customHeight="1" x14ac:dyDescent="0.3">
      <c r="A35" s="93"/>
      <c r="B35" s="98"/>
      <c r="C35" s="45"/>
      <c r="D35" s="42"/>
      <c r="E35" s="42"/>
      <c r="F35" s="42"/>
      <c r="G35" s="42"/>
      <c r="H35" s="41"/>
      <c r="I35">
        <f t="shared" ref="I35:K37" si="10">B32</f>
        <v>2020</v>
      </c>
      <c r="J35" s="197">
        <f t="shared" si="10"/>
        <v>165286</v>
      </c>
      <c r="K35" s="198">
        <f t="shared" si="10"/>
        <v>4.8599999999999997E-2</v>
      </c>
      <c r="L35" s="199">
        <f t="shared" si="3"/>
        <v>8264.2999999999993</v>
      </c>
      <c r="M35" s="199">
        <f t="shared" si="5"/>
        <v>6088.97</v>
      </c>
      <c r="N35" s="199">
        <f t="shared" si="4"/>
        <v>139640.74</v>
      </c>
      <c r="O35" s="199">
        <f t="shared" si="6"/>
        <v>6536.98</v>
      </c>
      <c r="P35" s="199">
        <f t="shared" si="7"/>
        <v>149306.96000000002</v>
      </c>
      <c r="Q35" s="199">
        <f t="shared" si="9"/>
        <v>4092.0193578082162</v>
      </c>
      <c r="R35" s="199">
        <f t="shared" si="8"/>
        <v>148756.9646180821</v>
      </c>
      <c r="S35" s="161"/>
    </row>
    <row r="36" spans="1:19" s="143" customFormat="1" ht="15.6" customHeight="1" x14ac:dyDescent="0.3">
      <c r="A36" s="42" t="s">
        <v>5</v>
      </c>
      <c r="B36" s="251" t="s">
        <v>289</v>
      </c>
      <c r="C36" s="242"/>
      <c r="D36" s="242"/>
      <c r="E36" s="242"/>
      <c r="F36" s="242"/>
      <c r="G36" s="242"/>
      <c r="H36" s="41"/>
      <c r="I36">
        <f t="shared" si="10"/>
        <v>2021</v>
      </c>
      <c r="J36" s="197">
        <f t="shared" si="10"/>
        <v>170245</v>
      </c>
      <c r="K36" s="198">
        <f t="shared" si="10"/>
        <v>-5.1000000000000004E-3</v>
      </c>
      <c r="L36" s="199">
        <f t="shared" si="3"/>
        <v>8512.25</v>
      </c>
      <c r="M36" s="199">
        <f t="shared" si="5"/>
        <v>-712.17</v>
      </c>
      <c r="N36" s="199">
        <f t="shared" si="4"/>
        <v>147440.81999999998</v>
      </c>
      <c r="O36" s="199">
        <f t="shared" si="6"/>
        <v>1493.07</v>
      </c>
      <c r="P36" s="199">
        <f t="shared" si="7"/>
        <v>159312.28000000003</v>
      </c>
      <c r="Q36" s="199">
        <f t="shared" si="9"/>
        <v>4462.7089385424624</v>
      </c>
      <c r="R36" s="199">
        <f t="shared" si="8"/>
        <v>161731.92355662456</v>
      </c>
      <c r="S36" s="161"/>
    </row>
    <row r="37" spans="1:19" s="143" customFormat="1" ht="15.6" customHeight="1" x14ac:dyDescent="0.3">
      <c r="A37" s="42"/>
      <c r="B37" s="242"/>
      <c r="C37" s="242"/>
      <c r="D37" s="242"/>
      <c r="E37" s="242"/>
      <c r="F37" s="242"/>
      <c r="G37" s="242"/>
      <c r="H37" s="41"/>
      <c r="I37">
        <f t="shared" si="10"/>
        <v>2022</v>
      </c>
      <c r="J37" s="197">
        <f t="shared" si="10"/>
        <v>175352</v>
      </c>
      <c r="K37" s="198">
        <f t="shared" si="10"/>
        <v>-2.92E-2</v>
      </c>
      <c r="L37" s="199">
        <f t="shared" si="3"/>
        <v>8767.6</v>
      </c>
      <c r="M37" s="199">
        <f t="shared" si="5"/>
        <v>-4305.2700000000004</v>
      </c>
      <c r="N37" s="199">
        <f>N36+L37+M37</f>
        <v>151903.15</v>
      </c>
      <c r="O37" s="199">
        <f t="shared" si="6"/>
        <v>1593.12</v>
      </c>
      <c r="P37" s="199">
        <f t="shared" si="7"/>
        <v>169673.00000000003</v>
      </c>
      <c r="Q37" s="199">
        <f t="shared" si="9"/>
        <v>4851.9577066987367</v>
      </c>
      <c r="R37" s="199">
        <f t="shared" si="8"/>
        <v>175351.48126332331</v>
      </c>
      <c r="S37" s="161"/>
    </row>
    <row r="38" spans="1:19" s="143" customFormat="1" ht="15.6" customHeight="1" x14ac:dyDescent="0.3">
      <c r="A38" s="42"/>
      <c r="B38" s="242" t="s">
        <v>290</v>
      </c>
      <c r="C38" s="242"/>
      <c r="D38" s="242"/>
      <c r="E38" s="242"/>
      <c r="F38" s="242"/>
      <c r="G38" s="72"/>
      <c r="H38" s="41"/>
      <c r="I38"/>
      <c r="J38"/>
      <c r="K38"/>
      <c r="L38" s="200"/>
      <c r="M38" s="201"/>
      <c r="N38"/>
      <c r="O38" s="201"/>
      <c r="P38" s="201"/>
      <c r="Q38" s="201"/>
      <c r="R38" s="201" t="s">
        <v>389</v>
      </c>
      <c r="S38" s="161"/>
    </row>
    <row r="39" spans="1:19" s="143" customFormat="1" ht="15.6" customHeight="1" x14ac:dyDescent="0.3">
      <c r="A39" s="42"/>
      <c r="B39" s="72"/>
      <c r="C39" s="72"/>
      <c r="D39" s="72"/>
      <c r="E39" s="72"/>
      <c r="F39" s="72"/>
      <c r="G39" s="72"/>
      <c r="H39" s="41"/>
      <c r="I39"/>
      <c r="J39"/>
      <c r="K39"/>
      <c r="L39" s="202"/>
      <c r="M39" s="203"/>
      <c r="N39"/>
      <c r="O39"/>
      <c r="P39"/>
      <c r="Q39"/>
      <c r="R39"/>
      <c r="S39" s="161"/>
    </row>
    <row r="40" spans="1:19" s="143" customFormat="1" ht="15.6" customHeight="1" x14ac:dyDescent="0.3">
      <c r="A40" s="42"/>
      <c r="B40" s="242" t="s">
        <v>291</v>
      </c>
      <c r="C40" s="242"/>
      <c r="D40" s="242"/>
      <c r="E40" s="242"/>
      <c r="F40" s="242"/>
      <c r="G40" s="72"/>
      <c r="H40" s="41"/>
      <c r="I40"/>
      <c r="J40"/>
      <c r="K40"/>
      <c r="L40"/>
      <c r="M40"/>
      <c r="N40" s="200" t="s">
        <v>390</v>
      </c>
      <c r="O40"/>
      <c r="P40"/>
      <c r="Q40" s="200" t="s">
        <v>391</v>
      </c>
      <c r="R40"/>
      <c r="S40" s="161"/>
    </row>
    <row r="41" spans="1:19" s="143" customFormat="1" ht="15.6" customHeight="1" x14ac:dyDescent="0.3">
      <c r="A41" s="42"/>
      <c r="B41" s="72"/>
      <c r="C41" s="72"/>
      <c r="D41" s="72"/>
      <c r="E41" s="72"/>
      <c r="F41" s="72"/>
      <c r="G41" s="72"/>
      <c r="H41" s="41"/>
      <c r="I41"/>
      <c r="J41"/>
      <c r="K41"/>
      <c r="L41"/>
      <c r="M41"/>
      <c r="N41" t="s">
        <v>392</v>
      </c>
      <c r="O41" s="199">
        <f>N37</f>
        <v>151903.15</v>
      </c>
      <c r="P41" s="201"/>
      <c r="Q41" t="s">
        <v>392</v>
      </c>
      <c r="R41" s="199">
        <f>N37</f>
        <v>151903.15</v>
      </c>
      <c r="S41" s="161"/>
    </row>
    <row r="42" spans="1:19" x14ac:dyDescent="0.3">
      <c r="B42" s="44" t="s">
        <v>276</v>
      </c>
      <c r="I42"/>
      <c r="J42"/>
      <c r="K42"/>
      <c r="L42"/>
      <c r="M42"/>
      <c r="N42" t="s">
        <v>393</v>
      </c>
      <c r="O42" s="199">
        <f>P37</f>
        <v>169673.00000000003</v>
      </c>
      <c r="P42" s="201"/>
      <c r="Q42" t="s">
        <v>393</v>
      </c>
      <c r="R42" s="199">
        <f>R37</f>
        <v>175351.48126332331</v>
      </c>
    </row>
    <row r="43" spans="1:19" x14ac:dyDescent="0.3">
      <c r="B43" s="44"/>
      <c r="I43"/>
      <c r="J43"/>
      <c r="K43"/>
      <c r="L43"/>
      <c r="M43"/>
      <c r="N43" t="s">
        <v>394</v>
      </c>
      <c r="O43" s="199">
        <f>+P37-N37</f>
        <v>17769.850000000035</v>
      </c>
      <c r="P43" s="201"/>
      <c r="Q43" t="s">
        <v>394</v>
      </c>
      <c r="R43" s="199">
        <f>+R37-N37</f>
        <v>23448.331263323314</v>
      </c>
    </row>
    <row r="44" spans="1:19" ht="16.2" x14ac:dyDescent="0.3">
      <c r="B44" s="43" t="s">
        <v>4</v>
      </c>
      <c r="I44" s="204"/>
      <c r="J44" s="205"/>
      <c r="K44" s="204"/>
      <c r="L44" s="204"/>
      <c r="M44" s="204"/>
      <c r="N44" s="204"/>
      <c r="O44" s="204"/>
      <c r="P44" s="204"/>
      <c r="Q44" s="204"/>
      <c r="R44" s="204"/>
    </row>
    <row r="45" spans="1:19" x14ac:dyDescent="0.3">
      <c r="I45" s="204"/>
      <c r="J45" s="206"/>
      <c r="K45" s="204"/>
      <c r="L45" s="204"/>
      <c r="M45" s="204"/>
      <c r="N45" s="204"/>
      <c r="O45" s="204"/>
      <c r="P45" s="204"/>
      <c r="Q45" s="204"/>
      <c r="R45" s="204"/>
    </row>
    <row r="46" spans="1:19" x14ac:dyDescent="0.3">
      <c r="J46" s="54"/>
    </row>
    <row r="47" spans="1:19" x14ac:dyDescent="0.3">
      <c r="J47" s="54"/>
    </row>
    <row r="48" spans="1:19" x14ac:dyDescent="0.3">
      <c r="J48" s="54"/>
    </row>
    <row r="52" spans="10:12" x14ac:dyDescent="0.3">
      <c r="J52" s="53"/>
    </row>
    <row r="55" spans="10:12" x14ac:dyDescent="0.3">
      <c r="J55" s="55"/>
    </row>
    <row r="56" spans="10:12" x14ac:dyDescent="0.3">
      <c r="J56" s="55"/>
    </row>
    <row r="57" spans="10:12" x14ac:dyDescent="0.3">
      <c r="J57" s="53"/>
      <c r="L57" s="52"/>
    </row>
    <row r="58" spans="10:12" x14ac:dyDescent="0.3">
      <c r="J58" s="53"/>
    </row>
    <row r="59" spans="10:12" x14ac:dyDescent="0.3">
      <c r="J59" s="53"/>
    </row>
    <row r="60" spans="10:12" x14ac:dyDescent="0.3">
      <c r="J60" s="55"/>
    </row>
    <row r="61" spans="10:12" x14ac:dyDescent="0.3">
      <c r="J61" s="53"/>
    </row>
    <row r="62" spans="10:12" x14ac:dyDescent="0.3">
      <c r="J62" s="53"/>
    </row>
    <row r="63" spans="10:12" x14ac:dyDescent="0.3">
      <c r="J63" s="53"/>
    </row>
    <row r="64" spans="10:12" x14ac:dyDescent="0.3">
      <c r="J64" s="55"/>
    </row>
    <row r="65" spans="10:12" x14ac:dyDescent="0.3">
      <c r="J65" s="53"/>
    </row>
    <row r="66" spans="10:12" x14ac:dyDescent="0.3">
      <c r="J66" s="53"/>
    </row>
    <row r="67" spans="10:12" x14ac:dyDescent="0.3">
      <c r="J67" s="55"/>
    </row>
    <row r="68" spans="10:12" x14ac:dyDescent="0.3">
      <c r="J68" s="55"/>
    </row>
    <row r="69" spans="10:12" x14ac:dyDescent="0.3">
      <c r="J69" s="55"/>
    </row>
    <row r="77" spans="10:12" x14ac:dyDescent="0.3">
      <c r="L77" s="53"/>
    </row>
    <row r="79" spans="10:12" x14ac:dyDescent="0.3">
      <c r="L79" s="53"/>
    </row>
    <row r="80" spans="10:12" x14ac:dyDescent="0.3">
      <c r="L80" s="53"/>
    </row>
    <row r="83" spans="11:14" x14ac:dyDescent="0.3">
      <c r="L83" s="51"/>
    </row>
    <row r="84" spans="11:14" x14ac:dyDescent="0.3">
      <c r="L84" s="53"/>
    </row>
    <row r="86" spans="11:14" x14ac:dyDescent="0.3">
      <c r="L86" s="52"/>
    </row>
    <row r="87" spans="11:14" x14ac:dyDescent="0.3">
      <c r="L87" s="57"/>
    </row>
    <row r="88" spans="11:14" x14ac:dyDescent="0.3">
      <c r="K88" s="53"/>
    </row>
    <row r="89" spans="11:14" x14ac:dyDescent="0.3">
      <c r="K89" s="53"/>
    </row>
    <row r="91" spans="11:14" x14ac:dyDescent="0.3">
      <c r="K91" s="58"/>
      <c r="L91" s="59"/>
      <c r="N91" s="59"/>
    </row>
    <row r="92" spans="11:14" x14ac:dyDescent="0.3">
      <c r="K92" s="52"/>
      <c r="L92" s="52"/>
      <c r="M92" s="51"/>
      <c r="N92" s="52"/>
    </row>
    <row r="93" spans="11:14" x14ac:dyDescent="0.3">
      <c r="K93" s="52"/>
      <c r="L93" s="52"/>
      <c r="M93" s="51"/>
      <c r="N93" s="52"/>
    </row>
    <row r="94" spans="11:14" x14ac:dyDescent="0.3">
      <c r="K94" s="52"/>
      <c r="L94" s="52"/>
      <c r="M94" s="51"/>
      <c r="N94" s="52"/>
    </row>
    <row r="95" spans="11:14" x14ac:dyDescent="0.3">
      <c r="K95" s="60"/>
      <c r="L95" s="60"/>
      <c r="M95" s="60"/>
      <c r="N95" s="60"/>
    </row>
    <row r="100" spans="10:14" x14ac:dyDescent="0.3">
      <c r="J100" s="61"/>
    </row>
    <row r="102" spans="10:14" x14ac:dyDescent="0.3">
      <c r="J102" s="54"/>
    </row>
    <row r="103" spans="10:14" x14ac:dyDescent="0.3">
      <c r="J103" s="54"/>
    </row>
    <row r="104" spans="10:14" x14ac:dyDescent="0.3">
      <c r="J104" s="54"/>
    </row>
    <row r="105" spans="10:14" x14ac:dyDescent="0.3">
      <c r="J105" s="54"/>
    </row>
    <row r="106" spans="10:14" x14ac:dyDescent="0.3">
      <c r="K106" s="62"/>
    </row>
    <row r="109" spans="10:14" x14ac:dyDescent="0.3">
      <c r="J109" s="51"/>
      <c r="L109" s="63"/>
      <c r="M109" s="63"/>
      <c r="N109" s="64"/>
    </row>
    <row r="110" spans="10:14" x14ac:dyDescent="0.3">
      <c r="L110" s="54"/>
      <c r="M110" s="65"/>
      <c r="N110" s="54"/>
    </row>
    <row r="111" spans="10:14" x14ac:dyDescent="0.3">
      <c r="L111" s="54"/>
      <c r="M111" s="65"/>
      <c r="N111" s="54"/>
    </row>
    <row r="112" spans="10:14" x14ac:dyDescent="0.3">
      <c r="L112" s="66"/>
      <c r="M112" s="67"/>
      <c r="N112" s="54"/>
    </row>
    <row r="113" spans="9:14" x14ac:dyDescent="0.3">
      <c r="L113" s="54"/>
      <c r="M113" s="54"/>
      <c r="N113" s="54"/>
    </row>
    <row r="114" spans="9:14" x14ac:dyDescent="0.3">
      <c r="I114" s="68"/>
    </row>
  </sheetData>
  <sheetProtection algorithmName="SHA-512" hashValue="w1awQWRI/3cz1Ezo+KtsTTGEF7euaZy8OX6HxkjaZ8hH+siJX9244etQLCc7O1v6/b07IQxxV9w1HoNOekol6w==" saltValue="5e5n/HgP/+Th9iKZcsrbmA==" spinCount="100000" sheet="1" objects="1" scenarios="1"/>
  <mergeCells count="9">
    <mergeCell ref="A5:G5"/>
    <mergeCell ref="B36:G37"/>
    <mergeCell ref="B38:F38"/>
    <mergeCell ref="B40:F40"/>
    <mergeCell ref="B7:F7"/>
    <mergeCell ref="B8:F8"/>
    <mergeCell ref="B9:F9"/>
    <mergeCell ref="B10:F10"/>
    <mergeCell ref="B11:F1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2CBFE-FF86-49A2-8595-377F8F43EAFF}">
  <sheetPr codeName="Sheet2">
    <tabColor rgb="FF9BC2E6"/>
  </sheetPr>
  <dimension ref="A1:C70"/>
  <sheetViews>
    <sheetView zoomScale="70" zoomScaleNormal="70" zoomScaleSheetLayoutView="85" workbookViewId="0">
      <selection sqref="A1:XFD1048576"/>
    </sheetView>
  </sheetViews>
  <sheetFormatPr defaultColWidth="8.6640625" defaultRowHeight="15" x14ac:dyDescent="0.25"/>
  <cols>
    <col min="1" max="1" width="111" style="3" customWidth="1"/>
    <col min="2" max="2" width="7.44140625" style="2" customWidth="1"/>
    <col min="3" max="16384" width="8.6640625" style="2"/>
  </cols>
  <sheetData>
    <row r="1" spans="1:1" ht="18" x14ac:dyDescent="0.25">
      <c r="A1" s="1" t="s">
        <v>6</v>
      </c>
    </row>
    <row r="2" spans="1:1" ht="24.9" customHeight="1" x14ac:dyDescent="0.25"/>
    <row r="3" spans="1:1" ht="15.6" x14ac:dyDescent="0.25">
      <c r="A3" s="4" t="s">
        <v>7</v>
      </c>
    </row>
    <row r="5" spans="1:1" ht="90" x14ac:dyDescent="0.25">
      <c r="A5" s="3" t="s">
        <v>8</v>
      </c>
    </row>
    <row r="7" spans="1:1" ht="45" x14ac:dyDescent="0.25">
      <c r="A7" s="3" t="s">
        <v>9</v>
      </c>
    </row>
    <row r="9" spans="1:1" ht="45" x14ac:dyDescent="0.25">
      <c r="A9" s="3" t="s">
        <v>10</v>
      </c>
    </row>
    <row r="11" spans="1:1" ht="75" x14ac:dyDescent="0.25">
      <c r="A11" s="3" t="s">
        <v>11</v>
      </c>
    </row>
    <row r="12" spans="1:1" ht="24.9" customHeight="1" x14ac:dyDescent="0.25"/>
    <row r="13" spans="1:1" ht="15.6" x14ac:dyDescent="0.25">
      <c r="A13" s="4" t="s">
        <v>12</v>
      </c>
    </row>
    <row r="15" spans="1:1" ht="45" x14ac:dyDescent="0.25">
      <c r="A15" s="3" t="s">
        <v>13</v>
      </c>
    </row>
    <row r="17" spans="1:1" x14ac:dyDescent="0.25">
      <c r="A17" s="3" t="s">
        <v>14</v>
      </c>
    </row>
    <row r="19" spans="1:1" x14ac:dyDescent="0.25">
      <c r="A19" s="3" t="s">
        <v>15</v>
      </c>
    </row>
    <row r="21" spans="1:1" ht="15.6" x14ac:dyDescent="0.25">
      <c r="A21" s="5" t="s">
        <v>16</v>
      </c>
    </row>
    <row r="22" spans="1:1" ht="6" customHeight="1" x14ac:dyDescent="0.25">
      <c r="A22" s="6"/>
    </row>
    <row r="23" spans="1:1" ht="15.75" customHeight="1" x14ac:dyDescent="0.25">
      <c r="A23" s="7" t="s">
        <v>17</v>
      </c>
    </row>
    <row r="24" spans="1:1" ht="15.75" customHeight="1" x14ac:dyDescent="0.25">
      <c r="A24" s="8" t="s">
        <v>18</v>
      </c>
    </row>
    <row r="25" spans="1:1" ht="15.75" customHeight="1" x14ac:dyDescent="0.25">
      <c r="A25" s="7" t="s">
        <v>19</v>
      </c>
    </row>
    <row r="26" spans="1:1" ht="15.75" customHeight="1" x14ac:dyDescent="0.25">
      <c r="A26" s="7" t="s">
        <v>20</v>
      </c>
    </row>
    <row r="27" spans="1:1" ht="15.75" customHeight="1" x14ac:dyDescent="0.25">
      <c r="A27" s="8" t="s">
        <v>21</v>
      </c>
    </row>
    <row r="28" spans="1:1" ht="15.75" customHeight="1" x14ac:dyDescent="0.25">
      <c r="A28" s="7" t="s">
        <v>22</v>
      </c>
    </row>
    <row r="29" spans="1:1" ht="15.75" customHeight="1" x14ac:dyDescent="0.25">
      <c r="A29" s="7" t="s">
        <v>23</v>
      </c>
    </row>
    <row r="30" spans="1:1" ht="15.75" customHeight="1" x14ac:dyDescent="0.25">
      <c r="A30" s="7" t="s">
        <v>24</v>
      </c>
    </row>
    <row r="31" spans="1:1" ht="15.75" customHeight="1" x14ac:dyDescent="0.25">
      <c r="A31" s="7" t="s">
        <v>25</v>
      </c>
    </row>
    <row r="32" spans="1:1" ht="15.75" customHeight="1" x14ac:dyDescent="0.25">
      <c r="A32" s="7" t="s">
        <v>26</v>
      </c>
    </row>
    <row r="33" spans="1:1" x14ac:dyDescent="0.25">
      <c r="A33" s="6"/>
    </row>
    <row r="34" spans="1:1" ht="15.6" x14ac:dyDescent="0.25">
      <c r="A34" s="5" t="s">
        <v>27</v>
      </c>
    </row>
    <row r="35" spans="1:1" ht="6" customHeight="1" x14ac:dyDescent="0.25">
      <c r="A35" s="6"/>
    </row>
    <row r="36" spans="1:1" ht="15.6" x14ac:dyDescent="0.25">
      <c r="A36" s="7" t="s">
        <v>28</v>
      </c>
    </row>
    <row r="37" spans="1:1" ht="15.6" x14ac:dyDescent="0.25">
      <c r="A37" s="7" t="s">
        <v>19</v>
      </c>
    </row>
    <row r="38" spans="1:1" ht="15.6" x14ac:dyDescent="0.25">
      <c r="A38" s="7" t="s">
        <v>29</v>
      </c>
    </row>
    <row r="39" spans="1:1" ht="15.6" x14ac:dyDescent="0.25">
      <c r="A39" s="7" t="s">
        <v>30</v>
      </c>
    </row>
    <row r="40" spans="1:1" ht="15.6" x14ac:dyDescent="0.25">
      <c r="A40" s="7" t="s">
        <v>31</v>
      </c>
    </row>
    <row r="41" spans="1:1" ht="15.6" x14ac:dyDescent="0.25">
      <c r="A41" s="7" t="s">
        <v>32</v>
      </c>
    </row>
    <row r="42" spans="1:1" ht="15.6" x14ac:dyDescent="0.25">
      <c r="A42" s="7" t="s">
        <v>33</v>
      </c>
    </row>
    <row r="43" spans="1:1" x14ac:dyDescent="0.25">
      <c r="A43" s="9"/>
    </row>
    <row r="44" spans="1:1" ht="45" x14ac:dyDescent="0.25">
      <c r="A44" s="3" t="s">
        <v>34</v>
      </c>
    </row>
    <row r="46" spans="1:1" ht="15.6" x14ac:dyDescent="0.25">
      <c r="A46" s="10" t="s">
        <v>35</v>
      </c>
    </row>
    <row r="48" spans="1:1" ht="60" x14ac:dyDescent="0.25">
      <c r="A48" s="3" t="s">
        <v>36</v>
      </c>
    </row>
    <row r="50" spans="1:3" ht="15.6" x14ac:dyDescent="0.25">
      <c r="A50" s="10" t="s">
        <v>37</v>
      </c>
    </row>
    <row r="52" spans="1:3" ht="60" x14ac:dyDescent="0.25">
      <c r="A52" s="3" t="s">
        <v>38</v>
      </c>
    </row>
    <row r="54" spans="1:3" x14ac:dyDescent="0.25">
      <c r="A54" s="11" t="s">
        <v>39</v>
      </c>
      <c r="B54" s="12"/>
      <c r="C54" s="12"/>
    </row>
    <row r="56" spans="1:3" ht="15.75" customHeight="1" x14ac:dyDescent="0.25">
      <c r="A56" s="3" t="s">
        <v>40</v>
      </c>
    </row>
    <row r="58" spans="1:3" x14ac:dyDescent="0.25">
      <c r="A58" s="3" t="s">
        <v>41</v>
      </c>
    </row>
    <row r="60" spans="1:3" ht="30" x14ac:dyDescent="0.25">
      <c r="A60" s="3" t="s">
        <v>42</v>
      </c>
    </row>
    <row r="62" spans="1:3" ht="15.6" x14ac:dyDescent="0.25">
      <c r="A62" s="4" t="s">
        <v>43</v>
      </c>
    </row>
    <row r="64" spans="1:3" x14ac:dyDescent="0.25">
      <c r="A64" s="3" t="s">
        <v>44</v>
      </c>
    </row>
    <row r="66" spans="1:1" x14ac:dyDescent="0.25">
      <c r="A66" s="13" t="s">
        <v>45</v>
      </c>
    </row>
    <row r="67" spans="1:1" x14ac:dyDescent="0.25">
      <c r="A67" s="13"/>
    </row>
    <row r="68" spans="1:1" x14ac:dyDescent="0.25">
      <c r="A68" s="13" t="s">
        <v>46</v>
      </c>
    </row>
    <row r="70" spans="1:1" x14ac:dyDescent="0.25">
      <c r="A70" s="3" t="s">
        <v>47</v>
      </c>
    </row>
  </sheetData>
  <sheetProtection algorithmName="SHA-512" hashValue="nySFAuFAq1jOEGf+S4f38yLL1XIVzMQKz5Ihavkuck+mgDKz54C6665mL0qECkbMF6LqmmNrco1vr/1ZQE03sg==" saltValue="OqOi2YF1zSxcT5zn5Tb3dw==" spinCount="100000" sheet="1" objects="1" scenarios="1"/>
  <pageMargins left="0.7" right="0.7" top="0.75" bottom="0.75" header="0.3" footer="0.3"/>
  <pageSetup scale="85" fitToHeight="2" orientation="portrait" cellComments="atEnd" copies="2" r:id="rId1"/>
  <headerFooter alignWithMargins="0"/>
  <rowBreaks count="1" manualBreakCount="1">
    <brk id="33" man="1"/>
  </rowBreaks>
  <colBreaks count="1" manualBreakCount="1">
    <brk id="1"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45594-696C-4061-836C-6CDD7E87B017}">
  <sheetPr>
    <tabColor rgb="FF9BC2E6"/>
  </sheetPr>
  <dimension ref="A1:N240"/>
  <sheetViews>
    <sheetView zoomScale="85" zoomScaleNormal="85" workbookViewId="0">
      <pane ySplit="7" topLeftCell="A8" activePane="bottomLeft" state="frozen"/>
      <selection pane="bottomLeft" sqref="A1:XFD1048576"/>
    </sheetView>
  </sheetViews>
  <sheetFormatPr defaultColWidth="9.109375" defaultRowHeight="15" x14ac:dyDescent="0.25"/>
  <cols>
    <col min="1" max="6" width="12.6640625" style="36" customWidth="1"/>
    <col min="7" max="7" width="14.6640625" style="36" customWidth="1"/>
    <col min="8" max="8" width="15" style="36" customWidth="1"/>
    <col min="9" max="16" width="12.6640625" style="36" customWidth="1"/>
    <col min="17" max="16384" width="9.109375" style="36"/>
  </cols>
  <sheetData>
    <row r="1" spans="1:14" ht="15.6" x14ac:dyDescent="0.3">
      <c r="A1" s="34" t="s">
        <v>178</v>
      </c>
    </row>
    <row r="3" spans="1:14" ht="15.6" x14ac:dyDescent="0.3">
      <c r="A3" s="37" t="s">
        <v>179</v>
      </c>
    </row>
    <row r="4" spans="1:14" x14ac:dyDescent="0.25">
      <c r="A4" s="36" t="s">
        <v>48</v>
      </c>
    </row>
    <row r="5" spans="1:14" x14ac:dyDescent="0.25">
      <c r="A5" s="36" t="s">
        <v>248</v>
      </c>
    </row>
    <row r="6" spans="1:14" x14ac:dyDescent="0.25">
      <c r="A6" s="36" t="s">
        <v>104</v>
      </c>
    </row>
    <row r="8" spans="1:14" ht="15.6" x14ac:dyDescent="0.3">
      <c r="A8" s="14" t="s">
        <v>48</v>
      </c>
    </row>
    <row r="9" spans="1:14" x14ac:dyDescent="0.25">
      <c r="A9" s="3"/>
      <c r="B9" s="3"/>
      <c r="C9" s="3"/>
      <c r="D9" s="2"/>
      <c r="E9" s="2"/>
      <c r="F9" s="2"/>
      <c r="G9" s="2"/>
      <c r="H9" s="2"/>
      <c r="I9" s="2"/>
      <c r="J9" s="2"/>
      <c r="K9" s="2"/>
      <c r="L9" s="2"/>
      <c r="M9" s="2"/>
      <c r="N9" s="2"/>
    </row>
    <row r="10" spans="1:14" x14ac:dyDescent="0.25">
      <c r="A10" s="2" t="s">
        <v>49</v>
      </c>
      <c r="B10" s="2"/>
      <c r="C10" s="2"/>
      <c r="D10" s="2" t="s">
        <v>50</v>
      </c>
      <c r="E10" s="2"/>
      <c r="F10" s="2"/>
      <c r="G10" s="2"/>
      <c r="H10" s="2"/>
      <c r="I10" s="2"/>
      <c r="J10" s="2"/>
      <c r="K10" s="2"/>
      <c r="L10" s="2"/>
      <c r="M10" s="2"/>
      <c r="N10" s="2"/>
    </row>
    <row r="11" spans="1:14" x14ac:dyDescent="0.25">
      <c r="A11" s="2"/>
      <c r="B11" s="2"/>
      <c r="C11" s="2"/>
      <c r="D11" s="2"/>
      <c r="E11" s="2"/>
      <c r="F11" s="2"/>
      <c r="G11" s="2"/>
      <c r="H11" s="2"/>
      <c r="I11" s="2"/>
      <c r="J11" s="2"/>
      <c r="K11" s="2"/>
      <c r="L11" s="2"/>
      <c r="M11" s="2"/>
      <c r="N11" s="2"/>
    </row>
    <row r="12" spans="1:14" x14ac:dyDescent="0.25">
      <c r="A12" s="2" t="s">
        <v>51</v>
      </c>
      <c r="B12" s="2"/>
      <c r="C12" s="2"/>
      <c r="D12" s="2" t="s">
        <v>52</v>
      </c>
      <c r="E12" s="2"/>
      <c r="F12" s="2"/>
      <c r="G12" s="2"/>
      <c r="H12" s="2"/>
      <c r="I12" s="2"/>
      <c r="J12" s="2"/>
      <c r="K12" s="2"/>
      <c r="L12" s="2"/>
      <c r="M12" s="2"/>
      <c r="N12" s="2"/>
    </row>
    <row r="13" spans="1:14" x14ac:dyDescent="0.25">
      <c r="A13" s="2"/>
      <c r="B13" s="2"/>
      <c r="C13" s="2"/>
      <c r="D13" s="2"/>
      <c r="E13" s="2"/>
      <c r="F13" s="2"/>
      <c r="G13" s="2"/>
      <c r="H13" s="2"/>
      <c r="I13" s="2"/>
      <c r="J13" s="2"/>
      <c r="K13" s="2"/>
      <c r="L13" s="2"/>
      <c r="M13" s="2"/>
      <c r="N13" s="2"/>
    </row>
    <row r="14" spans="1:14" x14ac:dyDescent="0.25">
      <c r="A14" s="2" t="s">
        <v>53</v>
      </c>
      <c r="B14" s="2"/>
      <c r="C14" s="2"/>
      <c r="D14" s="16">
        <v>65</v>
      </c>
      <c r="E14" s="2"/>
      <c r="F14" s="2"/>
      <c r="G14" s="2"/>
      <c r="H14" s="2"/>
      <c r="I14" s="2"/>
      <c r="J14" s="2"/>
      <c r="K14" s="2"/>
      <c r="L14" s="2"/>
      <c r="M14" s="2"/>
      <c r="N14" s="2"/>
    </row>
    <row r="15" spans="1:14" x14ac:dyDescent="0.25">
      <c r="A15" s="2"/>
      <c r="B15" s="2"/>
      <c r="C15" s="2"/>
      <c r="D15" s="2"/>
      <c r="E15" s="2"/>
      <c r="F15" s="2"/>
      <c r="G15" s="2"/>
      <c r="H15" s="2"/>
      <c r="I15" s="2"/>
      <c r="J15" s="2"/>
      <c r="K15" s="2"/>
      <c r="L15" s="2"/>
      <c r="M15" s="2"/>
      <c r="N15" s="2"/>
    </row>
    <row r="16" spans="1:14" x14ac:dyDescent="0.25">
      <c r="A16" s="2" t="s">
        <v>54</v>
      </c>
      <c r="B16" s="2"/>
      <c r="C16" s="2"/>
      <c r="D16" s="2" t="s">
        <v>55</v>
      </c>
      <c r="E16" s="2"/>
      <c r="F16" s="2"/>
      <c r="G16" s="2"/>
      <c r="H16" s="2"/>
      <c r="I16" s="2"/>
      <c r="J16" s="2"/>
      <c r="K16" s="2"/>
      <c r="L16" s="2"/>
      <c r="M16" s="2"/>
      <c r="N16" s="2"/>
    </row>
    <row r="17" spans="1:14" x14ac:dyDescent="0.25">
      <c r="A17" s="2"/>
      <c r="B17" s="2"/>
      <c r="C17" s="2"/>
      <c r="D17" s="2"/>
      <c r="E17" s="2"/>
      <c r="F17" s="2"/>
      <c r="G17" s="2"/>
      <c r="H17" s="2"/>
      <c r="I17" s="2"/>
      <c r="J17" s="2"/>
      <c r="K17" s="2"/>
      <c r="L17" s="2"/>
      <c r="M17" s="2"/>
      <c r="N17" s="2"/>
    </row>
    <row r="18" spans="1:14" x14ac:dyDescent="0.25">
      <c r="A18" s="2" t="s">
        <v>56</v>
      </c>
      <c r="B18" s="2"/>
      <c r="C18" s="2"/>
      <c r="D18" s="2" t="s">
        <v>57</v>
      </c>
      <c r="E18" s="2"/>
      <c r="F18" s="2"/>
      <c r="G18" s="2"/>
      <c r="H18" s="2"/>
      <c r="I18" s="2"/>
      <c r="J18" s="2"/>
      <c r="K18" s="2"/>
      <c r="L18" s="2"/>
      <c r="M18" s="2"/>
      <c r="N18" s="2"/>
    </row>
    <row r="19" spans="1:14" x14ac:dyDescent="0.25">
      <c r="A19" s="2"/>
      <c r="B19" s="2"/>
      <c r="C19" s="2"/>
      <c r="D19" s="2"/>
      <c r="E19" s="2"/>
      <c r="F19" s="2"/>
      <c r="G19" s="2"/>
      <c r="H19" s="2"/>
      <c r="I19" s="2"/>
      <c r="J19" s="2"/>
      <c r="K19" s="2"/>
      <c r="L19" s="2"/>
      <c r="M19" s="2"/>
      <c r="N19" s="2"/>
    </row>
    <row r="20" spans="1:14" x14ac:dyDescent="0.25">
      <c r="A20" s="2" t="s">
        <v>58</v>
      </c>
      <c r="B20" s="2"/>
      <c r="C20" s="2"/>
      <c r="D20" s="2" t="s">
        <v>59</v>
      </c>
      <c r="E20" s="2"/>
      <c r="F20" s="2"/>
      <c r="G20" s="2"/>
      <c r="H20" s="2"/>
      <c r="I20" s="2"/>
      <c r="J20" s="2"/>
      <c r="K20" s="2"/>
      <c r="L20" s="2"/>
      <c r="M20" s="2"/>
      <c r="N20" s="2"/>
    </row>
    <row r="21" spans="1:14" x14ac:dyDescent="0.25">
      <c r="A21" s="3"/>
      <c r="B21" s="3"/>
      <c r="C21" s="2"/>
      <c r="D21" s="2"/>
      <c r="E21" s="2"/>
      <c r="F21" s="2"/>
      <c r="G21" s="2"/>
      <c r="H21" s="2"/>
      <c r="I21" s="2"/>
      <c r="J21" s="2"/>
      <c r="K21" s="2"/>
      <c r="L21" s="2"/>
      <c r="M21" s="2"/>
      <c r="N21" s="2"/>
    </row>
    <row r="22" spans="1:14" x14ac:dyDescent="0.25">
      <c r="A22" s="2" t="s">
        <v>60</v>
      </c>
      <c r="B22" s="2"/>
      <c r="C22" s="2"/>
      <c r="D22" s="2" t="s">
        <v>61</v>
      </c>
      <c r="E22" s="2"/>
      <c r="F22" s="2"/>
      <c r="G22" s="2"/>
      <c r="H22" s="2"/>
      <c r="I22" s="2"/>
      <c r="J22" s="2"/>
      <c r="K22" s="2"/>
      <c r="L22" s="2"/>
      <c r="M22" s="2"/>
      <c r="N22" s="2"/>
    </row>
    <row r="23" spans="1:14" x14ac:dyDescent="0.25">
      <c r="A23" s="2"/>
      <c r="B23" s="2"/>
      <c r="C23" s="2"/>
      <c r="D23" s="2"/>
      <c r="E23" s="2"/>
      <c r="F23" s="2"/>
      <c r="G23" s="2"/>
      <c r="H23" s="2"/>
      <c r="I23" s="2"/>
      <c r="J23" s="2"/>
      <c r="K23" s="2"/>
      <c r="L23" s="2"/>
      <c r="M23" s="2"/>
      <c r="N23" s="2"/>
    </row>
    <row r="24" spans="1:14" x14ac:dyDescent="0.25">
      <c r="A24" s="2" t="s">
        <v>62</v>
      </c>
      <c r="B24" s="2"/>
      <c r="C24" s="2"/>
      <c r="D24" s="2" t="s">
        <v>63</v>
      </c>
      <c r="E24" s="2"/>
      <c r="F24" s="2"/>
      <c r="G24" s="2"/>
      <c r="H24" s="2"/>
      <c r="I24" s="2"/>
      <c r="J24" s="2"/>
      <c r="K24" s="2"/>
      <c r="L24" s="2"/>
      <c r="M24" s="2"/>
      <c r="N24" s="2"/>
    </row>
    <row r="25" spans="1:14" x14ac:dyDescent="0.25">
      <c r="A25" s="2"/>
      <c r="B25" s="2"/>
      <c r="C25" s="2"/>
      <c r="D25" s="2"/>
      <c r="E25" s="2"/>
      <c r="F25" s="2"/>
      <c r="G25" s="2"/>
      <c r="H25" s="2"/>
      <c r="I25" s="2"/>
      <c r="J25" s="2"/>
      <c r="K25" s="2"/>
      <c r="L25" s="2"/>
      <c r="M25" s="2"/>
      <c r="N25" s="2"/>
    </row>
    <row r="26" spans="1:14" x14ac:dyDescent="0.25">
      <c r="A26" s="2" t="s">
        <v>64</v>
      </c>
      <c r="B26" s="2"/>
      <c r="C26" s="2"/>
      <c r="D26" s="2" t="s">
        <v>65</v>
      </c>
      <c r="E26" s="2"/>
      <c r="F26" s="2"/>
      <c r="G26" s="2"/>
      <c r="H26" s="2"/>
      <c r="I26" s="2"/>
      <c r="J26" s="2"/>
      <c r="K26" s="2"/>
      <c r="L26" s="2"/>
      <c r="M26" s="2"/>
      <c r="N26" s="2"/>
    </row>
    <row r="27" spans="1:14" x14ac:dyDescent="0.25">
      <c r="A27" s="2"/>
      <c r="B27" s="2"/>
      <c r="C27" s="2"/>
      <c r="D27" s="2"/>
      <c r="E27" s="2"/>
      <c r="F27" s="2"/>
      <c r="G27" s="2"/>
      <c r="H27" s="2"/>
      <c r="I27" s="2"/>
      <c r="J27" s="2"/>
      <c r="K27" s="2"/>
      <c r="L27" s="2"/>
      <c r="M27" s="2"/>
      <c r="N27" s="2"/>
    </row>
    <row r="28" spans="1:14" x14ac:dyDescent="0.25">
      <c r="A28" s="2"/>
      <c r="B28" s="2"/>
      <c r="C28" s="2"/>
      <c r="D28" s="2" t="s">
        <v>66</v>
      </c>
      <c r="E28" s="2"/>
      <c r="F28" s="2"/>
      <c r="G28" s="2"/>
      <c r="H28" s="2"/>
      <c r="I28" s="2"/>
      <c r="J28" s="2"/>
      <c r="K28" s="2"/>
      <c r="L28" s="2"/>
      <c r="M28" s="2"/>
      <c r="N28" s="2"/>
    </row>
    <row r="29" spans="1:14" x14ac:dyDescent="0.25">
      <c r="A29" s="2"/>
      <c r="B29" s="2"/>
      <c r="C29" s="2"/>
      <c r="D29" s="2"/>
      <c r="E29" s="2"/>
      <c r="F29" s="2"/>
      <c r="G29" s="2"/>
      <c r="H29" s="2"/>
      <c r="I29" s="2"/>
      <c r="J29" s="2"/>
      <c r="K29" s="2"/>
      <c r="L29" s="2"/>
      <c r="M29" s="2"/>
      <c r="N29" s="2"/>
    </row>
    <row r="30" spans="1:14" x14ac:dyDescent="0.25">
      <c r="A30" s="2" t="s">
        <v>67</v>
      </c>
      <c r="B30" s="2"/>
      <c r="C30" s="2"/>
      <c r="D30" s="2" t="s">
        <v>68</v>
      </c>
      <c r="E30" s="2"/>
      <c r="F30" s="2"/>
      <c r="G30" s="2"/>
      <c r="H30" s="2"/>
      <c r="I30" s="2"/>
      <c r="J30" s="2"/>
      <c r="K30" s="2"/>
      <c r="L30" s="2"/>
      <c r="M30" s="2"/>
      <c r="N30" s="2"/>
    </row>
    <row r="31" spans="1:14" x14ac:dyDescent="0.25">
      <c r="A31" s="2"/>
      <c r="B31" s="2"/>
      <c r="C31" s="2"/>
      <c r="D31" s="2"/>
      <c r="E31" s="2"/>
      <c r="F31" s="2"/>
      <c r="G31" s="2"/>
      <c r="H31" s="2"/>
      <c r="I31" s="2"/>
      <c r="J31" s="2"/>
      <c r="K31" s="2"/>
      <c r="L31" s="2"/>
      <c r="M31" s="2"/>
      <c r="N31" s="2"/>
    </row>
    <row r="32" spans="1:14" x14ac:dyDescent="0.25">
      <c r="A32" s="2"/>
      <c r="B32" s="2"/>
      <c r="C32" s="2"/>
      <c r="D32" s="2" t="s">
        <v>69</v>
      </c>
      <c r="E32" s="2"/>
      <c r="F32" s="2"/>
      <c r="G32" s="2"/>
      <c r="H32" s="2"/>
      <c r="I32" s="2"/>
      <c r="J32" s="2"/>
      <c r="K32" s="2"/>
      <c r="L32" s="2"/>
      <c r="M32" s="2"/>
      <c r="N32" s="2"/>
    </row>
    <row r="33" spans="1:14" x14ac:dyDescent="0.25">
      <c r="A33" s="2"/>
      <c r="B33" s="2"/>
      <c r="C33" s="2"/>
      <c r="D33" s="2"/>
      <c r="E33" s="2"/>
      <c r="F33" s="2"/>
      <c r="G33" s="2"/>
      <c r="H33" s="2"/>
      <c r="I33" s="2"/>
      <c r="J33" s="2"/>
      <c r="K33" s="2"/>
      <c r="L33" s="2"/>
      <c r="M33" s="2"/>
      <c r="N33" s="2"/>
    </row>
    <row r="34" spans="1:14" x14ac:dyDescent="0.25">
      <c r="A34" s="2" t="s">
        <v>70</v>
      </c>
      <c r="B34" s="2"/>
      <c r="C34" s="2"/>
      <c r="D34" s="2" t="s">
        <v>2</v>
      </c>
      <c r="E34" s="2"/>
      <c r="F34" s="2"/>
      <c r="G34" s="2"/>
      <c r="H34" s="2"/>
      <c r="I34" s="2"/>
      <c r="J34" s="2"/>
      <c r="K34" s="2"/>
      <c r="L34" s="2"/>
      <c r="M34" s="2"/>
      <c r="N34" s="2"/>
    </row>
    <row r="35" spans="1:14" x14ac:dyDescent="0.25">
      <c r="A35" s="2"/>
      <c r="B35" s="2"/>
      <c r="C35" s="2"/>
      <c r="D35" s="2"/>
      <c r="E35" s="2"/>
      <c r="F35" s="2"/>
      <c r="G35" s="2"/>
      <c r="H35" s="2"/>
      <c r="I35" s="2"/>
      <c r="J35" s="2"/>
      <c r="K35" s="2"/>
      <c r="L35" s="2"/>
      <c r="M35" s="2"/>
      <c r="N35" s="2"/>
    </row>
    <row r="36" spans="1:14" x14ac:dyDescent="0.25">
      <c r="A36" s="2" t="s">
        <v>71</v>
      </c>
      <c r="B36" s="2"/>
      <c r="C36" s="2"/>
      <c r="D36" s="2" t="s">
        <v>2</v>
      </c>
      <c r="E36" s="2"/>
      <c r="F36" s="2"/>
      <c r="G36" s="2"/>
      <c r="H36" s="2"/>
      <c r="I36" s="2"/>
      <c r="J36" s="2"/>
      <c r="K36" s="2"/>
      <c r="L36" s="2"/>
      <c r="M36" s="2"/>
      <c r="N36" s="2"/>
    </row>
    <row r="37" spans="1:14" x14ac:dyDescent="0.25">
      <c r="A37" s="2"/>
      <c r="B37" s="2"/>
      <c r="C37" s="2"/>
      <c r="D37" s="2"/>
      <c r="E37" s="2"/>
      <c r="F37" s="2"/>
      <c r="G37" s="2"/>
      <c r="H37" s="2"/>
      <c r="I37" s="2"/>
      <c r="J37" s="2"/>
      <c r="K37" s="2"/>
      <c r="L37" s="2"/>
      <c r="M37" s="2"/>
      <c r="N37" s="2"/>
    </row>
    <row r="38" spans="1:14" x14ac:dyDescent="0.25">
      <c r="A38" s="2" t="s">
        <v>72</v>
      </c>
      <c r="B38" s="2"/>
      <c r="C38" s="2"/>
      <c r="D38" s="2" t="s">
        <v>73</v>
      </c>
      <c r="E38" s="2"/>
      <c r="F38" s="2"/>
      <c r="G38" s="2"/>
      <c r="H38" s="2"/>
      <c r="I38" s="2"/>
      <c r="J38" s="2"/>
      <c r="K38" s="2"/>
      <c r="L38" s="2"/>
      <c r="M38" s="2"/>
      <c r="N38" s="2"/>
    </row>
    <row r="39" spans="1:14" x14ac:dyDescent="0.25">
      <c r="A39" s="2"/>
      <c r="B39" s="2"/>
      <c r="C39" s="2"/>
      <c r="D39" s="2"/>
      <c r="E39" s="2"/>
      <c r="F39" s="2"/>
      <c r="G39" s="2"/>
      <c r="H39" s="2"/>
      <c r="I39" s="2"/>
      <c r="J39" s="2"/>
      <c r="K39" s="2"/>
      <c r="L39" s="2"/>
      <c r="M39" s="2"/>
      <c r="N39" s="2"/>
    </row>
    <row r="40" spans="1:14" x14ac:dyDescent="0.25">
      <c r="A40" s="2" t="s">
        <v>74</v>
      </c>
      <c r="B40" s="2"/>
      <c r="C40" s="2"/>
      <c r="D40" s="2" t="s">
        <v>75</v>
      </c>
      <c r="E40" s="2"/>
      <c r="F40" s="2"/>
      <c r="G40" s="2"/>
      <c r="H40" s="2"/>
      <c r="I40" s="2"/>
      <c r="J40" s="2"/>
      <c r="K40" s="2"/>
      <c r="L40" s="2"/>
      <c r="M40" s="2"/>
      <c r="N40" s="2"/>
    </row>
    <row r="41" spans="1:14" ht="15.6" x14ac:dyDescent="0.25">
      <c r="A41" s="2"/>
      <c r="B41" s="17"/>
      <c r="C41" s="18"/>
      <c r="D41" s="2"/>
      <c r="E41" s="2"/>
      <c r="F41" s="2"/>
      <c r="G41" s="2"/>
      <c r="H41" s="2"/>
      <c r="I41" s="2"/>
      <c r="J41" s="2"/>
      <c r="K41" s="2"/>
      <c r="L41" s="2"/>
      <c r="M41" s="2"/>
      <c r="N41" s="2"/>
    </row>
    <row r="42" spans="1:14" x14ac:dyDescent="0.25">
      <c r="A42" s="2" t="s">
        <v>76</v>
      </c>
      <c r="B42" s="18"/>
      <c r="C42" s="18"/>
      <c r="D42" s="2" t="s">
        <v>2</v>
      </c>
      <c r="E42" s="2"/>
      <c r="F42" s="2"/>
      <c r="G42" s="2"/>
      <c r="H42" s="2"/>
      <c r="I42" s="2"/>
      <c r="J42" s="2"/>
      <c r="K42" s="2"/>
      <c r="L42" s="2"/>
      <c r="M42" s="2"/>
      <c r="N42" s="2"/>
    </row>
    <row r="43" spans="1:14" x14ac:dyDescent="0.25">
      <c r="A43" s="2"/>
      <c r="B43" s="18"/>
      <c r="C43" s="18"/>
      <c r="D43" s="2"/>
      <c r="E43" s="2"/>
      <c r="F43" s="2"/>
      <c r="G43" s="2"/>
      <c r="H43" s="2"/>
      <c r="I43" s="2"/>
      <c r="J43" s="2"/>
      <c r="K43" s="2"/>
      <c r="L43" s="2"/>
      <c r="M43" s="2"/>
      <c r="N43" s="2"/>
    </row>
    <row r="44" spans="1:14" ht="15.6" x14ac:dyDescent="0.25">
      <c r="A44" s="19" t="s">
        <v>248</v>
      </c>
      <c r="B44" s="20"/>
      <c r="C44" s="20"/>
      <c r="D44" s="20"/>
      <c r="E44" s="20"/>
      <c r="F44" s="20"/>
      <c r="G44" s="2"/>
      <c r="H44" s="2"/>
      <c r="I44" s="2"/>
      <c r="J44" s="2"/>
      <c r="K44" s="2"/>
      <c r="L44" s="2"/>
      <c r="M44" s="2"/>
      <c r="N44" s="2"/>
    </row>
    <row r="45" spans="1:14" x14ac:dyDescent="0.25">
      <c r="A45" s="20"/>
      <c r="B45" s="20"/>
      <c r="C45" s="20"/>
      <c r="D45" s="20"/>
      <c r="E45" s="20"/>
      <c r="F45" s="20"/>
      <c r="G45" s="2"/>
      <c r="H45" s="2"/>
      <c r="I45" s="2"/>
      <c r="J45" s="2"/>
      <c r="K45" s="2"/>
      <c r="L45" s="2"/>
      <c r="M45" s="2"/>
      <c r="N45" s="2"/>
    </row>
    <row r="46" spans="1:14" x14ac:dyDescent="0.25">
      <c r="A46" s="20" t="s">
        <v>77</v>
      </c>
      <c r="B46" s="20"/>
      <c r="C46" s="20"/>
      <c r="D46" s="20"/>
      <c r="E46" s="20"/>
      <c r="F46" s="20"/>
      <c r="G46" s="2"/>
      <c r="H46" s="2"/>
      <c r="I46" s="2"/>
      <c r="J46" s="2"/>
      <c r="K46" s="2"/>
      <c r="L46" s="2"/>
      <c r="M46" s="2"/>
      <c r="N46" s="2"/>
    </row>
    <row r="47" spans="1:14" x14ac:dyDescent="0.25">
      <c r="A47" s="2"/>
      <c r="B47" s="20"/>
      <c r="C47" s="20"/>
      <c r="D47" s="20"/>
      <c r="E47" s="20"/>
      <c r="F47" s="21" t="s">
        <v>78</v>
      </c>
      <c r="G47" s="21"/>
      <c r="H47" s="22"/>
      <c r="I47" s="22"/>
      <c r="J47" s="22"/>
      <c r="K47" s="2"/>
      <c r="L47" s="2"/>
      <c r="M47" s="2"/>
      <c r="N47" s="2"/>
    </row>
    <row r="48" spans="1:14" x14ac:dyDescent="0.25">
      <c r="A48" s="2"/>
      <c r="B48" s="20"/>
      <c r="C48" s="20"/>
      <c r="D48" s="20"/>
      <c r="E48" s="20"/>
      <c r="F48" s="23" t="s">
        <v>79</v>
      </c>
      <c r="G48" s="23" t="s">
        <v>80</v>
      </c>
      <c r="H48" s="24" t="s">
        <v>81</v>
      </c>
      <c r="I48" s="24" t="s">
        <v>82</v>
      </c>
      <c r="J48" s="24" t="s">
        <v>83</v>
      </c>
      <c r="K48" s="2"/>
      <c r="L48" s="24" t="s">
        <v>84</v>
      </c>
      <c r="M48" s="2"/>
      <c r="N48" s="2"/>
    </row>
    <row r="49" spans="1:14" x14ac:dyDescent="0.25">
      <c r="A49" s="2"/>
      <c r="B49" s="20"/>
      <c r="C49" s="20"/>
      <c r="D49" s="20"/>
      <c r="E49" s="20"/>
      <c r="F49" s="20"/>
      <c r="G49" s="20"/>
      <c r="H49" s="2"/>
      <c r="I49" s="2"/>
      <c r="J49" s="2"/>
      <c r="K49" s="2"/>
      <c r="L49" s="2"/>
      <c r="M49" s="2"/>
      <c r="N49" s="2"/>
    </row>
    <row r="50" spans="1:14" x14ac:dyDescent="0.25">
      <c r="A50" s="2"/>
      <c r="B50" s="20"/>
      <c r="C50" s="20" t="s">
        <v>85</v>
      </c>
      <c r="D50" s="20" t="s">
        <v>86</v>
      </c>
      <c r="E50" s="20"/>
      <c r="F50" s="20">
        <v>50</v>
      </c>
      <c r="G50" s="20">
        <v>10</v>
      </c>
      <c r="H50" s="2">
        <v>0</v>
      </c>
      <c r="I50" s="2">
        <v>0</v>
      </c>
      <c r="J50" s="2">
        <v>0</v>
      </c>
      <c r="K50" s="2"/>
      <c r="L50" s="2">
        <v>60</v>
      </c>
      <c r="M50" s="2"/>
      <c r="N50" s="2"/>
    </row>
    <row r="51" spans="1:14" x14ac:dyDescent="0.25">
      <c r="A51" s="2"/>
      <c r="B51" s="20"/>
      <c r="C51" s="20"/>
      <c r="D51" s="20" t="s">
        <v>87</v>
      </c>
      <c r="E51" s="20"/>
      <c r="F51" s="25">
        <v>49000</v>
      </c>
      <c r="G51" s="25">
        <v>52000</v>
      </c>
      <c r="H51" s="26">
        <v>0</v>
      </c>
      <c r="I51" s="26">
        <v>0</v>
      </c>
      <c r="J51" s="26">
        <v>0</v>
      </c>
      <c r="K51" s="26"/>
      <c r="L51" s="26">
        <v>49500</v>
      </c>
      <c r="M51" s="2"/>
      <c r="N51" s="2"/>
    </row>
    <row r="52" spans="1:14" x14ac:dyDescent="0.25">
      <c r="A52" s="2"/>
      <c r="B52" s="20"/>
      <c r="C52" s="20"/>
      <c r="D52" s="20"/>
      <c r="E52" s="20"/>
      <c r="F52" s="20"/>
      <c r="G52" s="20"/>
      <c r="H52" s="2"/>
      <c r="I52" s="2"/>
      <c r="J52" s="2"/>
      <c r="K52" s="2"/>
      <c r="L52" s="2"/>
      <c r="M52" s="2"/>
      <c r="N52" s="2"/>
    </row>
    <row r="53" spans="1:14" x14ac:dyDescent="0.25">
      <c r="A53" s="2"/>
      <c r="B53" s="20"/>
      <c r="C53" s="20" t="s">
        <v>88</v>
      </c>
      <c r="D53" s="20" t="s">
        <v>86</v>
      </c>
      <c r="E53" s="20"/>
      <c r="F53" s="20">
        <v>410</v>
      </c>
      <c r="G53" s="20">
        <v>140</v>
      </c>
      <c r="H53" s="2">
        <v>20</v>
      </c>
      <c r="I53" s="2">
        <v>0</v>
      </c>
      <c r="J53" s="2">
        <v>0</v>
      </c>
      <c r="K53" s="2"/>
      <c r="L53" s="2">
        <v>570</v>
      </c>
      <c r="M53" s="2"/>
      <c r="N53" s="2"/>
    </row>
    <row r="54" spans="1:14" x14ac:dyDescent="0.25">
      <c r="A54" s="2"/>
      <c r="B54" s="20"/>
      <c r="C54" s="20"/>
      <c r="D54" s="20" t="s">
        <v>87</v>
      </c>
      <c r="E54" s="20"/>
      <c r="F54" s="25">
        <v>64000</v>
      </c>
      <c r="G54" s="25">
        <v>76000</v>
      </c>
      <c r="H54" s="26">
        <v>79000</v>
      </c>
      <c r="I54" s="26">
        <v>0</v>
      </c>
      <c r="J54" s="26">
        <v>0</v>
      </c>
      <c r="K54" s="26"/>
      <c r="L54" s="26">
        <v>67500</v>
      </c>
      <c r="M54" s="2"/>
      <c r="N54" s="2"/>
    </row>
    <row r="55" spans="1:14" x14ac:dyDescent="0.25">
      <c r="A55" s="2"/>
      <c r="B55" s="20"/>
      <c r="C55" s="20"/>
      <c r="D55" s="20"/>
      <c r="E55" s="20"/>
      <c r="F55" s="20"/>
      <c r="G55" s="20"/>
      <c r="H55" s="2"/>
      <c r="I55" s="2"/>
      <c r="J55" s="2"/>
      <c r="K55" s="2"/>
      <c r="L55" s="2"/>
      <c r="M55" s="2"/>
      <c r="N55" s="2"/>
    </row>
    <row r="56" spans="1:14" x14ac:dyDescent="0.25">
      <c r="A56" s="2"/>
      <c r="B56" s="20"/>
      <c r="C56" s="20" t="s">
        <v>89</v>
      </c>
      <c r="D56" s="20" t="s">
        <v>86</v>
      </c>
      <c r="E56" s="20"/>
      <c r="F56" s="20">
        <v>310</v>
      </c>
      <c r="G56" s="20">
        <v>230</v>
      </c>
      <c r="H56" s="2">
        <v>170</v>
      </c>
      <c r="I56" s="2">
        <v>70</v>
      </c>
      <c r="J56" s="2">
        <v>20</v>
      </c>
      <c r="K56" s="2"/>
      <c r="L56" s="2">
        <v>800</v>
      </c>
      <c r="M56" s="2"/>
      <c r="N56" s="2"/>
    </row>
    <row r="57" spans="1:14" x14ac:dyDescent="0.25">
      <c r="A57" s="2"/>
      <c r="B57" s="20"/>
      <c r="C57" s="20"/>
      <c r="D57" s="20" t="s">
        <v>87</v>
      </c>
      <c r="E57" s="20"/>
      <c r="F57" s="25">
        <v>76000</v>
      </c>
      <c r="G57" s="25">
        <v>90000</v>
      </c>
      <c r="H57" s="26">
        <v>99000</v>
      </c>
      <c r="I57" s="26">
        <v>100000</v>
      </c>
      <c r="J57" s="26">
        <v>113000</v>
      </c>
      <c r="K57" s="26"/>
      <c r="L57" s="26">
        <v>87900</v>
      </c>
      <c r="M57" s="2"/>
      <c r="N57" s="2"/>
    </row>
    <row r="58" spans="1:14" x14ac:dyDescent="0.25">
      <c r="A58" s="2"/>
      <c r="B58" s="20" t="s">
        <v>90</v>
      </c>
      <c r="C58" s="20"/>
      <c r="D58" s="20"/>
      <c r="E58" s="20"/>
      <c r="F58" s="20"/>
      <c r="G58" s="20"/>
      <c r="H58" s="2"/>
      <c r="I58" s="2"/>
      <c r="J58" s="2"/>
      <c r="K58" s="2"/>
      <c r="L58" s="2"/>
      <c r="M58" s="2"/>
      <c r="N58" s="2"/>
    </row>
    <row r="59" spans="1:14" x14ac:dyDescent="0.25">
      <c r="A59" s="2"/>
      <c r="B59" s="20" t="s">
        <v>91</v>
      </c>
      <c r="C59" s="20" t="s">
        <v>92</v>
      </c>
      <c r="D59" s="20" t="s">
        <v>86</v>
      </c>
      <c r="E59" s="20"/>
      <c r="F59" s="20">
        <v>190</v>
      </c>
      <c r="G59" s="20">
        <v>150</v>
      </c>
      <c r="H59" s="2">
        <v>160</v>
      </c>
      <c r="I59" s="2">
        <v>150</v>
      </c>
      <c r="J59" s="2">
        <v>220</v>
      </c>
      <c r="K59" s="2"/>
      <c r="L59" s="2">
        <v>870</v>
      </c>
      <c r="M59" s="2"/>
      <c r="N59" s="2"/>
    </row>
    <row r="60" spans="1:14" x14ac:dyDescent="0.25">
      <c r="A60" s="2"/>
      <c r="B60" s="20"/>
      <c r="C60" s="20"/>
      <c r="D60" s="20" t="s">
        <v>87</v>
      </c>
      <c r="E60" s="20"/>
      <c r="F60" s="25">
        <v>75000</v>
      </c>
      <c r="G60" s="25">
        <v>89000</v>
      </c>
      <c r="H60" s="26">
        <v>101000</v>
      </c>
      <c r="I60" s="26">
        <v>104000</v>
      </c>
      <c r="J60" s="26">
        <v>115000</v>
      </c>
      <c r="K60" s="26"/>
      <c r="L60" s="26">
        <v>97300</v>
      </c>
      <c r="M60" s="2"/>
      <c r="N60" s="2"/>
    </row>
    <row r="61" spans="1:14" x14ac:dyDescent="0.25">
      <c r="A61" s="2"/>
      <c r="B61" s="20"/>
      <c r="C61" s="20"/>
      <c r="D61" s="20"/>
      <c r="E61" s="20"/>
      <c r="F61" s="20"/>
      <c r="G61" s="20"/>
      <c r="H61" s="2"/>
      <c r="I61" s="2"/>
      <c r="J61" s="2"/>
      <c r="K61" s="2"/>
      <c r="L61" s="2"/>
      <c r="M61" s="2"/>
      <c r="N61" s="2"/>
    </row>
    <row r="62" spans="1:14" x14ac:dyDescent="0.25">
      <c r="A62" s="2"/>
      <c r="B62" s="20"/>
      <c r="C62" s="20" t="s">
        <v>93</v>
      </c>
      <c r="D62" s="20" t="s">
        <v>86</v>
      </c>
      <c r="E62" s="20"/>
      <c r="F62" s="20">
        <v>110</v>
      </c>
      <c r="G62" s="20">
        <v>110</v>
      </c>
      <c r="H62" s="2">
        <v>110</v>
      </c>
      <c r="I62" s="2">
        <v>110</v>
      </c>
      <c r="J62" s="2">
        <v>290</v>
      </c>
      <c r="K62" s="2"/>
      <c r="L62" s="2">
        <v>730</v>
      </c>
      <c r="M62" s="2"/>
      <c r="N62" s="2"/>
    </row>
    <row r="63" spans="1:14" x14ac:dyDescent="0.25">
      <c r="A63" s="2"/>
      <c r="B63" s="20"/>
      <c r="C63" s="20"/>
      <c r="D63" s="20" t="s">
        <v>87</v>
      </c>
      <c r="E63" s="20"/>
      <c r="F63" s="25">
        <v>73000</v>
      </c>
      <c r="G63" s="25">
        <v>85000</v>
      </c>
      <c r="H63" s="26">
        <v>94000</v>
      </c>
      <c r="I63" s="26">
        <v>101000</v>
      </c>
      <c r="J63" s="26">
        <v>114000</v>
      </c>
      <c r="K63" s="26"/>
      <c r="L63" s="26">
        <v>98500</v>
      </c>
      <c r="M63" s="2"/>
      <c r="N63" s="2"/>
    </row>
    <row r="64" spans="1:14" x14ac:dyDescent="0.25">
      <c r="A64" s="2"/>
      <c r="B64" s="20"/>
      <c r="C64" s="20"/>
      <c r="D64" s="20"/>
      <c r="E64" s="20"/>
      <c r="F64" s="20"/>
      <c r="G64" s="20"/>
      <c r="H64" s="2"/>
      <c r="I64" s="2"/>
      <c r="J64" s="2"/>
      <c r="K64" s="2"/>
      <c r="L64" s="2"/>
      <c r="M64" s="2"/>
      <c r="N64" s="2"/>
    </row>
    <row r="65" spans="1:14" x14ac:dyDescent="0.25">
      <c r="A65" s="2"/>
      <c r="B65" s="20"/>
      <c r="C65" s="20" t="s">
        <v>94</v>
      </c>
      <c r="D65" s="20" t="s">
        <v>86</v>
      </c>
      <c r="E65" s="20"/>
      <c r="F65" s="20">
        <v>20</v>
      </c>
      <c r="G65" s="20">
        <v>30</v>
      </c>
      <c r="H65" s="2">
        <v>30</v>
      </c>
      <c r="I65" s="2">
        <v>30</v>
      </c>
      <c r="J65" s="2">
        <v>60</v>
      </c>
      <c r="K65" s="2"/>
      <c r="L65" s="2">
        <v>170</v>
      </c>
      <c r="M65" s="2"/>
      <c r="N65" s="2"/>
    </row>
    <row r="66" spans="1:14" x14ac:dyDescent="0.25">
      <c r="A66" s="2"/>
      <c r="B66" s="20"/>
      <c r="C66" s="20"/>
      <c r="D66" s="20" t="s">
        <v>87</v>
      </c>
      <c r="E66" s="20"/>
      <c r="F66" s="25">
        <v>67000</v>
      </c>
      <c r="G66" s="25">
        <v>83000</v>
      </c>
      <c r="H66" s="26">
        <v>95000</v>
      </c>
      <c r="I66" s="26">
        <v>101000</v>
      </c>
      <c r="J66" s="26">
        <v>118000</v>
      </c>
      <c r="K66" s="26"/>
      <c r="L66" s="26">
        <v>98800</v>
      </c>
      <c r="M66" s="2"/>
      <c r="N66" s="2"/>
    </row>
    <row r="67" spans="1:14" x14ac:dyDescent="0.25">
      <c r="A67" s="2"/>
      <c r="B67" s="20"/>
      <c r="C67" s="20"/>
      <c r="D67" s="20"/>
      <c r="E67" s="20"/>
      <c r="F67" s="20"/>
      <c r="G67" s="20"/>
      <c r="H67" s="2"/>
      <c r="I67" s="2"/>
      <c r="J67" s="2"/>
      <c r="K67" s="2"/>
      <c r="L67" s="2"/>
      <c r="M67" s="2"/>
      <c r="N67" s="2"/>
    </row>
    <row r="68" spans="1:14" x14ac:dyDescent="0.25">
      <c r="A68" s="2"/>
      <c r="B68" s="20"/>
      <c r="C68" s="20" t="s">
        <v>84</v>
      </c>
      <c r="D68" s="20" t="s">
        <v>86</v>
      </c>
      <c r="E68" s="20"/>
      <c r="F68" s="20">
        <v>1090</v>
      </c>
      <c r="G68" s="20">
        <v>670</v>
      </c>
      <c r="H68" s="2">
        <v>490</v>
      </c>
      <c r="I68" s="2">
        <v>360</v>
      </c>
      <c r="J68" s="2">
        <v>590</v>
      </c>
      <c r="K68" s="2"/>
      <c r="L68" s="2">
        <v>3200</v>
      </c>
      <c r="M68" s="2"/>
      <c r="N68" s="2"/>
    </row>
    <row r="69" spans="1:14" x14ac:dyDescent="0.25">
      <c r="A69" s="2"/>
      <c r="B69" s="20"/>
      <c r="C69" s="20"/>
      <c r="D69" s="20" t="s">
        <v>87</v>
      </c>
      <c r="E69" s="20"/>
      <c r="F69" s="25">
        <v>69600</v>
      </c>
      <c r="G69" s="25">
        <v>85100</v>
      </c>
      <c r="H69" s="26">
        <v>97500</v>
      </c>
      <c r="I69" s="26">
        <v>102100</v>
      </c>
      <c r="J69" s="26">
        <v>114700</v>
      </c>
      <c r="K69" s="26"/>
      <c r="L69" s="26">
        <v>89100</v>
      </c>
      <c r="M69" s="2"/>
      <c r="N69" s="2"/>
    </row>
    <row r="70" spans="1:14" x14ac:dyDescent="0.25">
      <c r="A70" s="2"/>
      <c r="B70" s="20"/>
      <c r="C70" s="20"/>
      <c r="D70" s="20"/>
      <c r="E70" s="20"/>
      <c r="F70" s="20"/>
      <c r="G70" s="20"/>
      <c r="H70" s="2"/>
      <c r="I70" s="2"/>
      <c r="J70" s="2"/>
      <c r="K70" s="2"/>
      <c r="L70" s="2"/>
      <c r="M70" s="2"/>
      <c r="N70" s="2"/>
    </row>
    <row r="71" spans="1:14" x14ac:dyDescent="0.25">
      <c r="A71" s="2"/>
      <c r="B71" s="20"/>
      <c r="C71" s="20"/>
      <c r="D71" s="20"/>
      <c r="E71" s="20"/>
      <c r="F71" s="20"/>
      <c r="G71" s="20"/>
      <c r="H71" s="2"/>
      <c r="I71" s="2"/>
      <c r="J71" s="2"/>
      <c r="K71" s="2"/>
      <c r="L71" s="2"/>
      <c r="M71" s="2"/>
      <c r="N71" s="2"/>
    </row>
    <row r="72" spans="1:14" x14ac:dyDescent="0.25">
      <c r="A72" s="2"/>
      <c r="B72" s="20"/>
      <c r="C72" s="20"/>
      <c r="D72" s="20" t="s">
        <v>95</v>
      </c>
      <c r="E72" s="20"/>
      <c r="F72" s="20">
        <v>46.9</v>
      </c>
      <c r="G72" s="20"/>
      <c r="H72" s="2"/>
      <c r="I72" s="2"/>
      <c r="J72" s="2"/>
      <c r="K72" s="2"/>
      <c r="L72" s="2"/>
      <c r="M72" s="2"/>
      <c r="N72" s="2"/>
    </row>
    <row r="73" spans="1:14" x14ac:dyDescent="0.25">
      <c r="A73" s="2"/>
      <c r="B73" s="20"/>
      <c r="C73" s="20"/>
      <c r="D73" s="20" t="s">
        <v>96</v>
      </c>
      <c r="E73" s="20"/>
      <c r="F73" s="20">
        <v>10.8</v>
      </c>
      <c r="G73" s="20"/>
      <c r="H73" s="2"/>
      <c r="I73" s="2"/>
      <c r="J73" s="2"/>
      <c r="K73" s="2"/>
      <c r="L73" s="2"/>
      <c r="M73" s="2"/>
      <c r="N73" s="2"/>
    </row>
    <row r="74" spans="1:14" x14ac:dyDescent="0.25">
      <c r="A74" s="2"/>
      <c r="B74" s="20"/>
      <c r="C74" s="20"/>
      <c r="D74" s="20" t="s">
        <v>87</v>
      </c>
      <c r="E74" s="20"/>
      <c r="F74" s="25">
        <v>89100</v>
      </c>
      <c r="G74" s="20"/>
      <c r="H74" s="2"/>
      <c r="I74" s="2"/>
      <c r="J74" s="2"/>
      <c r="K74" s="2"/>
      <c r="L74" s="2"/>
      <c r="M74" s="2"/>
      <c r="N74" s="2"/>
    </row>
    <row r="75" spans="1:14" x14ac:dyDescent="0.25">
      <c r="A75" s="20"/>
      <c r="B75" s="20"/>
      <c r="C75" s="20"/>
      <c r="D75" s="20"/>
      <c r="E75" s="20"/>
      <c r="F75" s="20"/>
      <c r="G75" s="2"/>
      <c r="H75" s="2"/>
      <c r="I75" s="2"/>
      <c r="J75" s="2"/>
      <c r="K75" s="2"/>
      <c r="L75" s="2"/>
      <c r="M75" s="2"/>
      <c r="N75" s="2"/>
    </row>
    <row r="76" spans="1:14" x14ac:dyDescent="0.25">
      <c r="A76" s="20"/>
      <c r="B76" s="20"/>
      <c r="C76" s="20"/>
      <c r="D76" s="20"/>
      <c r="E76" s="20"/>
      <c r="F76" s="20"/>
      <c r="G76" s="2"/>
      <c r="H76" s="2"/>
      <c r="I76" s="2"/>
      <c r="J76" s="2"/>
      <c r="K76" s="2"/>
      <c r="L76" s="2"/>
      <c r="M76" s="2"/>
      <c r="N76" s="2"/>
    </row>
    <row r="77" spans="1:14" x14ac:dyDescent="0.25">
      <c r="A77" s="20" t="s">
        <v>97</v>
      </c>
      <c r="B77" s="20"/>
      <c r="C77" s="20"/>
      <c r="D77" s="20"/>
      <c r="E77" s="20"/>
      <c r="F77" s="20"/>
      <c r="G77" s="2"/>
      <c r="H77" s="2"/>
      <c r="I77" s="2"/>
      <c r="J77" s="2"/>
      <c r="K77" s="2"/>
      <c r="L77" s="2"/>
      <c r="M77" s="2"/>
      <c r="N77" s="2"/>
    </row>
    <row r="78" spans="1:14" x14ac:dyDescent="0.25">
      <c r="A78" s="20"/>
      <c r="B78" s="20"/>
      <c r="C78" s="20"/>
      <c r="D78" s="20"/>
      <c r="E78" s="20"/>
      <c r="F78" s="23"/>
      <c r="G78" s="24" t="s">
        <v>98</v>
      </c>
      <c r="H78" s="24"/>
      <c r="I78" s="2"/>
      <c r="J78" s="2"/>
      <c r="K78" s="2"/>
      <c r="L78" s="2"/>
      <c r="M78" s="2"/>
      <c r="N78" s="2"/>
    </row>
    <row r="79" spans="1:14" x14ac:dyDescent="0.25">
      <c r="A79" s="20"/>
      <c r="B79" s="20"/>
      <c r="C79" s="20"/>
      <c r="D79" s="20"/>
      <c r="E79" s="20"/>
      <c r="F79" s="23" t="s">
        <v>99</v>
      </c>
      <c r="G79" s="24" t="s">
        <v>100</v>
      </c>
      <c r="H79" s="24" t="s">
        <v>101</v>
      </c>
      <c r="I79" s="2"/>
      <c r="J79" s="2"/>
      <c r="K79" s="2"/>
      <c r="L79" s="2"/>
      <c r="M79" s="2"/>
      <c r="N79" s="2"/>
    </row>
    <row r="80" spans="1:14" x14ac:dyDescent="0.25">
      <c r="A80" s="20"/>
      <c r="B80" s="20"/>
      <c r="C80" s="20"/>
      <c r="D80" s="20"/>
      <c r="E80" s="20"/>
      <c r="F80" s="20"/>
      <c r="G80" s="2"/>
      <c r="H80" s="2"/>
      <c r="I80" s="2"/>
      <c r="J80" s="2"/>
      <c r="K80" s="2"/>
      <c r="L80" s="2"/>
      <c r="M80" s="2"/>
      <c r="N80" s="2"/>
    </row>
    <row r="81" spans="1:14" x14ac:dyDescent="0.25">
      <c r="A81" s="20"/>
      <c r="B81" s="20" t="s">
        <v>103</v>
      </c>
      <c r="C81" s="20"/>
      <c r="D81" s="20"/>
      <c r="E81" s="20"/>
      <c r="F81" s="27">
        <v>3110</v>
      </c>
      <c r="G81" s="28">
        <v>1795</v>
      </c>
      <c r="H81" s="28">
        <v>4905</v>
      </c>
      <c r="I81" s="2"/>
      <c r="J81" s="2"/>
      <c r="K81" s="2"/>
      <c r="L81" s="2"/>
      <c r="M81" s="2"/>
      <c r="N81" s="2"/>
    </row>
    <row r="82" spans="1:14" x14ac:dyDescent="0.25">
      <c r="A82" s="20"/>
      <c r="B82" s="20"/>
      <c r="C82" s="20"/>
      <c r="D82" s="20"/>
      <c r="E82" s="20"/>
      <c r="F82" s="27"/>
      <c r="G82" s="28"/>
      <c r="H82" s="28"/>
      <c r="I82" s="2"/>
      <c r="J82" s="2"/>
      <c r="K82" s="2"/>
      <c r="L82" s="2"/>
      <c r="M82" s="2"/>
      <c r="N82" s="2"/>
    </row>
    <row r="83" spans="1:14" x14ac:dyDescent="0.25">
      <c r="A83" s="20"/>
      <c r="B83" s="20" t="s">
        <v>249</v>
      </c>
      <c r="C83" s="20"/>
      <c r="D83" s="20"/>
      <c r="E83" s="20"/>
      <c r="F83" s="27">
        <v>280</v>
      </c>
      <c r="G83" s="28">
        <v>0</v>
      </c>
      <c r="H83" s="28">
        <v>280</v>
      </c>
      <c r="I83" s="2"/>
      <c r="J83" s="2"/>
      <c r="K83" s="2"/>
      <c r="L83" s="2"/>
      <c r="M83" s="2"/>
      <c r="N83" s="2"/>
    </row>
    <row r="84" spans="1:14" x14ac:dyDescent="0.25">
      <c r="A84" s="20"/>
      <c r="B84" s="20" t="s">
        <v>250</v>
      </c>
      <c r="C84" s="20"/>
      <c r="D84" s="20"/>
      <c r="E84" s="20"/>
      <c r="F84" s="27">
        <v>-60</v>
      </c>
      <c r="G84" s="28">
        <v>0</v>
      </c>
      <c r="H84" s="28">
        <v>-60</v>
      </c>
      <c r="I84" s="2"/>
      <c r="J84" s="2"/>
      <c r="K84" s="2"/>
      <c r="L84" s="2"/>
      <c r="M84" s="2"/>
      <c r="N84" s="2"/>
    </row>
    <row r="85" spans="1:14" x14ac:dyDescent="0.25">
      <c r="A85" s="20"/>
      <c r="B85" s="20" t="s">
        <v>251</v>
      </c>
      <c r="C85" s="20"/>
      <c r="D85" s="20"/>
      <c r="E85" s="20"/>
      <c r="F85" s="27">
        <v>-30</v>
      </c>
      <c r="G85" s="28">
        <v>0</v>
      </c>
      <c r="H85" s="28">
        <v>-30</v>
      </c>
      <c r="I85" s="2"/>
      <c r="J85" s="2"/>
      <c r="K85" s="2"/>
      <c r="L85" s="2"/>
      <c r="M85" s="2"/>
      <c r="N85" s="2"/>
    </row>
    <row r="86" spans="1:14" x14ac:dyDescent="0.25">
      <c r="A86" s="20"/>
      <c r="B86" s="20" t="s">
        <v>252</v>
      </c>
      <c r="C86" s="20"/>
      <c r="D86" s="20"/>
      <c r="E86" s="20"/>
      <c r="F86" s="27">
        <v>-90</v>
      </c>
      <c r="G86" s="28">
        <v>90</v>
      </c>
      <c r="H86" s="28">
        <v>0</v>
      </c>
      <c r="I86" s="2"/>
      <c r="J86" s="2"/>
      <c r="K86" s="2"/>
      <c r="L86" s="2"/>
      <c r="M86" s="2"/>
      <c r="N86" s="2"/>
    </row>
    <row r="87" spans="1:14" x14ac:dyDescent="0.25">
      <c r="A87" s="20"/>
      <c r="B87" s="20" t="s">
        <v>253</v>
      </c>
      <c r="C87" s="20"/>
      <c r="D87" s="20"/>
      <c r="E87" s="20"/>
      <c r="F87" s="27">
        <v>-10</v>
      </c>
      <c r="G87" s="28">
        <v>-80</v>
      </c>
      <c r="H87" s="28">
        <v>-90</v>
      </c>
      <c r="I87" s="2"/>
      <c r="J87" s="2"/>
      <c r="K87" s="2"/>
      <c r="L87" s="2"/>
      <c r="M87" s="2"/>
      <c r="N87" s="2"/>
    </row>
    <row r="88" spans="1:14" x14ac:dyDescent="0.25">
      <c r="A88" s="20"/>
      <c r="B88" s="20" t="s">
        <v>254</v>
      </c>
      <c r="C88" s="20"/>
      <c r="D88" s="20"/>
      <c r="E88" s="20"/>
      <c r="F88" s="27">
        <v>0</v>
      </c>
      <c r="G88" s="28">
        <v>25</v>
      </c>
      <c r="H88" s="28">
        <v>25</v>
      </c>
      <c r="I88" s="2"/>
      <c r="J88" s="2"/>
      <c r="K88" s="2"/>
      <c r="L88" s="2"/>
      <c r="M88" s="2"/>
      <c r="N88" s="2"/>
    </row>
    <row r="89" spans="1:14" x14ac:dyDescent="0.25">
      <c r="A89" s="20"/>
      <c r="B89" s="20" t="s">
        <v>102</v>
      </c>
      <c r="C89" s="20"/>
      <c r="D89" s="20"/>
      <c r="E89" s="20"/>
      <c r="F89" s="27">
        <v>90</v>
      </c>
      <c r="G89" s="28">
        <v>35</v>
      </c>
      <c r="H89" s="28">
        <v>125</v>
      </c>
      <c r="I89" s="2"/>
      <c r="J89" s="2"/>
      <c r="K89" s="2"/>
      <c r="L89" s="2"/>
      <c r="M89" s="2"/>
      <c r="N89" s="2"/>
    </row>
    <row r="90" spans="1:14" x14ac:dyDescent="0.25">
      <c r="A90" s="20"/>
      <c r="B90" s="20"/>
      <c r="C90" s="20"/>
      <c r="D90" s="20"/>
      <c r="E90" s="20"/>
      <c r="F90" s="27"/>
      <c r="G90" s="28"/>
      <c r="H90" s="28"/>
      <c r="I90" s="2"/>
      <c r="J90" s="2"/>
      <c r="K90" s="2"/>
      <c r="L90" s="2"/>
      <c r="M90" s="2"/>
      <c r="N90" s="2"/>
    </row>
    <row r="91" spans="1:14" x14ac:dyDescent="0.25">
      <c r="A91" s="20"/>
      <c r="B91" s="20" t="s">
        <v>255</v>
      </c>
      <c r="C91" s="20"/>
      <c r="D91" s="20"/>
      <c r="E91" s="20"/>
      <c r="F91" s="27">
        <v>3200</v>
      </c>
      <c r="G91" s="28">
        <v>1830</v>
      </c>
      <c r="H91" s="28">
        <v>5030</v>
      </c>
      <c r="I91" s="2"/>
      <c r="J91" s="2"/>
      <c r="K91" s="2"/>
      <c r="L91" s="2"/>
      <c r="M91" s="2"/>
      <c r="N91" s="2"/>
    </row>
    <row r="92" spans="1:14" x14ac:dyDescent="0.25">
      <c r="A92" s="20"/>
      <c r="B92" s="20"/>
      <c r="C92" s="20"/>
      <c r="D92" s="20"/>
      <c r="E92" s="20"/>
      <c r="F92" s="20"/>
      <c r="G92" s="2"/>
      <c r="H92" s="2"/>
      <c r="I92" s="2"/>
      <c r="J92" s="2"/>
      <c r="K92" s="2"/>
      <c r="L92" s="2"/>
      <c r="M92" s="2"/>
      <c r="N92" s="2"/>
    </row>
    <row r="93" spans="1:14" x14ac:dyDescent="0.25">
      <c r="A93" s="20"/>
      <c r="B93" s="20"/>
      <c r="C93" s="20"/>
      <c r="D93" s="20"/>
      <c r="E93" s="20"/>
      <c r="F93" s="20"/>
      <c r="G93" s="2"/>
      <c r="H93" s="2"/>
      <c r="I93" s="2"/>
      <c r="J93" s="2"/>
      <c r="K93" s="2"/>
      <c r="L93" s="2"/>
      <c r="M93" s="2"/>
      <c r="N93" s="2"/>
    </row>
    <row r="94" spans="1:14" ht="15.6" x14ac:dyDescent="0.25">
      <c r="A94" s="19" t="s">
        <v>104</v>
      </c>
      <c r="B94" s="20"/>
      <c r="C94" s="20"/>
      <c r="D94" s="20"/>
      <c r="E94" s="20"/>
      <c r="F94" s="20"/>
      <c r="G94" s="2"/>
      <c r="H94" s="2"/>
      <c r="I94" s="2"/>
      <c r="J94" s="2"/>
      <c r="K94" s="2"/>
      <c r="L94" s="2"/>
      <c r="M94" s="2"/>
      <c r="N94" s="2"/>
    </row>
    <row r="95" spans="1:14" x14ac:dyDescent="0.25">
      <c r="A95" s="3"/>
      <c r="B95" s="3"/>
      <c r="C95" s="3"/>
      <c r="D95" s="3"/>
      <c r="E95" s="3"/>
      <c r="F95" s="3"/>
      <c r="G95" s="2"/>
      <c r="H95" s="2"/>
      <c r="I95" s="2"/>
      <c r="J95" s="2"/>
      <c r="K95" s="2"/>
      <c r="L95" s="2"/>
      <c r="M95" s="2"/>
      <c r="N95" s="2"/>
    </row>
    <row r="96" spans="1:14" ht="15.6" x14ac:dyDescent="0.25">
      <c r="A96" s="29" t="s">
        <v>105</v>
      </c>
      <c r="B96" s="20"/>
      <c r="C96" s="2"/>
      <c r="D96" s="2"/>
      <c r="E96" s="2"/>
      <c r="F96" s="3"/>
      <c r="G96" s="19">
        <v>2021</v>
      </c>
      <c r="H96" s="19">
        <v>2022</v>
      </c>
      <c r="I96" s="2"/>
      <c r="J96" s="2"/>
      <c r="K96" s="2"/>
      <c r="L96" s="2"/>
      <c r="M96" s="2"/>
      <c r="N96" s="2"/>
    </row>
    <row r="97" spans="1:14" x14ac:dyDescent="0.25">
      <c r="A97" s="20"/>
      <c r="B97" s="20"/>
      <c r="C97" s="2"/>
      <c r="D97" s="2"/>
      <c r="E97" s="2"/>
      <c r="F97" s="3"/>
      <c r="G97" s="20"/>
      <c r="H97" s="20"/>
      <c r="I97" s="2"/>
      <c r="J97" s="2"/>
      <c r="K97" s="2"/>
      <c r="L97" s="2"/>
      <c r="M97" s="2"/>
      <c r="N97" s="2"/>
    </row>
    <row r="98" spans="1:14" x14ac:dyDescent="0.25">
      <c r="A98" s="20" t="s">
        <v>106</v>
      </c>
      <c r="B98" s="20"/>
      <c r="C98" s="2"/>
      <c r="D98" s="2"/>
      <c r="E98" s="2"/>
      <c r="F98" s="3"/>
      <c r="G98" s="20"/>
      <c r="H98" s="20"/>
      <c r="I98" s="2"/>
      <c r="J98" s="2"/>
      <c r="K98" s="2"/>
      <c r="L98" s="2"/>
      <c r="M98" s="2"/>
      <c r="N98" s="2"/>
    </row>
    <row r="99" spans="1:14" x14ac:dyDescent="0.25">
      <c r="A99" s="3"/>
      <c r="B99" s="20" t="s">
        <v>107</v>
      </c>
      <c r="C99" s="2"/>
      <c r="D99" s="2"/>
      <c r="E99" s="2"/>
      <c r="F99" s="3"/>
      <c r="G99" s="27">
        <v>3110</v>
      </c>
      <c r="H99" s="27">
        <v>3200</v>
      </c>
      <c r="I99" s="2"/>
      <c r="J99" s="2"/>
      <c r="K99" s="2"/>
      <c r="L99" s="2"/>
      <c r="M99" s="2"/>
      <c r="N99" s="2"/>
    </row>
    <row r="100" spans="1:14" x14ac:dyDescent="0.25">
      <c r="A100" s="3"/>
      <c r="B100" s="20" t="s">
        <v>108</v>
      </c>
      <c r="C100" s="2"/>
      <c r="D100" s="2"/>
      <c r="E100" s="2"/>
      <c r="F100" s="3"/>
      <c r="G100" s="30">
        <v>47.1</v>
      </c>
      <c r="H100" s="30">
        <v>46.9</v>
      </c>
      <c r="I100" s="2"/>
      <c r="J100" s="2"/>
      <c r="K100" s="2"/>
      <c r="L100" s="2"/>
      <c r="M100" s="2"/>
      <c r="N100" s="2"/>
    </row>
    <row r="101" spans="1:14" x14ac:dyDescent="0.25">
      <c r="A101" s="3"/>
      <c r="B101" s="20" t="s">
        <v>109</v>
      </c>
      <c r="C101" s="2"/>
      <c r="D101" s="2"/>
      <c r="E101" s="2"/>
      <c r="F101" s="3"/>
      <c r="G101" s="30">
        <v>10.8</v>
      </c>
      <c r="H101" s="30">
        <v>10.8</v>
      </c>
      <c r="I101" s="2"/>
      <c r="J101" s="2"/>
      <c r="K101" s="2"/>
      <c r="L101" s="2"/>
      <c r="M101" s="2"/>
      <c r="N101" s="2"/>
    </row>
    <row r="102" spans="1:14" x14ac:dyDescent="0.25">
      <c r="A102" s="3"/>
      <c r="B102" s="20" t="s">
        <v>110</v>
      </c>
      <c r="C102" s="2"/>
      <c r="D102" s="2"/>
      <c r="E102" s="2"/>
      <c r="F102" s="3"/>
      <c r="G102" s="30">
        <v>11.92</v>
      </c>
      <c r="H102" s="30">
        <v>12.080000000000002</v>
      </c>
      <c r="I102" s="2"/>
      <c r="J102" s="2"/>
      <c r="K102" s="2"/>
      <c r="L102" s="2"/>
      <c r="M102" s="2"/>
      <c r="N102" s="2"/>
    </row>
    <row r="103" spans="1:14" x14ac:dyDescent="0.25">
      <c r="A103" s="3"/>
      <c r="B103" s="20" t="s">
        <v>111</v>
      </c>
      <c r="C103" s="2"/>
      <c r="D103" s="2"/>
      <c r="E103" s="2"/>
      <c r="F103" s="3"/>
      <c r="G103" s="30">
        <v>2.2999999999999998</v>
      </c>
      <c r="H103" s="30">
        <v>2.4</v>
      </c>
      <c r="I103" s="2"/>
      <c r="J103" s="2"/>
      <c r="K103" s="2"/>
      <c r="L103" s="2"/>
      <c r="M103" s="2"/>
      <c r="N103" s="2"/>
    </row>
    <row r="104" spans="1:14" x14ac:dyDescent="0.25">
      <c r="A104" s="3"/>
      <c r="B104" s="20" t="s">
        <v>112</v>
      </c>
      <c r="C104" s="2"/>
      <c r="D104" s="2"/>
      <c r="E104" s="2"/>
      <c r="F104" s="3"/>
      <c r="G104" s="27">
        <v>85800</v>
      </c>
      <c r="H104" s="27">
        <v>89100</v>
      </c>
      <c r="I104" s="2"/>
      <c r="J104" s="2"/>
      <c r="K104" s="2"/>
      <c r="L104" s="2"/>
      <c r="M104" s="2"/>
      <c r="N104" s="2"/>
    </row>
    <row r="105" spans="1:14" x14ac:dyDescent="0.25">
      <c r="A105" s="20"/>
      <c r="B105" s="20"/>
      <c r="C105" s="2"/>
      <c r="D105" s="2"/>
      <c r="E105" s="2"/>
      <c r="F105" s="3"/>
      <c r="G105" s="20"/>
      <c r="H105" s="20"/>
      <c r="I105" s="2"/>
      <c r="J105" s="2"/>
      <c r="K105" s="2"/>
      <c r="L105" s="2"/>
      <c r="M105" s="2"/>
      <c r="N105" s="2"/>
    </row>
    <row r="106" spans="1:14" x14ac:dyDescent="0.25">
      <c r="A106" s="20" t="s">
        <v>113</v>
      </c>
      <c r="B106" s="20"/>
      <c r="C106" s="2"/>
      <c r="D106" s="2"/>
      <c r="E106" s="2"/>
      <c r="F106" s="3"/>
      <c r="G106" s="20"/>
      <c r="H106" s="20"/>
      <c r="I106" s="2"/>
      <c r="J106" s="2"/>
      <c r="K106" s="2"/>
      <c r="L106" s="2"/>
      <c r="M106" s="2"/>
      <c r="N106" s="2"/>
    </row>
    <row r="107" spans="1:14" x14ac:dyDescent="0.25">
      <c r="A107" s="3"/>
      <c r="B107" s="20" t="s">
        <v>107</v>
      </c>
      <c r="C107" s="2"/>
      <c r="D107" s="2"/>
      <c r="E107" s="2"/>
      <c r="F107" s="3"/>
      <c r="G107" s="27">
        <v>0</v>
      </c>
      <c r="H107" s="27">
        <v>0</v>
      </c>
      <c r="I107" s="2"/>
      <c r="J107" s="2"/>
      <c r="K107" s="2"/>
      <c r="L107" s="2"/>
      <c r="M107" s="2"/>
      <c r="N107" s="2"/>
    </row>
    <row r="108" spans="1:14" x14ac:dyDescent="0.25">
      <c r="A108" s="20"/>
      <c r="B108" s="20"/>
      <c r="C108" s="2"/>
      <c r="D108" s="2"/>
      <c r="E108" s="2"/>
      <c r="F108" s="3"/>
      <c r="G108" s="20"/>
      <c r="H108" s="20"/>
      <c r="I108" s="2"/>
      <c r="J108" s="2"/>
      <c r="K108" s="2"/>
      <c r="L108" s="2"/>
      <c r="M108" s="2"/>
      <c r="N108" s="2"/>
    </row>
    <row r="109" spans="1:14" x14ac:dyDescent="0.25">
      <c r="A109" s="20" t="s">
        <v>114</v>
      </c>
      <c r="B109" s="20"/>
      <c r="C109" s="2"/>
      <c r="D109" s="2"/>
      <c r="E109" s="2"/>
      <c r="F109" s="3"/>
      <c r="G109" s="20"/>
      <c r="H109" s="20"/>
      <c r="I109" s="2"/>
      <c r="J109" s="2"/>
      <c r="K109" s="2"/>
      <c r="L109" s="2"/>
      <c r="M109" s="2"/>
      <c r="N109" s="2"/>
    </row>
    <row r="110" spans="1:14" x14ac:dyDescent="0.25">
      <c r="A110" s="3"/>
      <c r="B110" s="20" t="s">
        <v>107</v>
      </c>
      <c r="C110" s="2"/>
      <c r="D110" s="2"/>
      <c r="E110" s="2"/>
      <c r="F110" s="3"/>
      <c r="G110" s="27">
        <v>1795</v>
      </c>
      <c r="H110" s="27">
        <v>1830</v>
      </c>
      <c r="I110" s="2"/>
      <c r="J110" s="2"/>
      <c r="K110" s="2"/>
      <c r="L110" s="2"/>
      <c r="M110" s="2"/>
      <c r="N110" s="2"/>
    </row>
    <row r="111" spans="1:14" x14ac:dyDescent="0.25">
      <c r="A111" s="3"/>
      <c r="B111" s="20" t="s">
        <v>108</v>
      </c>
      <c r="C111" s="2"/>
      <c r="D111" s="2"/>
      <c r="E111" s="2"/>
      <c r="F111" s="3"/>
      <c r="G111" s="20">
        <v>67.5</v>
      </c>
      <c r="H111" s="20">
        <v>66.7</v>
      </c>
      <c r="I111" s="2"/>
      <c r="J111" s="2"/>
      <c r="K111" s="2"/>
      <c r="L111" s="2"/>
      <c r="M111" s="2"/>
      <c r="N111" s="2"/>
    </row>
    <row r="112" spans="1:14" x14ac:dyDescent="0.25">
      <c r="A112" s="3"/>
      <c r="B112" s="20" t="s">
        <v>115</v>
      </c>
      <c r="C112" s="2"/>
      <c r="D112" s="2"/>
      <c r="E112" s="2"/>
      <c r="F112" s="3"/>
      <c r="G112" s="27">
        <v>22225.662059999999</v>
      </c>
      <c r="H112" s="27">
        <v>22812.519428999993</v>
      </c>
      <c r="I112" s="2"/>
      <c r="J112" s="2"/>
      <c r="K112" s="2"/>
      <c r="L112" s="2"/>
      <c r="M112" s="2"/>
      <c r="N112" s="2"/>
    </row>
    <row r="113" spans="1:14" x14ac:dyDescent="0.25">
      <c r="A113" s="20"/>
      <c r="B113" s="20"/>
      <c r="C113" s="2"/>
      <c r="D113" s="2"/>
      <c r="E113" s="2"/>
      <c r="F113" s="3"/>
      <c r="G113" s="20"/>
      <c r="H113" s="20"/>
      <c r="I113" s="2"/>
      <c r="J113" s="2"/>
      <c r="K113" s="2"/>
      <c r="L113" s="2"/>
      <c r="M113" s="2"/>
      <c r="N113" s="2"/>
    </row>
    <row r="114" spans="1:14" x14ac:dyDescent="0.25">
      <c r="A114" s="20" t="s">
        <v>116</v>
      </c>
      <c r="B114" s="20"/>
      <c r="C114" s="2"/>
      <c r="D114" s="2"/>
      <c r="E114" s="2"/>
      <c r="F114" s="3"/>
      <c r="G114" s="30">
        <v>12.904319150241813</v>
      </c>
      <c r="H114" s="30">
        <v>12.907205262461872</v>
      </c>
      <c r="I114" s="2"/>
      <c r="J114" s="2"/>
      <c r="K114" s="2"/>
      <c r="L114" s="2"/>
      <c r="M114" s="2"/>
      <c r="N114" s="2"/>
    </row>
    <row r="115" spans="1:14" x14ac:dyDescent="0.25">
      <c r="A115" s="20"/>
      <c r="B115" s="20"/>
      <c r="C115" s="2"/>
      <c r="D115" s="2"/>
      <c r="E115" s="2"/>
      <c r="F115" s="3"/>
      <c r="G115" s="20"/>
      <c r="H115" s="20"/>
      <c r="I115" s="2"/>
      <c r="J115" s="2"/>
      <c r="K115" s="2"/>
      <c r="L115" s="2"/>
      <c r="M115" s="2"/>
      <c r="N115" s="2"/>
    </row>
    <row r="116" spans="1:14" x14ac:dyDescent="0.25">
      <c r="A116" s="20"/>
      <c r="B116" s="20"/>
      <c r="C116" s="2"/>
      <c r="D116" s="2"/>
      <c r="E116" s="2"/>
      <c r="F116" s="3"/>
      <c r="G116" s="20"/>
      <c r="H116" s="20"/>
      <c r="I116" s="2"/>
      <c r="J116" s="2"/>
      <c r="K116" s="2"/>
      <c r="L116" s="2"/>
      <c r="M116" s="2"/>
      <c r="N116" s="2"/>
    </row>
    <row r="117" spans="1:14" ht="15.6" x14ac:dyDescent="0.25">
      <c r="A117" s="29" t="s">
        <v>117</v>
      </c>
      <c r="B117" s="20"/>
      <c r="C117" s="2"/>
      <c r="D117" s="2"/>
      <c r="E117" s="2"/>
      <c r="F117" s="3"/>
      <c r="G117" s="19"/>
      <c r="H117" s="19"/>
      <c r="I117" s="2"/>
      <c r="J117" s="2"/>
      <c r="K117" s="2"/>
      <c r="L117" s="2"/>
      <c r="M117" s="2"/>
      <c r="N117" s="2"/>
    </row>
    <row r="118" spans="1:14" x14ac:dyDescent="0.25">
      <c r="A118" s="20"/>
      <c r="B118" s="20"/>
      <c r="C118" s="2"/>
      <c r="D118" s="2"/>
      <c r="E118" s="2"/>
      <c r="F118" s="3"/>
      <c r="G118" s="20"/>
      <c r="H118" s="20"/>
      <c r="I118" s="2"/>
      <c r="J118" s="2"/>
      <c r="K118" s="2"/>
      <c r="L118" s="2"/>
      <c r="M118" s="2"/>
      <c r="N118" s="2"/>
    </row>
    <row r="119" spans="1:14" x14ac:dyDescent="0.25">
      <c r="A119" s="20" t="s">
        <v>118</v>
      </c>
      <c r="B119" s="20"/>
      <c r="C119" s="2"/>
      <c r="D119" s="2"/>
      <c r="E119" s="2"/>
      <c r="F119" s="3"/>
      <c r="G119" s="20"/>
      <c r="H119" s="20"/>
      <c r="I119" s="2"/>
      <c r="J119" s="2"/>
      <c r="K119" s="2"/>
      <c r="L119" s="2"/>
      <c r="M119" s="2"/>
      <c r="N119" s="2"/>
    </row>
    <row r="120" spans="1:14" x14ac:dyDescent="0.25">
      <c r="A120" s="3"/>
      <c r="B120" s="20" t="s">
        <v>119</v>
      </c>
      <c r="C120" s="2"/>
      <c r="D120" s="2"/>
      <c r="E120" s="2"/>
      <c r="F120" s="3"/>
      <c r="G120" s="27">
        <v>668828.076</v>
      </c>
      <c r="H120" s="27">
        <v>696838.79</v>
      </c>
      <c r="I120" s="2"/>
      <c r="J120" s="2"/>
      <c r="K120" s="2"/>
      <c r="L120" s="2"/>
      <c r="M120" s="2"/>
      <c r="N120" s="2"/>
    </row>
    <row r="121" spans="1:14" x14ac:dyDescent="0.25">
      <c r="A121" s="3"/>
      <c r="B121" s="20" t="s">
        <v>120</v>
      </c>
      <c r="C121" s="2"/>
      <c r="D121" s="2"/>
      <c r="E121" s="2"/>
      <c r="F121" s="3"/>
      <c r="G121" s="27">
        <v>35630</v>
      </c>
      <c r="H121" s="27">
        <v>35850</v>
      </c>
      <c r="I121" s="2"/>
      <c r="J121" s="2"/>
      <c r="K121" s="2"/>
      <c r="L121" s="2"/>
      <c r="M121" s="2"/>
      <c r="N121" s="2"/>
    </row>
    <row r="122" spans="1:14" x14ac:dyDescent="0.25">
      <c r="A122" s="3"/>
      <c r="B122" s="20" t="s">
        <v>121</v>
      </c>
      <c r="C122" s="2"/>
      <c r="D122" s="2"/>
      <c r="E122" s="2"/>
      <c r="F122" s="3"/>
      <c r="G122" s="27">
        <v>-37540</v>
      </c>
      <c r="H122" s="27">
        <v>-39900</v>
      </c>
      <c r="I122" s="2"/>
      <c r="J122" s="2"/>
      <c r="K122" s="2"/>
      <c r="L122" s="2"/>
      <c r="M122" s="2"/>
      <c r="N122" s="2"/>
    </row>
    <row r="123" spans="1:14" x14ac:dyDescent="0.25">
      <c r="A123" s="3"/>
      <c r="B123" s="20" t="s">
        <v>122</v>
      </c>
      <c r="C123" s="2"/>
      <c r="D123" s="2"/>
      <c r="E123" s="2"/>
      <c r="F123" s="3"/>
      <c r="G123" s="27">
        <v>0</v>
      </c>
      <c r="H123" s="27">
        <v>0</v>
      </c>
      <c r="I123" s="2"/>
      <c r="J123" s="2"/>
      <c r="K123" s="2"/>
      <c r="L123" s="2"/>
      <c r="M123" s="2"/>
      <c r="N123" s="2"/>
    </row>
    <row r="124" spans="1:14" x14ac:dyDescent="0.25">
      <c r="A124" s="3"/>
      <c r="B124" s="20" t="s">
        <v>123</v>
      </c>
      <c r="C124" s="2"/>
      <c r="D124" s="2"/>
      <c r="E124" s="2"/>
      <c r="F124" s="3"/>
      <c r="G124" s="27">
        <v>29920.714</v>
      </c>
      <c r="H124" s="27">
        <v>77819.144</v>
      </c>
      <c r="I124" s="2"/>
      <c r="J124" s="2"/>
      <c r="K124" s="2"/>
      <c r="L124" s="2"/>
      <c r="M124" s="2"/>
      <c r="N124" s="2"/>
    </row>
    <row r="125" spans="1:14" x14ac:dyDescent="0.25">
      <c r="A125" s="3"/>
      <c r="B125" s="20" t="s">
        <v>124</v>
      </c>
      <c r="C125" s="2"/>
      <c r="D125" s="2"/>
      <c r="E125" s="2"/>
      <c r="F125" s="3"/>
      <c r="G125" s="27">
        <v>696838.79</v>
      </c>
      <c r="H125" s="27">
        <v>770607.93400000001</v>
      </c>
      <c r="I125" s="2"/>
      <c r="J125" s="2"/>
      <c r="K125" s="2"/>
      <c r="L125" s="2"/>
      <c r="M125" s="2"/>
      <c r="N125" s="2"/>
    </row>
    <row r="126" spans="1:14" x14ac:dyDescent="0.25">
      <c r="A126" s="3"/>
      <c r="B126" s="20" t="s">
        <v>125</v>
      </c>
      <c r="C126" s="2"/>
      <c r="D126" s="2"/>
      <c r="E126" s="2"/>
      <c r="F126" s="3"/>
      <c r="G126" s="31">
        <v>4.48E-2</v>
      </c>
      <c r="H126" s="31">
        <v>0.112</v>
      </c>
      <c r="I126" s="2"/>
      <c r="J126" s="2"/>
      <c r="K126" s="2"/>
      <c r="L126" s="2"/>
      <c r="M126" s="2"/>
      <c r="N126" s="2"/>
    </row>
    <row r="127" spans="1:14" x14ac:dyDescent="0.25">
      <c r="A127" s="20"/>
      <c r="B127" s="20"/>
      <c r="C127" s="2"/>
      <c r="D127" s="2"/>
      <c r="E127" s="2"/>
      <c r="F127" s="3"/>
      <c r="G127" s="20"/>
      <c r="H127" s="20"/>
      <c r="I127" s="2"/>
      <c r="J127" s="2"/>
      <c r="K127" s="2"/>
      <c r="L127" s="2"/>
      <c r="M127" s="2"/>
      <c r="N127" s="2"/>
    </row>
    <row r="128" spans="1:14" x14ac:dyDescent="0.25">
      <c r="A128" s="20" t="s">
        <v>126</v>
      </c>
      <c r="B128" s="20"/>
      <c r="C128" s="2"/>
      <c r="D128" s="2"/>
      <c r="E128" s="2"/>
      <c r="F128" s="3"/>
      <c r="G128" s="20"/>
      <c r="H128" s="20"/>
      <c r="I128" s="2"/>
      <c r="J128" s="2"/>
      <c r="K128" s="2"/>
      <c r="L128" s="2"/>
      <c r="M128" s="2"/>
      <c r="N128" s="2"/>
    </row>
    <row r="129" spans="1:14" x14ac:dyDescent="0.25">
      <c r="A129" s="3"/>
      <c r="B129" s="20" t="s">
        <v>127</v>
      </c>
      <c r="C129" s="2"/>
      <c r="D129" s="2"/>
      <c r="E129" s="2"/>
      <c r="F129" s="3"/>
      <c r="G129" s="32">
        <v>0.25</v>
      </c>
      <c r="H129" s="32">
        <v>0.25</v>
      </c>
      <c r="I129" s="2"/>
      <c r="J129" s="2"/>
      <c r="K129" s="2"/>
      <c r="L129" s="2"/>
      <c r="M129" s="2"/>
      <c r="N129" s="2"/>
    </row>
    <row r="130" spans="1:14" x14ac:dyDescent="0.25">
      <c r="A130" s="3"/>
      <c r="B130" s="20" t="s">
        <v>128</v>
      </c>
      <c r="C130" s="2"/>
      <c r="D130" s="2"/>
      <c r="E130" s="2"/>
      <c r="F130" s="3"/>
      <c r="G130" s="32">
        <v>0.15</v>
      </c>
      <c r="H130" s="32">
        <v>0.15</v>
      </c>
      <c r="I130" s="2"/>
      <c r="J130" s="2"/>
      <c r="K130" s="2"/>
      <c r="L130" s="2"/>
      <c r="M130" s="2"/>
      <c r="N130" s="2"/>
    </row>
    <row r="131" spans="1:14" x14ac:dyDescent="0.25">
      <c r="A131" s="3"/>
      <c r="B131" s="20" t="s">
        <v>129</v>
      </c>
      <c r="C131" s="2"/>
      <c r="D131" s="2"/>
      <c r="E131" s="2"/>
      <c r="F131" s="3"/>
      <c r="G131" s="32">
        <v>0.4</v>
      </c>
      <c r="H131" s="32">
        <v>0.4</v>
      </c>
      <c r="I131" s="2"/>
      <c r="J131" s="2"/>
      <c r="K131" s="2"/>
      <c r="L131" s="2"/>
      <c r="M131" s="2"/>
      <c r="N131" s="2"/>
    </row>
    <row r="132" spans="1:14" x14ac:dyDescent="0.25">
      <c r="A132" s="3"/>
      <c r="B132" s="20" t="s">
        <v>130</v>
      </c>
      <c r="C132" s="2"/>
      <c r="D132" s="2"/>
      <c r="E132" s="2"/>
      <c r="F132" s="3"/>
      <c r="G132" s="32">
        <v>0.1</v>
      </c>
      <c r="H132" s="32">
        <v>0.1</v>
      </c>
      <c r="I132" s="2"/>
      <c r="J132" s="2"/>
      <c r="K132" s="2"/>
      <c r="L132" s="2"/>
      <c r="M132" s="2"/>
      <c r="N132" s="2"/>
    </row>
    <row r="133" spans="1:14" x14ac:dyDescent="0.25">
      <c r="A133" s="3"/>
      <c r="B133" s="20" t="s">
        <v>131</v>
      </c>
      <c r="C133" s="2"/>
      <c r="D133" s="2"/>
      <c r="E133" s="2"/>
      <c r="F133" s="3"/>
      <c r="G133" s="32">
        <v>0.06</v>
      </c>
      <c r="H133" s="32">
        <v>7.0000000000000007E-2</v>
      </c>
      <c r="I133" s="2"/>
      <c r="J133" s="2"/>
      <c r="K133" s="2"/>
      <c r="L133" s="2"/>
      <c r="M133" s="2"/>
      <c r="N133" s="2"/>
    </row>
    <row r="134" spans="1:14" x14ac:dyDescent="0.25">
      <c r="A134" s="3"/>
      <c r="B134" s="20" t="s">
        <v>132</v>
      </c>
      <c r="C134" s="2"/>
      <c r="D134" s="2"/>
      <c r="E134" s="2"/>
      <c r="F134" s="3"/>
      <c r="G134" s="33">
        <v>0.04</v>
      </c>
      <c r="H134" s="33">
        <v>0.03</v>
      </c>
      <c r="I134" s="2"/>
      <c r="J134" s="2"/>
      <c r="K134" s="2"/>
      <c r="L134" s="2"/>
      <c r="M134" s="2"/>
      <c r="N134" s="2"/>
    </row>
    <row r="135" spans="1:14" x14ac:dyDescent="0.25">
      <c r="A135" s="3"/>
      <c r="B135" s="20" t="s">
        <v>133</v>
      </c>
      <c r="C135" s="2"/>
      <c r="D135" s="2"/>
      <c r="E135" s="2"/>
      <c r="F135" s="3"/>
      <c r="G135" s="32">
        <v>1</v>
      </c>
      <c r="H135" s="32">
        <v>1</v>
      </c>
      <c r="I135" s="2"/>
      <c r="J135" s="2"/>
      <c r="K135" s="2"/>
      <c r="L135" s="2"/>
      <c r="M135" s="2"/>
      <c r="N135" s="2"/>
    </row>
    <row r="136" spans="1:14" x14ac:dyDescent="0.25">
      <c r="A136" s="20"/>
      <c r="B136" s="20"/>
      <c r="C136" s="2"/>
      <c r="D136" s="2"/>
      <c r="E136" s="2"/>
      <c r="F136" s="3"/>
      <c r="G136" s="20"/>
      <c r="H136" s="20"/>
      <c r="I136" s="2"/>
      <c r="J136" s="2"/>
      <c r="K136" s="2"/>
      <c r="L136" s="2"/>
      <c r="M136" s="2"/>
      <c r="N136" s="2"/>
    </row>
    <row r="137" spans="1:14" x14ac:dyDescent="0.25">
      <c r="A137" s="20" t="s">
        <v>134</v>
      </c>
      <c r="B137" s="20"/>
      <c r="C137" s="2"/>
      <c r="D137" s="2"/>
      <c r="E137" s="2"/>
      <c r="F137" s="3"/>
      <c r="G137" s="30">
        <v>9</v>
      </c>
      <c r="H137" s="30">
        <v>9</v>
      </c>
      <c r="I137" s="2"/>
      <c r="J137" s="2"/>
      <c r="K137" s="2"/>
      <c r="L137" s="2"/>
      <c r="M137" s="2"/>
      <c r="N137" s="2"/>
    </row>
    <row r="138" spans="1:14" x14ac:dyDescent="0.25">
      <c r="A138" s="20"/>
      <c r="B138" s="20"/>
      <c r="C138" s="2"/>
      <c r="D138" s="2"/>
      <c r="E138" s="2"/>
      <c r="F138" s="3"/>
      <c r="G138" s="20"/>
      <c r="H138" s="20"/>
      <c r="I138" s="2"/>
      <c r="J138" s="2"/>
      <c r="K138" s="2"/>
      <c r="L138" s="2"/>
      <c r="M138" s="2"/>
      <c r="N138" s="2"/>
    </row>
    <row r="139" spans="1:14" x14ac:dyDescent="0.25">
      <c r="A139" s="20" t="s">
        <v>135</v>
      </c>
      <c r="B139" s="20"/>
      <c r="C139" s="2"/>
      <c r="D139" s="2"/>
      <c r="E139" s="2"/>
      <c r="F139" s="3"/>
      <c r="G139" s="20"/>
      <c r="H139" s="20"/>
      <c r="I139" s="2"/>
      <c r="J139" s="2"/>
      <c r="K139" s="2"/>
      <c r="L139" s="2"/>
      <c r="M139" s="2"/>
      <c r="N139" s="2"/>
    </row>
    <row r="140" spans="1:14" x14ac:dyDescent="0.25">
      <c r="A140" s="3"/>
      <c r="B140" s="20" t="s">
        <v>127</v>
      </c>
      <c r="C140" s="2"/>
      <c r="D140" s="2"/>
      <c r="E140" s="2"/>
      <c r="F140" s="3"/>
      <c r="G140" s="32">
        <v>0.04</v>
      </c>
      <c r="H140" s="32">
        <v>0.2</v>
      </c>
      <c r="I140" s="2"/>
      <c r="J140" s="2"/>
      <c r="K140" s="2"/>
      <c r="L140" s="2"/>
      <c r="M140" s="2"/>
      <c r="N140" s="2"/>
    </row>
    <row r="141" spans="1:14" x14ac:dyDescent="0.25">
      <c r="A141" s="3"/>
      <c r="B141" s="20" t="s">
        <v>128</v>
      </c>
      <c r="C141" s="2"/>
      <c r="D141" s="2"/>
      <c r="E141" s="2"/>
      <c r="F141" s="3"/>
      <c r="G141" s="32">
        <v>0.02</v>
      </c>
      <c r="H141" s="32">
        <v>0.25</v>
      </c>
      <c r="I141" s="2"/>
      <c r="J141" s="2"/>
      <c r="K141" s="2"/>
      <c r="L141" s="2"/>
      <c r="M141" s="2"/>
      <c r="N141" s="2"/>
    </row>
    <row r="142" spans="1:14" x14ac:dyDescent="0.25">
      <c r="A142" s="3"/>
      <c r="B142" s="20" t="s">
        <v>129</v>
      </c>
      <c r="C142" s="2"/>
      <c r="D142" s="2"/>
      <c r="E142" s="2"/>
      <c r="F142" s="3"/>
      <c r="G142" s="32">
        <v>0.06</v>
      </c>
      <c r="H142" s="32">
        <v>0.02</v>
      </c>
      <c r="I142" s="2"/>
      <c r="J142" s="2"/>
      <c r="K142" s="2"/>
      <c r="L142" s="2"/>
      <c r="M142" s="2"/>
      <c r="N142" s="2"/>
    </row>
    <row r="143" spans="1:14" x14ac:dyDescent="0.25">
      <c r="A143" s="3"/>
      <c r="B143" s="20" t="s">
        <v>130</v>
      </c>
      <c r="C143" s="2"/>
      <c r="D143" s="2"/>
      <c r="E143" s="2"/>
      <c r="F143" s="3"/>
      <c r="G143" s="32">
        <v>0.03</v>
      </c>
      <c r="H143" s="32">
        <v>0.13</v>
      </c>
      <c r="I143" s="2"/>
      <c r="J143" s="2"/>
      <c r="K143" s="2"/>
      <c r="L143" s="2"/>
      <c r="M143" s="2"/>
      <c r="N143" s="2"/>
    </row>
    <row r="144" spans="1:14" x14ac:dyDescent="0.25">
      <c r="A144" s="3"/>
      <c r="B144" s="20" t="s">
        <v>131</v>
      </c>
      <c r="C144" s="2"/>
      <c r="D144" s="2"/>
      <c r="E144" s="2"/>
      <c r="F144" s="3"/>
      <c r="G144" s="32">
        <v>0.08</v>
      </c>
      <c r="H144" s="32">
        <v>0.05</v>
      </c>
      <c r="I144" s="2"/>
      <c r="J144" s="2"/>
      <c r="K144" s="2"/>
      <c r="L144" s="2"/>
      <c r="M144" s="2"/>
      <c r="N144" s="2"/>
    </row>
    <row r="145" spans="1:14" x14ac:dyDescent="0.25">
      <c r="A145" s="3"/>
      <c r="B145" s="20" t="s">
        <v>132</v>
      </c>
      <c r="C145" s="2"/>
      <c r="D145" s="2"/>
      <c r="E145" s="2"/>
      <c r="F145" s="3"/>
      <c r="G145" s="32">
        <v>0</v>
      </c>
      <c r="H145" s="32">
        <v>0</v>
      </c>
      <c r="I145" s="2"/>
      <c r="J145" s="2"/>
      <c r="K145" s="2"/>
      <c r="L145" s="2"/>
      <c r="M145" s="2"/>
      <c r="N145" s="2"/>
    </row>
    <row r="146" spans="1:14" x14ac:dyDescent="0.25">
      <c r="A146" s="20"/>
      <c r="B146" s="20"/>
      <c r="C146" s="2"/>
      <c r="D146" s="2"/>
      <c r="E146" s="2"/>
      <c r="F146" s="3"/>
      <c r="G146" s="20"/>
      <c r="H146" s="20"/>
      <c r="I146" s="2"/>
      <c r="J146" s="2"/>
      <c r="K146" s="2"/>
      <c r="L146" s="2"/>
      <c r="M146" s="2"/>
      <c r="N146" s="2"/>
    </row>
    <row r="147" spans="1:14" x14ac:dyDescent="0.25">
      <c r="A147" s="20" t="s">
        <v>136</v>
      </c>
      <c r="B147" s="3"/>
      <c r="C147" s="2"/>
      <c r="D147" s="2"/>
      <c r="E147" s="2"/>
      <c r="F147" s="3"/>
      <c r="G147" s="20"/>
      <c r="H147" s="20"/>
      <c r="I147" s="2"/>
      <c r="J147" s="2"/>
      <c r="K147" s="2"/>
      <c r="L147" s="2"/>
      <c r="M147" s="2"/>
      <c r="N147" s="2"/>
    </row>
    <row r="148" spans="1:14" x14ac:dyDescent="0.25">
      <c r="A148" s="20"/>
      <c r="B148" s="20"/>
      <c r="C148" s="2"/>
      <c r="D148" s="2"/>
      <c r="E148" s="2"/>
      <c r="F148" s="3"/>
      <c r="G148" s="20"/>
      <c r="H148" s="20"/>
      <c r="I148" s="2"/>
      <c r="J148" s="2"/>
      <c r="K148" s="2"/>
      <c r="L148" s="2"/>
      <c r="M148" s="2"/>
      <c r="N148" s="2"/>
    </row>
    <row r="149" spans="1:14" x14ac:dyDescent="0.25">
      <c r="A149" s="20"/>
      <c r="B149" s="20"/>
      <c r="C149" s="2"/>
      <c r="D149" s="2"/>
      <c r="E149" s="2"/>
      <c r="F149" s="3"/>
      <c r="G149" s="20"/>
      <c r="H149" s="20"/>
      <c r="I149" s="2"/>
      <c r="J149" s="2"/>
      <c r="K149" s="2"/>
      <c r="L149" s="2"/>
      <c r="M149" s="2"/>
      <c r="N149" s="2"/>
    </row>
    <row r="150" spans="1:14" ht="15.6" x14ac:dyDescent="0.25">
      <c r="A150" s="29" t="s">
        <v>137</v>
      </c>
      <c r="B150" s="20"/>
      <c r="C150" s="2"/>
      <c r="D150" s="2"/>
      <c r="E150" s="2"/>
      <c r="F150" s="3"/>
      <c r="G150" s="19"/>
      <c r="H150" s="19"/>
      <c r="I150" s="2"/>
      <c r="J150" s="2"/>
      <c r="K150" s="2"/>
      <c r="L150" s="2"/>
      <c r="M150" s="2"/>
      <c r="N150" s="2"/>
    </row>
    <row r="151" spans="1:14" x14ac:dyDescent="0.25">
      <c r="A151" s="20"/>
      <c r="B151" s="20"/>
      <c r="C151" s="2"/>
      <c r="D151" s="2"/>
      <c r="E151" s="2"/>
      <c r="F151" s="3"/>
      <c r="G151" s="20"/>
      <c r="H151" s="20"/>
      <c r="I151" s="2"/>
      <c r="J151" s="2"/>
      <c r="K151" s="2"/>
      <c r="L151" s="2"/>
      <c r="M151" s="2"/>
      <c r="N151" s="2"/>
    </row>
    <row r="152" spans="1:14" x14ac:dyDescent="0.25">
      <c r="A152" s="20" t="s">
        <v>138</v>
      </c>
      <c r="B152" s="20"/>
      <c r="C152" s="2"/>
      <c r="D152" s="2"/>
      <c r="E152" s="2"/>
      <c r="F152" s="3"/>
      <c r="G152" s="20"/>
      <c r="H152" s="20"/>
      <c r="I152" s="2"/>
      <c r="J152" s="2"/>
      <c r="K152" s="2"/>
      <c r="L152" s="2"/>
      <c r="M152" s="2"/>
      <c r="N152" s="2"/>
    </row>
    <row r="153" spans="1:14" x14ac:dyDescent="0.25">
      <c r="A153" s="2"/>
      <c r="B153" s="20" t="s">
        <v>139</v>
      </c>
      <c r="C153" s="2"/>
      <c r="D153" s="2"/>
      <c r="E153" s="2"/>
      <c r="F153" s="3"/>
      <c r="G153" s="27">
        <v>-980347.93400000001</v>
      </c>
      <c r="H153" s="27">
        <v>-965512.1</v>
      </c>
      <c r="I153" s="2"/>
      <c r="J153" s="2"/>
      <c r="K153" s="2"/>
      <c r="L153" s="2"/>
      <c r="M153" s="2"/>
      <c r="N153" s="2"/>
    </row>
    <row r="154" spans="1:14" x14ac:dyDescent="0.25">
      <c r="A154" s="2"/>
      <c r="B154" s="20" t="s">
        <v>140</v>
      </c>
      <c r="C154" s="2"/>
      <c r="D154" s="2"/>
      <c r="E154" s="2"/>
      <c r="F154" s="3"/>
      <c r="G154" s="27"/>
      <c r="H154" s="27"/>
      <c r="I154" s="2"/>
      <c r="J154" s="2"/>
      <c r="K154" s="2"/>
      <c r="L154" s="2"/>
      <c r="M154" s="2"/>
      <c r="N154" s="2"/>
    </row>
    <row r="155" spans="1:14" x14ac:dyDescent="0.25">
      <c r="A155" s="2"/>
      <c r="B155" s="2"/>
      <c r="C155" s="20" t="s">
        <v>141</v>
      </c>
      <c r="D155" s="2"/>
      <c r="E155" s="2"/>
      <c r="F155" s="3"/>
      <c r="G155" s="27">
        <v>-1112326.3329516877</v>
      </c>
      <c r="H155" s="27">
        <v>-1093103.1724806032</v>
      </c>
      <c r="I155" s="2"/>
      <c r="J155" s="2"/>
      <c r="K155" s="2"/>
      <c r="L155" s="2"/>
      <c r="M155" s="2"/>
      <c r="N155" s="2"/>
    </row>
    <row r="156" spans="1:14" x14ac:dyDescent="0.25">
      <c r="A156" s="2"/>
      <c r="B156" s="2"/>
      <c r="C156" s="20" t="s">
        <v>142</v>
      </c>
      <c r="D156" s="2"/>
      <c r="E156" s="2"/>
      <c r="F156" s="3"/>
      <c r="G156" s="27">
        <v>-52413.283000000003</v>
      </c>
      <c r="H156" s="27">
        <v>-53909.599999999999</v>
      </c>
      <c r="I156" s="2"/>
      <c r="J156" s="2"/>
      <c r="K156" s="2"/>
      <c r="L156" s="2"/>
      <c r="M156" s="2"/>
      <c r="N156" s="2"/>
    </row>
    <row r="157" spans="1:14" x14ac:dyDescent="0.25">
      <c r="A157" s="2"/>
      <c r="B157" s="2"/>
      <c r="C157" s="20" t="s">
        <v>143</v>
      </c>
      <c r="D157" s="2"/>
      <c r="E157" s="2"/>
      <c r="F157" s="3"/>
      <c r="G157" s="27">
        <v>-1164739.6159516878</v>
      </c>
      <c r="H157" s="27">
        <v>-1147012.7724806033</v>
      </c>
      <c r="I157" s="2"/>
      <c r="J157" s="2"/>
      <c r="K157" s="2"/>
      <c r="L157" s="2"/>
      <c r="M157" s="2"/>
      <c r="N157" s="2"/>
    </row>
    <row r="158" spans="1:14" x14ac:dyDescent="0.25">
      <c r="A158" s="2"/>
      <c r="B158" s="20" t="s">
        <v>144</v>
      </c>
      <c r="C158" s="2"/>
      <c r="D158" s="2"/>
      <c r="E158" s="2"/>
      <c r="F158" s="3"/>
      <c r="G158" s="27">
        <v>696838.79</v>
      </c>
      <c r="H158" s="27">
        <v>770607.93400000001</v>
      </c>
      <c r="I158" s="2"/>
      <c r="J158" s="2"/>
      <c r="K158" s="2"/>
      <c r="L158" s="2"/>
      <c r="M158" s="2"/>
      <c r="N158" s="2"/>
    </row>
    <row r="159" spans="1:14" x14ac:dyDescent="0.25">
      <c r="A159" s="2"/>
      <c r="B159" s="20" t="s">
        <v>145</v>
      </c>
      <c r="C159" s="2"/>
      <c r="D159" s="2"/>
      <c r="E159" s="2"/>
      <c r="F159" s="3"/>
      <c r="G159" s="27">
        <v>-467900.82595168782</v>
      </c>
      <c r="H159" s="27">
        <v>-376404.83848060324</v>
      </c>
      <c r="I159" s="2"/>
      <c r="J159" s="2"/>
      <c r="K159" s="2"/>
      <c r="L159" s="2"/>
      <c r="M159" s="2"/>
      <c r="N159" s="2"/>
    </row>
    <row r="160" spans="1:14" x14ac:dyDescent="0.25">
      <c r="A160" s="2"/>
      <c r="B160" s="20" t="s">
        <v>146</v>
      </c>
      <c r="C160" s="2"/>
      <c r="D160" s="2"/>
      <c r="E160" s="2"/>
      <c r="F160" s="3"/>
      <c r="G160" s="27">
        <v>105507.88626821191</v>
      </c>
      <c r="H160" s="27">
        <v>-11215.716078521669</v>
      </c>
      <c r="I160" s="2"/>
      <c r="J160" s="2"/>
      <c r="K160" s="2"/>
      <c r="L160" s="2"/>
      <c r="M160" s="2"/>
      <c r="N160" s="2"/>
    </row>
    <row r="161" spans="1:14" x14ac:dyDescent="0.25">
      <c r="A161" s="20"/>
      <c r="B161" s="20"/>
      <c r="C161" s="2"/>
      <c r="D161" s="2"/>
      <c r="E161" s="2"/>
      <c r="F161" s="3"/>
      <c r="G161" s="27"/>
      <c r="H161" s="27"/>
      <c r="I161" s="2"/>
      <c r="J161" s="2"/>
      <c r="K161" s="2"/>
      <c r="L161" s="2"/>
      <c r="M161" s="2"/>
      <c r="N161" s="2"/>
    </row>
    <row r="162" spans="1:14" x14ac:dyDescent="0.25">
      <c r="A162" s="20" t="s">
        <v>147</v>
      </c>
      <c r="B162" s="20"/>
      <c r="C162" s="2"/>
      <c r="D162" s="2"/>
      <c r="E162" s="2"/>
      <c r="F162" s="3"/>
      <c r="G162" s="27"/>
      <c r="H162" s="27"/>
      <c r="I162" s="2"/>
      <c r="J162" s="2"/>
      <c r="K162" s="2"/>
      <c r="L162" s="2"/>
      <c r="M162" s="2"/>
      <c r="N162" s="2"/>
    </row>
    <row r="163" spans="1:14" x14ac:dyDescent="0.25">
      <c r="A163" s="2"/>
      <c r="B163" s="20" t="s">
        <v>148</v>
      </c>
      <c r="C163" s="2"/>
      <c r="D163" s="2"/>
      <c r="E163" s="2"/>
      <c r="F163" s="3"/>
      <c r="G163" s="27">
        <v>59347.179544540406</v>
      </c>
      <c r="H163" s="27">
        <v>57279.696546994426</v>
      </c>
      <c r="I163" s="2"/>
      <c r="J163" s="2"/>
      <c r="K163" s="2"/>
      <c r="L163" s="2"/>
      <c r="M163" s="2"/>
      <c r="N163" s="2"/>
    </row>
    <row r="164" spans="1:14" x14ac:dyDescent="0.25">
      <c r="A164" s="2"/>
      <c r="B164" s="20" t="s">
        <v>149</v>
      </c>
      <c r="C164" s="2"/>
      <c r="D164" s="2"/>
      <c r="E164" s="2"/>
      <c r="F164" s="3"/>
      <c r="G164" s="27">
        <v>45155.129831108556</v>
      </c>
      <c r="H164" s="27">
        <v>50295.242433672902</v>
      </c>
      <c r="I164" s="2"/>
      <c r="J164" s="2"/>
      <c r="K164" s="2"/>
      <c r="L164" s="2"/>
      <c r="M164" s="2"/>
      <c r="N164" s="2"/>
    </row>
    <row r="165" spans="1:14" x14ac:dyDescent="0.25">
      <c r="A165" s="2"/>
      <c r="B165" s="20" t="s">
        <v>150</v>
      </c>
      <c r="C165" s="2"/>
      <c r="D165" s="2"/>
      <c r="E165" s="2"/>
      <c r="F165" s="3"/>
      <c r="G165" s="27">
        <v>-43425.826500000003</v>
      </c>
      <c r="H165" s="27">
        <v>-49954.160295000001</v>
      </c>
      <c r="I165" s="2"/>
      <c r="J165" s="2"/>
      <c r="K165" s="2"/>
      <c r="L165" s="2"/>
      <c r="M165" s="2"/>
      <c r="N165" s="2"/>
    </row>
    <row r="166" spans="1:14" x14ac:dyDescent="0.25">
      <c r="A166" s="2"/>
      <c r="B166" s="20" t="s">
        <v>151</v>
      </c>
      <c r="C166" s="2"/>
      <c r="D166" s="2"/>
      <c r="E166" s="2"/>
      <c r="F166" s="3"/>
      <c r="G166" s="27">
        <v>0</v>
      </c>
      <c r="H166" s="27">
        <v>0</v>
      </c>
      <c r="I166" s="2"/>
      <c r="J166" s="2"/>
      <c r="K166" s="2"/>
      <c r="L166" s="2"/>
      <c r="M166" s="2"/>
      <c r="N166" s="2"/>
    </row>
    <row r="167" spans="1:14" x14ac:dyDescent="0.25">
      <c r="A167" s="2"/>
      <c r="B167" s="20" t="s">
        <v>152</v>
      </c>
      <c r="C167" s="2"/>
      <c r="D167" s="2"/>
      <c r="E167" s="2"/>
      <c r="F167" s="3"/>
      <c r="G167" s="27">
        <v>0</v>
      </c>
      <c r="H167" s="27">
        <v>0</v>
      </c>
      <c r="I167" s="2"/>
      <c r="J167" s="2"/>
      <c r="K167" s="2"/>
      <c r="L167" s="2"/>
      <c r="M167" s="2"/>
      <c r="N167" s="2"/>
    </row>
    <row r="168" spans="1:14" x14ac:dyDescent="0.25">
      <c r="A168" s="2"/>
      <c r="B168" s="20" t="s">
        <v>153</v>
      </c>
      <c r="C168" s="2"/>
      <c r="D168" s="2"/>
      <c r="E168" s="2"/>
      <c r="F168" s="3"/>
      <c r="G168" s="27">
        <v>61076.482875648959</v>
      </c>
      <c r="H168" s="27">
        <v>57620.778685667319</v>
      </c>
      <c r="I168" s="2"/>
      <c r="J168" s="2"/>
      <c r="K168" s="2"/>
      <c r="L168" s="2"/>
      <c r="M168" s="2"/>
      <c r="N168" s="2"/>
    </row>
    <row r="169" spans="1:14" x14ac:dyDescent="0.25">
      <c r="A169" s="2"/>
      <c r="B169" s="20" t="s">
        <v>154</v>
      </c>
      <c r="C169" s="2"/>
      <c r="D169" s="2"/>
      <c r="E169" s="2"/>
      <c r="F169" s="3"/>
      <c r="G169" s="20"/>
      <c r="H169" s="20"/>
      <c r="I169" s="2"/>
      <c r="J169" s="2"/>
      <c r="K169" s="2"/>
      <c r="L169" s="2"/>
      <c r="M169" s="2"/>
      <c r="N169" s="2"/>
    </row>
    <row r="170" spans="1:14" x14ac:dyDescent="0.25">
      <c r="A170" s="20"/>
      <c r="B170" s="20"/>
      <c r="C170" s="2"/>
      <c r="D170" s="2"/>
      <c r="E170" s="2"/>
      <c r="F170" s="3"/>
      <c r="G170" s="20"/>
      <c r="H170" s="20"/>
      <c r="I170" s="2"/>
      <c r="J170" s="2"/>
      <c r="K170" s="2"/>
      <c r="L170" s="2"/>
      <c r="M170" s="2"/>
      <c r="N170" s="2"/>
    </row>
    <row r="171" spans="1:14" x14ac:dyDescent="0.25">
      <c r="A171" s="20" t="s">
        <v>155</v>
      </c>
      <c r="B171" s="20"/>
      <c r="C171" s="2"/>
      <c r="D171" s="2"/>
      <c r="E171" s="2"/>
      <c r="F171" s="3"/>
      <c r="G171" s="20"/>
      <c r="H171" s="20"/>
      <c r="I171" s="2"/>
      <c r="J171" s="2"/>
      <c r="K171" s="2"/>
      <c r="L171" s="2"/>
      <c r="M171" s="2"/>
      <c r="N171" s="2"/>
    </row>
    <row r="172" spans="1:14" x14ac:dyDescent="0.25">
      <c r="A172" s="2"/>
      <c r="B172" s="20" t="s">
        <v>156</v>
      </c>
      <c r="C172" s="2"/>
      <c r="D172" s="2"/>
      <c r="E172" s="2"/>
      <c r="F172" s="3"/>
      <c r="G172" s="31">
        <v>3.7499999999999999E-2</v>
      </c>
      <c r="H172" s="31">
        <v>4.2500000000000003E-2</v>
      </c>
      <c r="I172" s="2"/>
      <c r="J172" s="2"/>
      <c r="K172" s="2"/>
      <c r="L172" s="2"/>
      <c r="M172" s="2"/>
      <c r="N172" s="2"/>
    </row>
    <row r="173" spans="1:14" x14ac:dyDescent="0.25">
      <c r="A173" s="2"/>
      <c r="B173" s="20" t="s">
        <v>157</v>
      </c>
      <c r="C173" s="2"/>
      <c r="D173" s="2"/>
      <c r="E173" s="2"/>
      <c r="F173" s="3"/>
      <c r="G173" s="31">
        <v>6.25E-2</v>
      </c>
      <c r="H173" s="31">
        <v>6.5000000000000002E-2</v>
      </c>
      <c r="I173" s="2"/>
      <c r="J173" s="2"/>
      <c r="K173" s="2"/>
      <c r="L173" s="2"/>
      <c r="M173" s="2"/>
      <c r="N173" s="2"/>
    </row>
    <row r="174" spans="1:14" ht="45" x14ac:dyDescent="0.25">
      <c r="A174" s="2"/>
      <c r="B174" s="20" t="s">
        <v>158</v>
      </c>
      <c r="C174" s="2"/>
      <c r="D174" s="2"/>
      <c r="E174" s="2"/>
      <c r="F174" s="3"/>
      <c r="G174" s="71" t="s">
        <v>159</v>
      </c>
      <c r="H174" s="71" t="s">
        <v>256</v>
      </c>
      <c r="I174" s="2"/>
      <c r="J174" s="2"/>
      <c r="K174" s="2"/>
      <c r="L174" s="2"/>
      <c r="M174" s="2"/>
      <c r="N174" s="2"/>
    </row>
    <row r="175" spans="1:14" x14ac:dyDescent="0.25">
      <c r="A175" s="2"/>
      <c r="B175" s="20" t="s">
        <v>160</v>
      </c>
      <c r="C175" s="2"/>
      <c r="D175" s="2"/>
      <c r="E175" s="2"/>
      <c r="F175" s="3"/>
      <c r="G175" s="31">
        <v>0.03</v>
      </c>
      <c r="H175" s="31">
        <v>0.03</v>
      </c>
      <c r="I175" s="2"/>
      <c r="J175" s="2"/>
      <c r="K175" s="2"/>
      <c r="L175" s="2"/>
      <c r="M175" s="2"/>
      <c r="N175" s="2"/>
    </row>
    <row r="176" spans="1:14" x14ac:dyDescent="0.25">
      <c r="A176" s="2"/>
      <c r="B176" s="20" t="s">
        <v>161</v>
      </c>
      <c r="C176" s="2"/>
      <c r="D176" s="2"/>
      <c r="E176" s="2"/>
      <c r="F176" s="3"/>
      <c r="G176" s="31">
        <v>2.75E-2</v>
      </c>
      <c r="H176" s="31">
        <v>2.5000000000000001E-2</v>
      </c>
      <c r="I176" s="2"/>
      <c r="J176" s="2"/>
      <c r="K176" s="2"/>
      <c r="L176" s="2"/>
      <c r="M176" s="2"/>
      <c r="N176" s="2"/>
    </row>
    <row r="177" spans="1:14" x14ac:dyDescent="0.25">
      <c r="A177" s="2"/>
      <c r="B177" s="20" t="s">
        <v>162</v>
      </c>
      <c r="C177" s="2"/>
      <c r="D177" s="2"/>
      <c r="E177" s="2"/>
      <c r="F177" s="3"/>
      <c r="G177" s="20" t="s">
        <v>163</v>
      </c>
      <c r="H177" s="20"/>
      <c r="I177" s="2"/>
      <c r="J177" s="2"/>
      <c r="K177" s="2"/>
      <c r="L177" s="2"/>
      <c r="M177" s="2"/>
      <c r="N177" s="2"/>
    </row>
    <row r="178" spans="1:14" x14ac:dyDescent="0.25">
      <c r="A178" s="2"/>
      <c r="B178" s="20" t="s">
        <v>164</v>
      </c>
      <c r="C178" s="2"/>
      <c r="D178" s="2"/>
      <c r="E178" s="2"/>
      <c r="F178" s="3"/>
      <c r="G178" s="20" t="s">
        <v>165</v>
      </c>
      <c r="H178" s="20"/>
      <c r="I178" s="2"/>
      <c r="J178" s="2"/>
      <c r="K178" s="2"/>
      <c r="L178" s="2"/>
      <c r="M178" s="2"/>
      <c r="N178" s="2"/>
    </row>
    <row r="179" spans="1:14" x14ac:dyDescent="0.25">
      <c r="A179" s="2"/>
      <c r="B179" s="20" t="s">
        <v>166</v>
      </c>
      <c r="C179" s="2"/>
      <c r="D179" s="2"/>
      <c r="E179" s="2"/>
      <c r="F179" s="3"/>
      <c r="G179" s="20" t="s">
        <v>167</v>
      </c>
      <c r="H179" s="20"/>
      <c r="I179" s="2"/>
      <c r="J179" s="2"/>
      <c r="K179" s="2"/>
      <c r="L179" s="2"/>
      <c r="M179" s="2"/>
      <c r="N179" s="2"/>
    </row>
    <row r="180" spans="1:14" x14ac:dyDescent="0.25">
      <c r="A180" s="2"/>
      <c r="B180" s="20" t="s">
        <v>168</v>
      </c>
      <c r="C180" s="2"/>
      <c r="D180" s="2"/>
      <c r="E180" s="2"/>
      <c r="F180" s="3"/>
      <c r="G180" s="20" t="s">
        <v>169</v>
      </c>
      <c r="H180" s="20"/>
      <c r="I180" s="2"/>
      <c r="J180" s="2"/>
      <c r="K180" s="2"/>
      <c r="L180" s="2"/>
      <c r="M180" s="2"/>
      <c r="N180" s="2"/>
    </row>
    <row r="181" spans="1:14" x14ac:dyDescent="0.25">
      <c r="A181" s="2"/>
      <c r="B181" s="20" t="s">
        <v>170</v>
      </c>
      <c r="C181" s="2"/>
      <c r="D181" s="2"/>
      <c r="E181" s="2"/>
      <c r="F181" s="3"/>
      <c r="G181" s="20" t="s">
        <v>171</v>
      </c>
      <c r="H181" s="20"/>
      <c r="I181" s="2"/>
      <c r="J181" s="2"/>
      <c r="K181" s="2"/>
      <c r="L181" s="2"/>
      <c r="M181" s="2"/>
      <c r="N181" s="2"/>
    </row>
    <row r="182" spans="1:14" x14ac:dyDescent="0.25">
      <c r="A182" s="2"/>
      <c r="B182" s="20" t="s">
        <v>172</v>
      </c>
      <c r="C182" s="2"/>
      <c r="D182" s="2"/>
      <c r="E182" s="2"/>
      <c r="F182" s="3"/>
      <c r="G182" s="20" t="s">
        <v>173</v>
      </c>
      <c r="H182" s="20"/>
      <c r="I182" s="2"/>
      <c r="J182" s="2"/>
      <c r="K182" s="2"/>
      <c r="L182" s="2"/>
      <c r="M182" s="2"/>
      <c r="N182" s="2"/>
    </row>
    <row r="183" spans="1:14" x14ac:dyDescent="0.25">
      <c r="A183" s="2"/>
      <c r="B183" s="20" t="s">
        <v>174</v>
      </c>
      <c r="C183" s="2"/>
      <c r="D183" s="2"/>
      <c r="E183" s="2"/>
      <c r="F183" s="3"/>
      <c r="G183" s="27">
        <v>35848.868000000002</v>
      </c>
      <c r="H183" s="27">
        <v>37585.218000000001</v>
      </c>
      <c r="I183" s="2"/>
      <c r="J183" s="2"/>
      <c r="K183" s="2"/>
      <c r="L183" s="2"/>
      <c r="M183" s="2"/>
      <c r="N183" s="2"/>
    </row>
    <row r="184" spans="1:14" x14ac:dyDescent="0.25">
      <c r="A184" s="2"/>
      <c r="B184" s="20" t="s">
        <v>175</v>
      </c>
      <c r="C184" s="2"/>
      <c r="D184" s="2"/>
      <c r="E184" s="2"/>
      <c r="F184" s="3"/>
      <c r="G184" s="27">
        <v>-39900</v>
      </c>
      <c r="H184" s="27">
        <v>-41750</v>
      </c>
      <c r="I184" s="2"/>
      <c r="J184" s="2"/>
      <c r="K184" s="2"/>
      <c r="L184" s="2"/>
      <c r="M184" s="2"/>
      <c r="N184" s="2"/>
    </row>
    <row r="185" spans="1:14" x14ac:dyDescent="0.25">
      <c r="A185" s="2"/>
      <c r="B185" s="20" t="s">
        <v>176</v>
      </c>
      <c r="C185" s="2"/>
      <c r="D185" s="2"/>
      <c r="E185" s="2"/>
      <c r="F185" s="3"/>
      <c r="G185" s="20" t="s">
        <v>177</v>
      </c>
      <c r="H185" s="20"/>
      <c r="I185" s="2"/>
      <c r="J185" s="2"/>
      <c r="K185" s="2"/>
      <c r="L185" s="2"/>
      <c r="M185" s="2"/>
      <c r="N185" s="2"/>
    </row>
    <row r="186" spans="1:14" x14ac:dyDescent="0.25">
      <c r="A186" s="20"/>
      <c r="B186" s="20"/>
      <c r="C186" s="20"/>
      <c r="D186" s="20"/>
      <c r="E186" s="20"/>
      <c r="F186" s="3"/>
      <c r="G186" s="2"/>
      <c r="H186" s="2"/>
      <c r="I186" s="2"/>
      <c r="J186" s="2"/>
      <c r="K186" s="2"/>
      <c r="L186" s="2"/>
      <c r="M186" s="2"/>
      <c r="N186" s="2"/>
    </row>
    <row r="187" spans="1:14" x14ac:dyDescent="0.25">
      <c r="A187" s="2" t="s">
        <v>136</v>
      </c>
      <c r="B187" s="2"/>
      <c r="C187" s="20"/>
      <c r="D187" s="20"/>
      <c r="E187" s="20"/>
      <c r="F187" s="3"/>
      <c r="G187" s="2"/>
      <c r="H187" s="2"/>
      <c r="I187" s="2"/>
      <c r="J187" s="2"/>
      <c r="K187" s="2"/>
      <c r="L187" s="2"/>
      <c r="M187" s="2"/>
      <c r="N187" s="2"/>
    </row>
    <row r="188" spans="1:14" x14ac:dyDescent="0.25">
      <c r="A188" s="2"/>
      <c r="B188" s="20"/>
      <c r="C188" s="20"/>
      <c r="D188" s="20"/>
      <c r="E188" s="20"/>
      <c r="F188" s="3"/>
      <c r="G188" s="2"/>
      <c r="H188" s="2"/>
      <c r="I188" s="2"/>
      <c r="J188" s="2"/>
      <c r="K188" s="2"/>
      <c r="L188" s="2"/>
      <c r="M188" s="2"/>
      <c r="N188" s="2"/>
    </row>
    <row r="189" spans="1:14" x14ac:dyDescent="0.25">
      <c r="A189" s="3"/>
      <c r="B189" s="3"/>
      <c r="C189" s="3"/>
      <c r="D189" s="3"/>
      <c r="E189" s="3"/>
      <c r="F189" s="3"/>
      <c r="G189" s="2"/>
      <c r="H189" s="2"/>
      <c r="I189" s="2"/>
      <c r="J189" s="2"/>
      <c r="K189" s="2"/>
      <c r="L189" s="2"/>
      <c r="M189" s="2"/>
      <c r="N189" s="2"/>
    </row>
    <row r="190" spans="1:14" x14ac:dyDescent="0.25">
      <c r="A190" s="3"/>
      <c r="B190" s="3"/>
      <c r="C190" s="3"/>
      <c r="D190" s="3"/>
      <c r="E190" s="3"/>
      <c r="F190" s="3"/>
      <c r="G190" s="2"/>
      <c r="H190" s="2"/>
      <c r="I190" s="2"/>
      <c r="J190" s="2"/>
      <c r="K190" s="2"/>
      <c r="L190" s="2"/>
      <c r="M190" s="2"/>
      <c r="N190" s="2"/>
    </row>
    <row r="191" spans="1:14" x14ac:dyDescent="0.25">
      <c r="A191" s="3"/>
      <c r="B191" s="3"/>
      <c r="C191" s="3"/>
      <c r="D191" s="3"/>
      <c r="E191" s="3"/>
      <c r="F191" s="3"/>
      <c r="G191" s="2"/>
      <c r="H191" s="2"/>
      <c r="I191" s="2"/>
      <c r="J191" s="2"/>
      <c r="K191" s="2"/>
      <c r="L191" s="2"/>
      <c r="M191" s="2"/>
      <c r="N191" s="2"/>
    </row>
    <row r="192" spans="1:14" x14ac:dyDescent="0.25">
      <c r="A192" s="3"/>
      <c r="B192" s="3"/>
      <c r="C192" s="3"/>
      <c r="D192" s="3"/>
      <c r="E192" s="3"/>
      <c r="F192" s="3"/>
      <c r="G192" s="2"/>
      <c r="H192" s="2"/>
      <c r="I192" s="2"/>
      <c r="J192" s="2"/>
      <c r="K192" s="2"/>
      <c r="L192" s="2"/>
      <c r="M192" s="2"/>
      <c r="N192" s="2"/>
    </row>
    <row r="193" spans="1:14" x14ac:dyDescent="0.25">
      <c r="A193" s="3"/>
      <c r="B193" s="3"/>
      <c r="C193" s="3"/>
      <c r="D193" s="3"/>
      <c r="E193" s="3"/>
      <c r="F193" s="3"/>
      <c r="G193" s="2"/>
      <c r="H193" s="2"/>
      <c r="I193" s="2"/>
      <c r="J193" s="2"/>
      <c r="K193" s="2"/>
      <c r="L193" s="2"/>
      <c r="M193" s="2"/>
      <c r="N193" s="2"/>
    </row>
    <row r="194" spans="1:14" x14ac:dyDescent="0.25">
      <c r="A194" s="3"/>
      <c r="B194" s="3"/>
      <c r="C194" s="3"/>
      <c r="D194" s="3"/>
      <c r="E194" s="3"/>
      <c r="F194" s="3"/>
      <c r="G194" s="2"/>
      <c r="H194" s="2"/>
      <c r="I194" s="2"/>
      <c r="J194" s="2"/>
      <c r="K194" s="2"/>
      <c r="L194" s="2"/>
      <c r="M194" s="2"/>
      <c r="N194" s="2"/>
    </row>
    <row r="195" spans="1:14" x14ac:dyDescent="0.25">
      <c r="A195" s="3"/>
      <c r="B195" s="3"/>
      <c r="C195" s="3"/>
      <c r="D195" s="3"/>
      <c r="E195" s="3"/>
      <c r="F195" s="3"/>
      <c r="G195" s="2"/>
      <c r="H195" s="2"/>
      <c r="I195" s="2"/>
      <c r="J195" s="2"/>
      <c r="K195" s="2"/>
      <c r="L195" s="2"/>
      <c r="M195" s="2"/>
      <c r="N195" s="2"/>
    </row>
    <row r="196" spans="1:14" x14ac:dyDescent="0.25">
      <c r="A196" s="3"/>
      <c r="B196" s="3"/>
      <c r="C196" s="3"/>
      <c r="D196" s="3"/>
      <c r="E196" s="3"/>
      <c r="F196" s="3"/>
      <c r="G196" s="2"/>
      <c r="H196" s="2"/>
      <c r="I196" s="2"/>
      <c r="J196" s="2"/>
      <c r="K196" s="2"/>
      <c r="L196" s="2"/>
      <c r="M196" s="2"/>
      <c r="N196" s="2"/>
    </row>
    <row r="197" spans="1:14" x14ac:dyDescent="0.25">
      <c r="A197" s="3"/>
      <c r="B197" s="3"/>
      <c r="C197" s="3"/>
      <c r="D197" s="3"/>
      <c r="E197" s="3"/>
      <c r="F197" s="3"/>
      <c r="G197" s="2"/>
      <c r="H197" s="2"/>
      <c r="I197" s="2"/>
      <c r="J197" s="2"/>
      <c r="K197" s="2"/>
      <c r="L197" s="2"/>
      <c r="M197" s="2"/>
      <c r="N197" s="2"/>
    </row>
    <row r="198" spans="1:14" x14ac:dyDescent="0.25">
      <c r="A198" s="3"/>
      <c r="B198" s="3"/>
      <c r="C198" s="3"/>
      <c r="D198" s="3"/>
      <c r="E198" s="3"/>
      <c r="F198" s="3"/>
      <c r="G198" s="2"/>
      <c r="H198" s="2"/>
      <c r="I198" s="2"/>
      <c r="J198" s="2"/>
      <c r="K198" s="2"/>
      <c r="L198" s="2"/>
      <c r="M198" s="2"/>
      <c r="N198" s="2"/>
    </row>
    <row r="199" spans="1:14" x14ac:dyDescent="0.25">
      <c r="A199" s="3"/>
      <c r="B199" s="3"/>
      <c r="C199" s="3"/>
      <c r="D199" s="3"/>
      <c r="E199" s="3"/>
      <c r="F199" s="3"/>
      <c r="G199" s="2"/>
      <c r="H199" s="2"/>
      <c r="I199" s="2"/>
      <c r="J199" s="2"/>
      <c r="K199" s="2"/>
      <c r="L199" s="2"/>
      <c r="M199" s="2"/>
      <c r="N199" s="2"/>
    </row>
    <row r="200" spans="1:14" x14ac:dyDescent="0.25">
      <c r="A200" s="3"/>
      <c r="B200" s="3"/>
      <c r="C200" s="3"/>
      <c r="D200" s="3"/>
      <c r="E200" s="3"/>
      <c r="F200" s="3"/>
      <c r="G200" s="2"/>
      <c r="H200" s="2"/>
      <c r="I200" s="2"/>
      <c r="J200" s="2"/>
      <c r="K200" s="2"/>
      <c r="L200" s="2"/>
      <c r="M200" s="2"/>
      <c r="N200" s="2"/>
    </row>
    <row r="201" spans="1:14" x14ac:dyDescent="0.25">
      <c r="A201" s="3"/>
      <c r="B201" s="3"/>
      <c r="C201" s="3"/>
      <c r="D201" s="3"/>
      <c r="E201" s="3"/>
      <c r="F201" s="3"/>
      <c r="G201" s="2"/>
      <c r="H201" s="2"/>
      <c r="I201" s="2"/>
      <c r="J201" s="2"/>
      <c r="K201" s="2"/>
      <c r="L201" s="2"/>
      <c r="M201" s="2"/>
      <c r="N201" s="2"/>
    </row>
    <row r="202" spans="1:14" x14ac:dyDescent="0.25">
      <c r="A202" s="3"/>
      <c r="B202" s="3"/>
      <c r="C202" s="3"/>
      <c r="D202" s="3"/>
      <c r="E202" s="3"/>
      <c r="F202" s="3"/>
      <c r="G202" s="2"/>
      <c r="H202" s="2"/>
      <c r="I202" s="2"/>
      <c r="J202" s="2"/>
      <c r="K202" s="2"/>
      <c r="L202" s="2"/>
      <c r="M202" s="2"/>
      <c r="N202" s="2"/>
    </row>
    <row r="203" spans="1:14" x14ac:dyDescent="0.25">
      <c r="A203" s="3"/>
      <c r="B203" s="3"/>
      <c r="C203" s="3"/>
      <c r="D203" s="3"/>
      <c r="E203" s="3"/>
      <c r="F203" s="3"/>
      <c r="G203" s="2"/>
      <c r="H203" s="2"/>
      <c r="I203" s="2"/>
      <c r="J203" s="2"/>
      <c r="K203" s="2"/>
      <c r="L203" s="2"/>
      <c r="M203" s="2"/>
      <c r="N203" s="2"/>
    </row>
    <row r="204" spans="1:14" x14ac:dyDescent="0.25">
      <c r="A204" s="3"/>
      <c r="B204" s="3"/>
      <c r="C204" s="3"/>
      <c r="D204" s="3"/>
      <c r="E204" s="3"/>
      <c r="F204" s="3"/>
      <c r="G204" s="2"/>
      <c r="H204" s="2"/>
      <c r="I204" s="2"/>
      <c r="J204" s="2"/>
      <c r="K204" s="2"/>
      <c r="L204" s="2"/>
      <c r="M204" s="2"/>
      <c r="N204" s="2"/>
    </row>
    <row r="205" spans="1:14" x14ac:dyDescent="0.25">
      <c r="A205" s="3"/>
      <c r="B205" s="3"/>
      <c r="C205" s="3"/>
      <c r="D205" s="3"/>
      <c r="E205" s="3"/>
      <c r="F205" s="3"/>
      <c r="G205" s="2"/>
      <c r="H205" s="2"/>
      <c r="I205" s="2"/>
      <c r="J205" s="2"/>
      <c r="K205" s="2"/>
      <c r="L205" s="2"/>
      <c r="M205" s="2"/>
      <c r="N205" s="2"/>
    </row>
    <row r="206" spans="1:14" x14ac:dyDescent="0.25">
      <c r="A206" s="3"/>
      <c r="B206" s="3"/>
      <c r="C206" s="3"/>
      <c r="D206" s="3"/>
      <c r="E206" s="3"/>
      <c r="F206" s="3"/>
      <c r="G206" s="2"/>
      <c r="H206" s="2"/>
      <c r="I206" s="2"/>
      <c r="J206" s="2"/>
      <c r="K206" s="2"/>
      <c r="L206" s="2"/>
      <c r="M206" s="2"/>
      <c r="N206" s="2"/>
    </row>
    <row r="207" spans="1:14" x14ac:dyDescent="0.25">
      <c r="A207" s="3"/>
      <c r="B207" s="3"/>
      <c r="C207" s="3"/>
      <c r="D207" s="3"/>
      <c r="E207" s="3"/>
      <c r="F207" s="3"/>
      <c r="G207" s="2"/>
      <c r="H207" s="2"/>
      <c r="I207" s="2"/>
      <c r="J207" s="2"/>
      <c r="K207" s="2"/>
      <c r="L207" s="2"/>
      <c r="M207" s="2"/>
      <c r="N207" s="2"/>
    </row>
    <row r="208" spans="1:14" x14ac:dyDescent="0.25">
      <c r="A208" s="3"/>
      <c r="B208" s="3"/>
      <c r="C208" s="3"/>
      <c r="D208" s="3"/>
      <c r="E208" s="3"/>
      <c r="F208" s="3"/>
      <c r="G208" s="2"/>
      <c r="H208" s="2"/>
      <c r="I208" s="2"/>
      <c r="J208" s="2"/>
      <c r="K208" s="2"/>
      <c r="L208" s="2"/>
      <c r="M208" s="2"/>
      <c r="N208" s="2"/>
    </row>
    <row r="209" spans="1:14" x14ac:dyDescent="0.25">
      <c r="A209" s="3"/>
      <c r="B209" s="3"/>
      <c r="C209" s="3"/>
      <c r="D209" s="3"/>
      <c r="E209" s="3"/>
      <c r="F209" s="3"/>
      <c r="G209" s="2"/>
      <c r="H209" s="2"/>
      <c r="I209" s="2"/>
      <c r="J209" s="2"/>
      <c r="K209" s="2"/>
      <c r="L209" s="2"/>
      <c r="M209" s="2"/>
      <c r="N209" s="2"/>
    </row>
    <row r="210" spans="1:14" x14ac:dyDescent="0.25">
      <c r="A210" s="3"/>
      <c r="B210" s="3"/>
      <c r="C210" s="3"/>
      <c r="D210" s="3"/>
      <c r="E210" s="3"/>
      <c r="F210" s="3"/>
      <c r="G210" s="2"/>
      <c r="H210" s="2"/>
      <c r="I210" s="2"/>
      <c r="J210" s="2"/>
      <c r="K210" s="2"/>
      <c r="L210" s="2"/>
      <c r="M210" s="2"/>
      <c r="N210" s="2"/>
    </row>
    <row r="211" spans="1:14" x14ac:dyDescent="0.25">
      <c r="A211" s="3"/>
      <c r="B211" s="3"/>
      <c r="C211" s="3"/>
      <c r="D211" s="3"/>
      <c r="E211" s="3"/>
      <c r="F211" s="3"/>
      <c r="G211" s="2"/>
      <c r="H211" s="2"/>
      <c r="I211" s="2"/>
      <c r="J211" s="2"/>
      <c r="K211" s="2"/>
      <c r="L211" s="2"/>
      <c r="M211" s="2"/>
      <c r="N211" s="2"/>
    </row>
    <row r="212" spans="1:14" x14ac:dyDescent="0.25">
      <c r="A212" s="3"/>
      <c r="B212" s="3"/>
      <c r="C212" s="3"/>
      <c r="D212" s="3"/>
      <c r="E212" s="3"/>
      <c r="F212" s="3"/>
      <c r="G212" s="2"/>
      <c r="H212" s="2"/>
      <c r="I212" s="2"/>
      <c r="J212" s="2"/>
      <c r="K212" s="2"/>
      <c r="L212" s="2"/>
      <c r="M212" s="2"/>
      <c r="N212" s="2"/>
    </row>
    <row r="213" spans="1:14" x14ac:dyDescent="0.25">
      <c r="A213" s="3"/>
      <c r="B213" s="3"/>
      <c r="C213" s="3"/>
      <c r="D213" s="3"/>
      <c r="E213" s="3"/>
      <c r="F213" s="3"/>
      <c r="G213" s="2"/>
      <c r="H213" s="2"/>
      <c r="I213" s="2"/>
      <c r="J213" s="2"/>
      <c r="K213" s="2"/>
      <c r="L213" s="2"/>
      <c r="M213" s="2"/>
      <c r="N213" s="2"/>
    </row>
    <row r="214" spans="1:14" x14ac:dyDescent="0.25">
      <c r="A214" s="3"/>
      <c r="B214" s="3"/>
      <c r="C214" s="3"/>
      <c r="D214" s="3"/>
      <c r="E214" s="3"/>
      <c r="F214" s="3"/>
      <c r="G214" s="2"/>
      <c r="H214" s="2"/>
      <c r="I214" s="2"/>
      <c r="J214" s="2"/>
      <c r="K214" s="2"/>
      <c r="L214" s="2"/>
      <c r="M214" s="2"/>
      <c r="N214" s="2"/>
    </row>
    <row r="215" spans="1:14" x14ac:dyDescent="0.25">
      <c r="A215" s="3"/>
      <c r="B215" s="3"/>
      <c r="C215" s="3"/>
      <c r="D215" s="3"/>
      <c r="E215" s="3"/>
      <c r="F215" s="3"/>
      <c r="G215" s="2"/>
      <c r="H215" s="2"/>
      <c r="I215" s="2"/>
      <c r="J215" s="2"/>
      <c r="K215" s="2"/>
      <c r="L215" s="2"/>
      <c r="M215" s="2"/>
      <c r="N215" s="2"/>
    </row>
    <row r="216" spans="1:14" x14ac:dyDescent="0.25">
      <c r="A216" s="3"/>
      <c r="B216" s="3"/>
      <c r="C216" s="3"/>
      <c r="D216" s="3"/>
      <c r="E216" s="3"/>
      <c r="F216" s="3"/>
      <c r="G216" s="2"/>
      <c r="H216" s="2"/>
      <c r="I216" s="2"/>
      <c r="J216" s="2"/>
      <c r="K216" s="2"/>
      <c r="L216" s="2"/>
      <c r="M216" s="2"/>
      <c r="N216" s="2"/>
    </row>
    <row r="217" spans="1:14" x14ac:dyDescent="0.25">
      <c r="A217" s="3"/>
      <c r="B217" s="3"/>
      <c r="C217" s="3"/>
      <c r="D217" s="3"/>
      <c r="E217" s="3"/>
      <c r="F217" s="3"/>
      <c r="G217" s="2"/>
      <c r="H217" s="2"/>
      <c r="I217" s="2"/>
      <c r="J217" s="2"/>
      <c r="K217" s="2"/>
      <c r="L217" s="2"/>
      <c r="M217" s="2"/>
      <c r="N217" s="2"/>
    </row>
    <row r="218" spans="1:14" x14ac:dyDescent="0.25">
      <c r="A218" s="3"/>
      <c r="B218" s="3"/>
      <c r="C218" s="3"/>
      <c r="D218" s="3"/>
      <c r="E218" s="3"/>
      <c r="F218" s="3"/>
      <c r="G218" s="2"/>
      <c r="H218" s="2"/>
      <c r="I218" s="2"/>
      <c r="J218" s="2"/>
      <c r="K218" s="2"/>
      <c r="L218" s="2"/>
      <c r="M218" s="2"/>
      <c r="N218" s="2"/>
    </row>
    <row r="219" spans="1:14" x14ac:dyDescent="0.25">
      <c r="A219" s="3"/>
      <c r="B219" s="3"/>
      <c r="C219" s="3"/>
      <c r="D219" s="3"/>
      <c r="E219" s="3"/>
      <c r="F219" s="3"/>
      <c r="G219" s="2"/>
      <c r="H219" s="2"/>
      <c r="I219" s="2"/>
      <c r="J219" s="2"/>
      <c r="K219" s="2"/>
      <c r="L219" s="2"/>
      <c r="M219" s="2"/>
      <c r="N219" s="2"/>
    </row>
    <row r="220" spans="1:14" x14ac:dyDescent="0.25">
      <c r="A220" s="3"/>
      <c r="B220" s="3"/>
      <c r="C220" s="3"/>
      <c r="D220" s="3"/>
      <c r="E220" s="3"/>
      <c r="F220" s="3"/>
      <c r="G220" s="2"/>
      <c r="H220" s="2"/>
      <c r="I220" s="2"/>
      <c r="J220" s="2"/>
      <c r="K220" s="2"/>
      <c r="L220" s="2"/>
      <c r="M220" s="2"/>
      <c r="N220" s="2"/>
    </row>
    <row r="221" spans="1:14" x14ac:dyDescent="0.25">
      <c r="A221" s="3"/>
      <c r="B221" s="3"/>
      <c r="C221" s="3"/>
      <c r="D221" s="3"/>
      <c r="E221" s="3"/>
      <c r="F221" s="3"/>
      <c r="G221" s="2"/>
      <c r="H221" s="2"/>
      <c r="I221" s="2"/>
      <c r="J221" s="2"/>
      <c r="K221" s="2"/>
      <c r="L221" s="2"/>
      <c r="M221" s="2"/>
      <c r="N221" s="2"/>
    </row>
    <row r="222" spans="1:14" x14ac:dyDescent="0.25">
      <c r="A222" s="3"/>
      <c r="B222" s="3"/>
      <c r="C222" s="3"/>
      <c r="D222" s="3"/>
      <c r="E222" s="3"/>
      <c r="F222" s="3"/>
      <c r="G222" s="2"/>
      <c r="H222" s="2"/>
      <c r="I222" s="2"/>
      <c r="J222" s="2"/>
      <c r="K222" s="2"/>
      <c r="L222" s="2"/>
      <c r="M222" s="2"/>
      <c r="N222" s="2"/>
    </row>
    <row r="223" spans="1:14" x14ac:dyDescent="0.25">
      <c r="A223" s="3"/>
      <c r="B223" s="3"/>
      <c r="C223" s="3"/>
      <c r="D223" s="3"/>
      <c r="E223" s="3"/>
      <c r="F223" s="3"/>
      <c r="G223" s="2"/>
      <c r="H223" s="2"/>
      <c r="I223" s="2"/>
      <c r="J223" s="2"/>
      <c r="K223" s="2"/>
      <c r="L223" s="2"/>
      <c r="M223" s="2"/>
      <c r="N223" s="2"/>
    </row>
    <row r="224" spans="1:14" x14ac:dyDescent="0.25">
      <c r="A224" s="3"/>
      <c r="B224" s="3"/>
      <c r="C224" s="3"/>
      <c r="D224" s="3"/>
      <c r="E224" s="3"/>
      <c r="F224" s="3"/>
      <c r="G224" s="2"/>
      <c r="H224" s="2"/>
      <c r="I224" s="2"/>
      <c r="J224" s="2"/>
      <c r="K224" s="2"/>
      <c r="L224" s="2"/>
      <c r="M224" s="2"/>
      <c r="N224" s="2"/>
    </row>
    <row r="225" spans="1:14" x14ac:dyDescent="0.25">
      <c r="A225" s="3"/>
      <c r="B225" s="3"/>
      <c r="C225" s="3"/>
      <c r="D225" s="3"/>
      <c r="E225" s="3"/>
      <c r="F225" s="3"/>
      <c r="G225" s="2"/>
      <c r="H225" s="2"/>
      <c r="I225" s="2"/>
      <c r="J225" s="2"/>
      <c r="K225" s="2"/>
      <c r="L225" s="2"/>
      <c r="M225" s="2"/>
      <c r="N225" s="2"/>
    </row>
    <row r="226" spans="1:14" x14ac:dyDescent="0.25">
      <c r="A226" s="3"/>
      <c r="B226" s="3"/>
      <c r="C226" s="3"/>
      <c r="D226" s="3"/>
      <c r="E226" s="3"/>
      <c r="F226" s="3"/>
      <c r="G226" s="2"/>
      <c r="H226" s="2"/>
      <c r="I226" s="2"/>
      <c r="J226" s="2"/>
      <c r="K226" s="2"/>
      <c r="L226" s="2"/>
      <c r="M226" s="2"/>
      <c r="N226" s="2"/>
    </row>
    <row r="227" spans="1:14" x14ac:dyDescent="0.25">
      <c r="A227" s="3"/>
      <c r="B227" s="3"/>
      <c r="C227" s="3"/>
      <c r="D227" s="3"/>
      <c r="E227" s="3"/>
      <c r="F227" s="3"/>
      <c r="G227" s="2"/>
      <c r="H227" s="2"/>
      <c r="I227" s="2"/>
      <c r="J227" s="2"/>
      <c r="K227" s="2"/>
      <c r="L227" s="2"/>
      <c r="M227" s="2"/>
      <c r="N227" s="2"/>
    </row>
    <row r="228" spans="1:14" x14ac:dyDescent="0.25">
      <c r="A228" s="3"/>
      <c r="B228" s="3"/>
      <c r="C228" s="3"/>
      <c r="D228" s="3"/>
      <c r="E228" s="3"/>
      <c r="F228" s="3"/>
      <c r="G228" s="2"/>
      <c r="H228" s="2"/>
      <c r="I228" s="2"/>
      <c r="J228" s="2"/>
      <c r="K228" s="2"/>
      <c r="L228" s="2"/>
      <c r="M228" s="2"/>
      <c r="N228" s="2"/>
    </row>
    <row r="229" spans="1:14" x14ac:dyDescent="0.25">
      <c r="A229" s="3"/>
      <c r="B229" s="3"/>
      <c r="C229" s="3"/>
      <c r="D229" s="3"/>
      <c r="E229" s="3"/>
      <c r="F229" s="3"/>
      <c r="G229" s="2"/>
      <c r="H229" s="2"/>
      <c r="I229" s="2"/>
      <c r="J229" s="2"/>
      <c r="K229" s="2"/>
      <c r="L229" s="2"/>
      <c r="M229" s="2"/>
      <c r="N229" s="2"/>
    </row>
    <row r="230" spans="1:14" x14ac:dyDescent="0.25">
      <c r="A230" s="3"/>
      <c r="B230" s="3"/>
      <c r="C230" s="3"/>
      <c r="D230" s="3"/>
      <c r="E230" s="3"/>
      <c r="F230" s="3"/>
      <c r="G230" s="2"/>
      <c r="H230" s="2"/>
      <c r="I230" s="2"/>
      <c r="J230" s="2"/>
      <c r="K230" s="2"/>
      <c r="L230" s="2"/>
      <c r="M230" s="2"/>
      <c r="N230" s="2"/>
    </row>
    <row r="231" spans="1:14" x14ac:dyDescent="0.25">
      <c r="A231" s="3"/>
      <c r="B231" s="3"/>
      <c r="C231" s="3"/>
      <c r="D231" s="3"/>
      <c r="E231" s="3"/>
      <c r="F231" s="3"/>
      <c r="G231" s="2"/>
      <c r="H231" s="2"/>
      <c r="I231" s="2"/>
      <c r="J231" s="2"/>
      <c r="K231" s="2"/>
      <c r="L231" s="2"/>
      <c r="M231" s="2"/>
      <c r="N231" s="2"/>
    </row>
    <row r="232" spans="1:14" x14ac:dyDescent="0.25">
      <c r="A232" s="3"/>
      <c r="B232" s="3"/>
      <c r="C232" s="3"/>
      <c r="D232" s="3"/>
      <c r="E232" s="3"/>
      <c r="F232" s="3"/>
      <c r="G232" s="2"/>
      <c r="H232" s="2"/>
      <c r="I232" s="2"/>
      <c r="J232" s="2"/>
      <c r="K232" s="2"/>
      <c r="L232" s="2"/>
      <c r="M232" s="2"/>
      <c r="N232" s="2"/>
    </row>
    <row r="233" spans="1:14" x14ac:dyDescent="0.25">
      <c r="A233" s="3"/>
      <c r="B233" s="3"/>
      <c r="C233" s="3"/>
      <c r="D233" s="3"/>
      <c r="E233" s="3"/>
      <c r="F233" s="3"/>
      <c r="G233" s="2"/>
      <c r="H233" s="2"/>
      <c r="I233" s="2"/>
      <c r="J233" s="2"/>
      <c r="K233" s="2"/>
      <c r="L233" s="2"/>
      <c r="M233" s="2"/>
      <c r="N233" s="2"/>
    </row>
    <row r="234" spans="1:14" x14ac:dyDescent="0.25">
      <c r="A234" s="3"/>
      <c r="B234" s="3"/>
      <c r="C234" s="3"/>
      <c r="D234" s="3"/>
      <c r="E234" s="3"/>
      <c r="F234" s="3"/>
      <c r="G234" s="2"/>
      <c r="H234" s="2"/>
      <c r="I234" s="2"/>
      <c r="J234" s="2"/>
      <c r="K234" s="2"/>
      <c r="L234" s="2"/>
      <c r="M234" s="2"/>
      <c r="N234" s="2"/>
    </row>
    <row r="235" spans="1:14" x14ac:dyDescent="0.25">
      <c r="A235" s="3"/>
      <c r="B235" s="3"/>
      <c r="C235" s="3"/>
      <c r="D235" s="3"/>
      <c r="E235" s="3"/>
      <c r="F235" s="3"/>
      <c r="G235" s="2"/>
      <c r="H235" s="2"/>
      <c r="I235" s="2"/>
      <c r="J235" s="2"/>
      <c r="K235" s="2"/>
      <c r="L235" s="2"/>
      <c r="M235" s="2"/>
      <c r="N235" s="2"/>
    </row>
    <row r="236" spans="1:14" x14ac:dyDescent="0.25">
      <c r="A236" s="3"/>
      <c r="B236" s="3"/>
      <c r="C236" s="3"/>
      <c r="D236" s="3"/>
      <c r="E236" s="3"/>
      <c r="F236" s="3"/>
      <c r="G236" s="2"/>
      <c r="H236" s="2"/>
      <c r="I236" s="2"/>
      <c r="J236" s="2"/>
      <c r="K236" s="2"/>
      <c r="L236" s="2"/>
      <c r="M236" s="2"/>
      <c r="N236" s="2"/>
    </row>
    <row r="237" spans="1:14" x14ac:dyDescent="0.25">
      <c r="A237" s="3"/>
      <c r="B237" s="3"/>
      <c r="C237" s="3"/>
      <c r="D237" s="3"/>
      <c r="E237" s="3"/>
      <c r="F237" s="3"/>
      <c r="G237" s="2"/>
      <c r="H237" s="2"/>
      <c r="I237" s="2"/>
      <c r="J237" s="2"/>
      <c r="K237" s="2"/>
      <c r="L237" s="2"/>
      <c r="M237" s="2"/>
      <c r="N237" s="2"/>
    </row>
    <row r="238" spans="1:14" x14ac:dyDescent="0.25">
      <c r="A238" s="3"/>
      <c r="B238" s="3"/>
      <c r="C238" s="3"/>
      <c r="D238" s="3"/>
      <c r="E238" s="3"/>
      <c r="F238" s="3"/>
      <c r="G238" s="2"/>
      <c r="H238" s="2"/>
      <c r="I238" s="2"/>
      <c r="J238" s="2"/>
      <c r="K238" s="2"/>
      <c r="L238" s="2"/>
      <c r="M238" s="2"/>
      <c r="N238" s="2"/>
    </row>
    <row r="239" spans="1:14" x14ac:dyDescent="0.25">
      <c r="A239" s="3"/>
      <c r="B239" s="3"/>
      <c r="C239" s="3"/>
      <c r="D239" s="3"/>
      <c r="E239" s="3"/>
      <c r="F239" s="3"/>
      <c r="G239" s="2"/>
      <c r="H239" s="2"/>
      <c r="I239" s="2"/>
      <c r="J239" s="2"/>
      <c r="K239" s="2"/>
      <c r="L239" s="2"/>
      <c r="M239" s="2"/>
      <c r="N239" s="2"/>
    </row>
    <row r="240" spans="1:14" x14ac:dyDescent="0.25">
      <c r="A240" s="3"/>
      <c r="B240" s="3"/>
      <c r="C240" s="3"/>
      <c r="D240" s="3"/>
      <c r="E240" s="3"/>
      <c r="F240" s="3"/>
      <c r="G240" s="2"/>
      <c r="H240" s="2"/>
      <c r="I240" s="2"/>
      <c r="J240" s="2"/>
      <c r="K240" s="2"/>
      <c r="L240" s="2"/>
      <c r="M240" s="2"/>
      <c r="N240" s="2"/>
    </row>
  </sheetData>
  <sheetProtection algorithmName="SHA-512" hashValue="ye5p43mnWcUZvUw1YKF13SbA9n6Rv30XDOBrUGvqEMaAvItnjW3By+VhOXHHH8iEEpDQQhVVFSv//874JcwskA==" saltValue="RQgWqf+py7moqwqI/mj1RQ==" spinCount="100000" sheet="1" objects="1" scenario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261FB-18E5-4753-9E5B-B70942C18D97}">
  <sheetPr>
    <tabColor rgb="FF9BC2E6"/>
  </sheetPr>
  <dimension ref="A1:Q95"/>
  <sheetViews>
    <sheetView zoomScaleNormal="100" workbookViewId="0">
      <pane ySplit="6" topLeftCell="A48" activePane="bottomLeft" state="frozen"/>
      <selection pane="bottomLeft" sqref="A1:XFD1048576"/>
    </sheetView>
  </sheetViews>
  <sheetFormatPr defaultColWidth="9.109375" defaultRowHeight="13.8" x14ac:dyDescent="0.25"/>
  <cols>
    <col min="1" max="17" width="12.6640625" style="35" customWidth="1"/>
    <col min="18" max="16384" width="9.109375" style="35"/>
  </cols>
  <sheetData>
    <row r="1" spans="1:17" ht="15.6" x14ac:dyDescent="0.3">
      <c r="A1" s="34" t="s">
        <v>240</v>
      </c>
    </row>
    <row r="3" spans="1:17" ht="15.6" x14ac:dyDescent="0.3">
      <c r="A3" s="37" t="s">
        <v>179</v>
      </c>
    </row>
    <row r="4" spans="1:17" ht="15" x14ac:dyDescent="0.25">
      <c r="A4" s="36" t="s">
        <v>48</v>
      </c>
    </row>
    <row r="5" spans="1:17" ht="15" x14ac:dyDescent="0.25">
      <c r="A5" s="36" t="s">
        <v>104</v>
      </c>
    </row>
    <row r="6" spans="1:17" ht="15" x14ac:dyDescent="0.25">
      <c r="A6" s="36"/>
    </row>
    <row r="7" spans="1:17" ht="15.6" x14ac:dyDescent="0.3">
      <c r="A7" s="14" t="s">
        <v>48</v>
      </c>
      <c r="B7" s="15"/>
      <c r="C7" s="15"/>
      <c r="D7" s="15"/>
      <c r="E7" s="15"/>
      <c r="F7" s="15"/>
      <c r="G7" s="15"/>
      <c r="H7" s="15"/>
      <c r="I7" s="15"/>
      <c r="J7" s="15"/>
      <c r="K7" s="15"/>
      <c r="L7" s="15"/>
      <c r="M7" s="15"/>
      <c r="N7" s="15"/>
      <c r="O7" s="15"/>
      <c r="P7" s="15"/>
      <c r="Q7" s="15"/>
    </row>
    <row r="8" spans="1:17" ht="15" x14ac:dyDescent="0.25">
      <c r="A8" s="3"/>
      <c r="B8" s="3"/>
      <c r="C8" s="3"/>
      <c r="D8" s="2"/>
      <c r="E8" s="2"/>
      <c r="F8" s="2"/>
      <c r="G8" s="2"/>
      <c r="H8" s="2"/>
      <c r="I8" s="2"/>
      <c r="J8" s="2"/>
      <c r="K8" s="2"/>
      <c r="L8" s="2"/>
      <c r="M8" s="2"/>
      <c r="N8" s="2"/>
      <c r="O8" s="2"/>
      <c r="P8" s="2"/>
      <c r="Q8" s="2"/>
    </row>
    <row r="9" spans="1:17" ht="15" x14ac:dyDescent="0.25">
      <c r="A9" s="2" t="s">
        <v>49</v>
      </c>
      <c r="B9" s="2"/>
      <c r="C9" s="3"/>
      <c r="D9" s="2" t="s">
        <v>50</v>
      </c>
      <c r="E9" s="2"/>
      <c r="F9" s="2"/>
      <c r="G9" s="2"/>
      <c r="H9" s="2"/>
      <c r="I9" s="2"/>
      <c r="J9" s="2"/>
      <c r="K9" s="2"/>
      <c r="L9" s="2"/>
      <c r="M9" s="2"/>
      <c r="N9" s="2"/>
      <c r="O9" s="2"/>
      <c r="P9" s="2"/>
      <c r="Q9" s="2"/>
    </row>
    <row r="10" spans="1:17" ht="15" x14ac:dyDescent="0.25">
      <c r="A10" s="2"/>
      <c r="B10" s="2"/>
      <c r="C10" s="3"/>
      <c r="D10" s="2"/>
      <c r="E10" s="2"/>
      <c r="F10" s="2"/>
      <c r="G10" s="2"/>
      <c r="H10" s="2"/>
      <c r="I10" s="2"/>
      <c r="J10" s="2"/>
      <c r="K10" s="2"/>
      <c r="L10" s="2"/>
      <c r="M10" s="2"/>
      <c r="N10" s="2"/>
      <c r="O10" s="2"/>
      <c r="P10" s="2"/>
      <c r="Q10" s="2"/>
    </row>
    <row r="11" spans="1:17" ht="15" x14ac:dyDescent="0.25">
      <c r="A11" s="2" t="s">
        <v>180</v>
      </c>
      <c r="B11" s="2"/>
      <c r="C11" s="3"/>
      <c r="D11" s="2" t="s">
        <v>181</v>
      </c>
      <c r="E11" s="2"/>
      <c r="F11" s="2"/>
      <c r="G11" s="2"/>
      <c r="H11" s="2"/>
      <c r="I11" s="2"/>
      <c r="J11" s="2"/>
      <c r="K11" s="2"/>
      <c r="L11" s="2"/>
      <c r="M11" s="2"/>
      <c r="N11" s="2"/>
      <c r="O11" s="2"/>
      <c r="P11" s="2"/>
      <c r="Q11" s="2"/>
    </row>
    <row r="12" spans="1:17" ht="15" x14ac:dyDescent="0.25">
      <c r="A12" s="2"/>
      <c r="B12" s="2"/>
      <c r="C12" s="3"/>
      <c r="D12" s="2"/>
      <c r="E12" s="2"/>
      <c r="F12" s="2"/>
      <c r="G12" s="2"/>
      <c r="H12" s="2"/>
      <c r="I12" s="2"/>
      <c r="J12" s="2"/>
      <c r="K12" s="2"/>
      <c r="L12" s="2"/>
      <c r="M12" s="2"/>
      <c r="N12" s="2"/>
      <c r="O12" s="2"/>
      <c r="P12" s="2"/>
      <c r="Q12" s="2"/>
    </row>
    <row r="13" spans="1:17" ht="15" x14ac:dyDescent="0.25">
      <c r="A13" s="2" t="s">
        <v>182</v>
      </c>
      <c r="B13" s="2"/>
      <c r="C13" s="3"/>
      <c r="D13" s="2" t="s">
        <v>183</v>
      </c>
      <c r="E13" s="2"/>
      <c r="F13" s="2"/>
      <c r="G13" s="2"/>
      <c r="H13" s="2"/>
      <c r="I13" s="2"/>
      <c r="J13" s="2"/>
      <c r="K13" s="2"/>
      <c r="L13" s="2"/>
      <c r="M13" s="2"/>
      <c r="N13" s="2"/>
      <c r="O13" s="2"/>
      <c r="P13" s="2"/>
      <c r="Q13" s="2"/>
    </row>
    <row r="14" spans="1:17" ht="15" x14ac:dyDescent="0.25">
      <c r="A14" s="2"/>
      <c r="B14" s="2"/>
      <c r="C14" s="3"/>
      <c r="D14" s="2" t="s">
        <v>184</v>
      </c>
      <c r="E14" s="2"/>
      <c r="F14" s="2"/>
      <c r="G14" s="2"/>
      <c r="H14" s="2"/>
      <c r="I14" s="2"/>
      <c r="J14" s="2"/>
      <c r="K14" s="2"/>
      <c r="L14" s="2"/>
      <c r="M14" s="2"/>
      <c r="N14" s="2"/>
      <c r="O14" s="2"/>
      <c r="P14" s="2"/>
      <c r="Q14" s="2"/>
    </row>
    <row r="15" spans="1:17" ht="15" x14ac:dyDescent="0.25">
      <c r="A15" s="2"/>
      <c r="B15" s="2"/>
      <c r="C15" s="3"/>
      <c r="D15" s="2" t="s">
        <v>185</v>
      </c>
      <c r="E15" s="2"/>
      <c r="F15" s="2"/>
      <c r="G15" s="2"/>
      <c r="H15" s="2"/>
      <c r="I15" s="2"/>
      <c r="J15" s="2"/>
      <c r="K15" s="2"/>
      <c r="L15" s="2"/>
      <c r="M15" s="2"/>
      <c r="N15" s="2"/>
      <c r="O15" s="2"/>
      <c r="P15" s="2"/>
      <c r="Q15" s="2"/>
    </row>
    <row r="16" spans="1:17" ht="15" x14ac:dyDescent="0.25">
      <c r="A16" s="2"/>
      <c r="B16" s="2"/>
      <c r="C16" s="2"/>
      <c r="D16" s="2"/>
      <c r="E16" s="2"/>
      <c r="F16" s="2"/>
      <c r="G16" s="2"/>
      <c r="H16" s="2"/>
      <c r="I16" s="2"/>
      <c r="J16" s="2"/>
      <c r="K16" s="2"/>
      <c r="L16" s="2"/>
      <c r="M16" s="2"/>
      <c r="N16" s="2"/>
      <c r="O16" s="2"/>
      <c r="P16" s="2"/>
      <c r="Q16" s="2"/>
    </row>
    <row r="17" spans="1:17" ht="15" x14ac:dyDescent="0.25">
      <c r="A17" s="2" t="s">
        <v>186</v>
      </c>
      <c r="B17" s="2"/>
      <c r="C17" s="2"/>
      <c r="D17" s="2" t="s">
        <v>2</v>
      </c>
      <c r="E17" s="2"/>
      <c r="F17" s="2"/>
      <c r="G17" s="2"/>
      <c r="H17" s="2"/>
      <c r="I17" s="2"/>
      <c r="J17" s="2"/>
      <c r="K17" s="2"/>
      <c r="L17" s="2"/>
      <c r="M17" s="2"/>
      <c r="N17" s="2"/>
      <c r="O17" s="2"/>
      <c r="P17" s="2"/>
      <c r="Q17" s="2"/>
    </row>
    <row r="18" spans="1:17" ht="15" x14ac:dyDescent="0.25">
      <c r="A18" s="2"/>
      <c r="B18" s="2"/>
      <c r="C18" s="2"/>
      <c r="D18" s="2"/>
      <c r="E18" s="2"/>
      <c r="F18" s="2"/>
      <c r="G18" s="2"/>
      <c r="H18" s="2"/>
      <c r="I18" s="2"/>
      <c r="J18" s="2"/>
      <c r="K18" s="2"/>
      <c r="L18" s="2"/>
      <c r="M18" s="2"/>
      <c r="N18" s="2"/>
      <c r="O18" s="2"/>
      <c r="P18" s="2"/>
      <c r="Q18" s="2"/>
    </row>
    <row r="19" spans="1:17" ht="15" x14ac:dyDescent="0.25">
      <c r="A19" s="2" t="s">
        <v>187</v>
      </c>
      <c r="B19" s="2"/>
      <c r="C19" s="2"/>
      <c r="D19" s="2" t="s">
        <v>188</v>
      </c>
      <c r="E19" s="2"/>
      <c r="F19" s="2"/>
      <c r="G19" s="2"/>
      <c r="H19" s="2"/>
      <c r="I19" s="2"/>
      <c r="J19" s="2"/>
      <c r="K19" s="2"/>
      <c r="L19" s="2"/>
      <c r="M19" s="2"/>
      <c r="N19" s="2"/>
      <c r="O19" s="2"/>
      <c r="P19" s="2"/>
      <c r="Q19" s="2"/>
    </row>
    <row r="20" spans="1:17" ht="15" x14ac:dyDescent="0.25">
      <c r="A20" s="2"/>
      <c r="B20" s="2"/>
      <c r="C20" s="2"/>
      <c r="D20" s="2" t="s">
        <v>189</v>
      </c>
      <c r="E20" s="2"/>
      <c r="F20" s="2"/>
      <c r="G20" s="2"/>
      <c r="H20" s="2"/>
      <c r="I20" s="2"/>
      <c r="J20" s="2"/>
      <c r="K20" s="2"/>
      <c r="L20" s="2"/>
      <c r="M20" s="2"/>
      <c r="N20" s="2"/>
      <c r="O20" s="2"/>
      <c r="P20" s="2"/>
      <c r="Q20" s="2"/>
    </row>
    <row r="21" spans="1:17" ht="15" x14ac:dyDescent="0.25">
      <c r="A21" s="2"/>
      <c r="B21" s="2"/>
      <c r="C21" s="2"/>
      <c r="D21" s="2"/>
      <c r="E21" s="2"/>
      <c r="F21" s="2"/>
      <c r="G21" s="2"/>
      <c r="H21" s="2"/>
      <c r="I21" s="2"/>
      <c r="J21" s="2"/>
      <c r="K21" s="2"/>
      <c r="L21" s="2"/>
      <c r="M21" s="2"/>
      <c r="N21" s="2"/>
      <c r="O21" s="2"/>
      <c r="P21" s="2"/>
      <c r="Q21" s="2"/>
    </row>
    <row r="22" spans="1:17" ht="15" x14ac:dyDescent="0.25">
      <c r="A22" s="2" t="s">
        <v>190</v>
      </c>
      <c r="B22" s="2"/>
      <c r="C22" s="2"/>
      <c r="D22" s="2" t="s">
        <v>191</v>
      </c>
      <c r="E22" s="2"/>
      <c r="F22" s="2"/>
      <c r="G22" s="2"/>
      <c r="H22" s="2"/>
      <c r="I22" s="2"/>
      <c r="J22" s="2"/>
      <c r="K22" s="2"/>
      <c r="L22" s="2"/>
      <c r="M22" s="2"/>
      <c r="N22" s="2"/>
      <c r="O22" s="2"/>
      <c r="P22" s="2"/>
      <c r="Q22" s="2"/>
    </row>
    <row r="23" spans="1:17" ht="15" x14ac:dyDescent="0.25">
      <c r="A23" s="2"/>
      <c r="B23" s="2"/>
      <c r="C23" s="2"/>
      <c r="D23" s="2" t="s">
        <v>192</v>
      </c>
      <c r="E23" s="2"/>
      <c r="F23" s="2"/>
      <c r="G23" s="2"/>
      <c r="H23" s="2"/>
      <c r="I23" s="2"/>
      <c r="J23" s="2"/>
      <c r="K23" s="2"/>
      <c r="L23" s="2"/>
      <c r="M23" s="2"/>
      <c r="N23" s="2"/>
      <c r="O23" s="2"/>
      <c r="P23" s="2"/>
      <c r="Q23" s="2"/>
    </row>
    <row r="24" spans="1:17" ht="15" x14ac:dyDescent="0.25">
      <c r="A24" s="2"/>
      <c r="B24" s="2"/>
      <c r="C24" s="2"/>
      <c r="D24" s="2" t="s">
        <v>193</v>
      </c>
      <c r="E24" s="2"/>
      <c r="F24" s="2"/>
      <c r="G24" s="2"/>
      <c r="H24" s="2"/>
      <c r="I24" s="2"/>
      <c r="J24" s="2"/>
      <c r="K24" s="2"/>
      <c r="L24" s="2"/>
      <c r="M24" s="2"/>
      <c r="N24" s="2"/>
      <c r="O24" s="2"/>
      <c r="P24" s="2"/>
      <c r="Q24" s="2"/>
    </row>
    <row r="25" spans="1:17" ht="15" x14ac:dyDescent="0.25">
      <c r="A25" s="2"/>
      <c r="B25" s="2"/>
      <c r="C25" s="2"/>
      <c r="D25" s="2" t="s">
        <v>194</v>
      </c>
      <c r="E25" s="2"/>
      <c r="F25" s="2"/>
      <c r="G25" s="2"/>
      <c r="H25" s="2"/>
      <c r="I25" s="2"/>
      <c r="J25" s="2"/>
      <c r="K25" s="2"/>
      <c r="L25" s="2"/>
      <c r="M25" s="2"/>
      <c r="N25" s="2"/>
      <c r="O25" s="2"/>
      <c r="P25" s="2"/>
      <c r="Q25" s="2"/>
    </row>
    <row r="26" spans="1:17" ht="15" x14ac:dyDescent="0.25">
      <c r="A26" s="2"/>
      <c r="B26" s="2"/>
      <c r="C26" s="2"/>
      <c r="D26" s="2"/>
      <c r="E26" s="2"/>
      <c r="F26" s="2"/>
      <c r="G26" s="2"/>
      <c r="H26" s="2"/>
      <c r="I26" s="2"/>
      <c r="J26" s="2"/>
      <c r="K26" s="2"/>
      <c r="L26" s="2"/>
      <c r="M26" s="2"/>
      <c r="N26" s="2"/>
      <c r="O26" s="2"/>
      <c r="P26" s="2"/>
      <c r="Q26" s="2"/>
    </row>
    <row r="27" spans="1:17" ht="15" x14ac:dyDescent="0.25">
      <c r="A27" s="2" t="s">
        <v>195</v>
      </c>
      <c r="B27" s="2"/>
      <c r="C27" s="2"/>
      <c r="D27" s="2" t="s">
        <v>196</v>
      </c>
      <c r="E27" s="2"/>
      <c r="F27" s="2"/>
      <c r="G27" s="2"/>
      <c r="H27" s="2"/>
      <c r="I27" s="2"/>
      <c r="J27" s="2"/>
      <c r="K27" s="2"/>
      <c r="L27" s="2"/>
      <c r="M27" s="2"/>
      <c r="N27" s="2"/>
      <c r="O27" s="2"/>
      <c r="P27" s="2"/>
      <c r="Q27" s="2"/>
    </row>
    <row r="28" spans="1:17" ht="15" x14ac:dyDescent="0.25">
      <c r="A28" s="2"/>
      <c r="B28" s="2"/>
      <c r="C28" s="2"/>
      <c r="D28" s="2" t="s">
        <v>197</v>
      </c>
      <c r="E28" s="2"/>
      <c r="F28" s="2"/>
      <c r="G28" s="2"/>
      <c r="H28" s="2"/>
      <c r="I28" s="2"/>
      <c r="J28" s="2"/>
      <c r="K28" s="2"/>
      <c r="L28" s="2"/>
      <c r="M28" s="2"/>
      <c r="N28" s="2"/>
      <c r="O28" s="2"/>
      <c r="P28" s="2"/>
      <c r="Q28" s="2"/>
    </row>
    <row r="29" spans="1:17" ht="15" x14ac:dyDescent="0.25">
      <c r="A29" s="2"/>
      <c r="B29" s="2"/>
      <c r="C29" s="2"/>
      <c r="D29" s="2" t="s">
        <v>198</v>
      </c>
      <c r="E29" s="2"/>
      <c r="F29" s="2"/>
      <c r="G29" s="2"/>
      <c r="H29" s="2"/>
      <c r="I29" s="2"/>
      <c r="J29" s="2"/>
      <c r="K29" s="2"/>
      <c r="L29" s="2"/>
      <c r="M29" s="2"/>
      <c r="N29" s="2"/>
      <c r="O29" s="2"/>
      <c r="P29" s="2"/>
      <c r="Q29" s="2"/>
    </row>
    <row r="30" spans="1:17" ht="15" x14ac:dyDescent="0.25">
      <c r="A30" s="2"/>
      <c r="B30" s="2"/>
      <c r="C30" s="2"/>
      <c r="D30" s="2" t="s">
        <v>199</v>
      </c>
      <c r="E30" s="2"/>
      <c r="F30" s="2"/>
      <c r="G30" s="2"/>
      <c r="H30" s="2"/>
      <c r="I30" s="2"/>
      <c r="J30" s="2"/>
      <c r="K30" s="2"/>
      <c r="L30" s="2"/>
      <c r="M30" s="2"/>
      <c r="N30" s="2"/>
      <c r="O30" s="2"/>
      <c r="P30" s="2"/>
      <c r="Q30" s="2"/>
    </row>
    <row r="31" spans="1:17" ht="15" x14ac:dyDescent="0.25">
      <c r="A31" s="2"/>
      <c r="B31" s="2"/>
      <c r="C31" s="2"/>
      <c r="D31" s="2"/>
      <c r="E31" s="2"/>
      <c r="F31" s="2"/>
      <c r="G31" s="2"/>
      <c r="H31" s="2"/>
      <c r="I31" s="2"/>
      <c r="J31" s="2"/>
      <c r="K31" s="2"/>
      <c r="L31" s="2"/>
      <c r="M31" s="2"/>
      <c r="N31" s="2"/>
      <c r="O31" s="2"/>
      <c r="P31" s="2"/>
      <c r="Q31" s="2"/>
    </row>
    <row r="32" spans="1:17" ht="15" x14ac:dyDescent="0.25">
      <c r="A32" s="2" t="s">
        <v>200</v>
      </c>
      <c r="B32" s="2"/>
      <c r="C32" s="2"/>
      <c r="D32" s="2" t="s">
        <v>201</v>
      </c>
      <c r="E32" s="2"/>
      <c r="F32" s="2"/>
      <c r="G32" s="2"/>
      <c r="H32" s="2"/>
      <c r="I32" s="2"/>
      <c r="J32" s="2"/>
      <c r="K32" s="2"/>
      <c r="L32" s="2"/>
      <c r="M32" s="2"/>
      <c r="N32" s="2"/>
      <c r="O32" s="2"/>
      <c r="P32" s="2"/>
      <c r="Q32" s="2"/>
    </row>
    <row r="33" spans="1:17" ht="15.6" x14ac:dyDescent="0.25">
      <c r="A33" s="17"/>
      <c r="B33" s="17"/>
      <c r="C33" s="18"/>
      <c r="D33" s="2"/>
      <c r="E33" s="2"/>
      <c r="F33" s="2"/>
      <c r="G33" s="2"/>
      <c r="H33" s="2"/>
      <c r="I33" s="2"/>
      <c r="J33" s="2"/>
      <c r="K33" s="2"/>
      <c r="L33" s="2"/>
      <c r="M33" s="2"/>
      <c r="N33" s="2"/>
      <c r="O33" s="2"/>
      <c r="P33" s="2"/>
      <c r="Q33" s="2"/>
    </row>
    <row r="34" spans="1:17" ht="15" x14ac:dyDescent="0.25">
      <c r="A34" s="18"/>
      <c r="B34" s="18"/>
      <c r="C34" s="18"/>
      <c r="D34" s="2"/>
      <c r="E34" s="2"/>
      <c r="F34" s="2"/>
      <c r="G34" s="2"/>
      <c r="H34" s="2"/>
      <c r="I34" s="2"/>
      <c r="J34" s="2"/>
      <c r="K34" s="2"/>
      <c r="L34" s="2"/>
      <c r="M34" s="2"/>
      <c r="N34" s="2"/>
      <c r="O34" s="2"/>
      <c r="P34" s="2"/>
      <c r="Q34" s="2"/>
    </row>
    <row r="35" spans="1:17" ht="15.6" x14ac:dyDescent="0.25">
      <c r="A35" s="19" t="s">
        <v>104</v>
      </c>
      <c r="B35" s="20"/>
      <c r="C35" s="20"/>
      <c r="D35" s="20"/>
      <c r="E35" s="20"/>
      <c r="F35" s="20"/>
      <c r="G35" s="2"/>
      <c r="H35" s="2"/>
      <c r="I35" s="2"/>
      <c r="J35" s="2"/>
      <c r="K35" s="2"/>
      <c r="L35" s="2"/>
      <c r="M35" s="2"/>
      <c r="N35" s="2"/>
      <c r="O35" s="2"/>
      <c r="P35" s="2"/>
      <c r="Q35" s="2"/>
    </row>
    <row r="36" spans="1:17" ht="15" x14ac:dyDescent="0.25">
      <c r="A36" s="3"/>
      <c r="B36" s="3"/>
      <c r="C36" s="3"/>
      <c r="D36" s="3"/>
      <c r="E36" s="3"/>
      <c r="F36" s="3"/>
      <c r="G36" s="2"/>
      <c r="H36" s="2"/>
      <c r="I36" s="2"/>
      <c r="J36" s="2"/>
      <c r="K36" s="2"/>
      <c r="L36" s="2"/>
      <c r="M36" s="2"/>
      <c r="N36" s="2"/>
      <c r="O36" s="2"/>
      <c r="P36" s="2"/>
      <c r="Q36" s="2"/>
    </row>
    <row r="37" spans="1:17" ht="15.6" x14ac:dyDescent="0.25">
      <c r="A37" s="38" t="s">
        <v>202</v>
      </c>
      <c r="B37" s="20"/>
      <c r="C37" s="2"/>
      <c r="D37" s="2"/>
      <c r="E37" s="20"/>
      <c r="F37" s="2"/>
      <c r="G37" s="19">
        <v>2021</v>
      </c>
      <c r="H37" s="19">
        <v>2022</v>
      </c>
      <c r="I37" s="2"/>
      <c r="J37" s="2"/>
      <c r="K37" s="2"/>
      <c r="L37" s="2"/>
      <c r="M37" s="2"/>
      <c r="N37" s="2"/>
      <c r="O37" s="2"/>
      <c r="P37" s="2"/>
      <c r="Q37" s="2"/>
    </row>
    <row r="38" spans="1:17" ht="15" x14ac:dyDescent="0.25">
      <c r="A38" s="20"/>
      <c r="B38" s="20"/>
      <c r="C38" s="2"/>
      <c r="D38" s="2"/>
      <c r="E38" s="20"/>
      <c r="F38" s="2"/>
      <c r="G38" s="20"/>
      <c r="H38" s="20"/>
      <c r="I38" s="2"/>
      <c r="J38" s="2"/>
      <c r="K38" s="2"/>
      <c r="L38" s="2"/>
      <c r="M38" s="2"/>
      <c r="N38" s="2"/>
      <c r="O38" s="2"/>
      <c r="P38" s="2"/>
      <c r="Q38" s="2"/>
    </row>
    <row r="39" spans="1:17" ht="15" x14ac:dyDescent="0.25">
      <c r="A39" s="20" t="s">
        <v>138</v>
      </c>
      <c r="B39" s="20"/>
      <c r="C39" s="2"/>
      <c r="D39" s="2"/>
      <c r="E39" s="20"/>
      <c r="F39" s="2"/>
      <c r="G39" s="20"/>
      <c r="H39" s="20"/>
      <c r="I39" s="2"/>
      <c r="J39" s="2"/>
      <c r="K39" s="2"/>
      <c r="L39" s="2"/>
      <c r="M39" s="2"/>
      <c r="N39" s="2"/>
      <c r="O39" s="2"/>
      <c r="P39" s="2"/>
      <c r="Q39" s="2"/>
    </row>
    <row r="40" spans="1:17" ht="15" x14ac:dyDescent="0.25">
      <c r="A40" s="20"/>
      <c r="B40" s="20"/>
      <c r="C40" s="2"/>
      <c r="D40" s="2"/>
      <c r="E40" s="20"/>
      <c r="F40" s="2"/>
      <c r="G40" s="20"/>
      <c r="H40" s="20"/>
      <c r="I40" s="2"/>
      <c r="J40" s="2"/>
      <c r="K40" s="2"/>
      <c r="L40" s="2"/>
      <c r="M40" s="2"/>
      <c r="N40" s="2"/>
      <c r="O40" s="2"/>
      <c r="P40" s="2"/>
      <c r="Q40" s="2"/>
    </row>
    <row r="41" spans="1:17" ht="15" x14ac:dyDescent="0.25">
      <c r="A41" s="2"/>
      <c r="B41" s="20" t="s">
        <v>203</v>
      </c>
      <c r="C41" s="20"/>
      <c r="D41" s="2"/>
      <c r="E41" s="20"/>
      <c r="F41" s="2"/>
      <c r="G41" s="20"/>
      <c r="H41" s="20"/>
      <c r="I41" s="2"/>
      <c r="J41" s="2"/>
      <c r="K41" s="2"/>
      <c r="L41" s="2"/>
      <c r="M41" s="2"/>
      <c r="N41" s="2"/>
      <c r="O41" s="2"/>
      <c r="P41" s="2"/>
      <c r="Q41" s="2"/>
    </row>
    <row r="42" spans="1:17" ht="15" x14ac:dyDescent="0.25">
      <c r="A42" s="2"/>
      <c r="B42" s="2"/>
      <c r="C42" s="20" t="s">
        <v>204</v>
      </c>
      <c r="D42" s="2"/>
      <c r="E42" s="20"/>
      <c r="F42" s="2"/>
      <c r="G42" s="27">
        <v>-519960</v>
      </c>
      <c r="H42" s="27">
        <v>-454679</v>
      </c>
      <c r="I42" s="2"/>
      <c r="J42" s="2"/>
      <c r="K42" s="2"/>
      <c r="L42" s="2"/>
      <c r="M42" s="2"/>
      <c r="N42" s="2"/>
      <c r="O42" s="2"/>
      <c r="P42" s="2"/>
      <c r="Q42" s="2"/>
    </row>
    <row r="43" spans="1:17" ht="15" x14ac:dyDescent="0.25">
      <c r="A43" s="2"/>
      <c r="B43" s="2"/>
      <c r="C43" s="20" t="s">
        <v>205</v>
      </c>
      <c r="D43" s="2"/>
      <c r="E43" s="20"/>
      <c r="F43" s="2"/>
      <c r="G43" s="27">
        <v>-233605</v>
      </c>
      <c r="H43" s="27">
        <v>-213967</v>
      </c>
      <c r="I43" s="2"/>
      <c r="J43" s="2"/>
      <c r="K43" s="2"/>
      <c r="L43" s="2"/>
      <c r="M43" s="2"/>
      <c r="N43" s="2"/>
      <c r="O43" s="2"/>
      <c r="P43" s="2"/>
      <c r="Q43" s="2"/>
    </row>
    <row r="44" spans="1:17" ht="15" x14ac:dyDescent="0.25">
      <c r="A44" s="2"/>
      <c r="B44" s="2"/>
      <c r="C44" s="20" t="s">
        <v>206</v>
      </c>
      <c r="D44" s="2"/>
      <c r="E44" s="20"/>
      <c r="F44" s="2"/>
      <c r="G44" s="27">
        <v>-847254</v>
      </c>
      <c r="H44" s="27">
        <v>-838754</v>
      </c>
      <c r="I44" s="2"/>
      <c r="J44" s="2"/>
      <c r="K44" s="2"/>
      <c r="L44" s="2"/>
      <c r="M44" s="2"/>
      <c r="N44" s="2"/>
      <c r="O44" s="2"/>
      <c r="P44" s="2"/>
      <c r="Q44" s="2"/>
    </row>
    <row r="45" spans="1:17" ht="15" x14ac:dyDescent="0.25">
      <c r="A45" s="2"/>
      <c r="B45" s="2"/>
      <c r="C45" s="20" t="s">
        <v>207</v>
      </c>
      <c r="D45" s="2"/>
      <c r="E45" s="20"/>
      <c r="F45" s="2"/>
      <c r="G45" s="27">
        <v>-1600820</v>
      </c>
      <c r="H45" s="27">
        <v>-1507400</v>
      </c>
      <c r="I45" s="2"/>
      <c r="J45" s="2"/>
      <c r="K45" s="2"/>
      <c r="L45" s="2"/>
      <c r="M45" s="2"/>
      <c r="N45" s="2"/>
      <c r="O45" s="2"/>
      <c r="P45" s="2"/>
      <c r="Q45" s="2"/>
    </row>
    <row r="46" spans="1:17" ht="15" x14ac:dyDescent="0.25">
      <c r="A46" s="2"/>
      <c r="B46" s="20" t="s">
        <v>208</v>
      </c>
      <c r="C46" s="20"/>
      <c r="D46" s="2"/>
      <c r="E46" s="20"/>
      <c r="F46" s="2"/>
      <c r="G46" s="27">
        <v>0</v>
      </c>
      <c r="H46" s="27">
        <v>0</v>
      </c>
      <c r="I46" s="2"/>
      <c r="J46" s="2"/>
      <c r="K46" s="2"/>
      <c r="L46" s="2"/>
      <c r="M46" s="2"/>
      <c r="N46" s="2"/>
      <c r="O46" s="2"/>
      <c r="P46" s="2"/>
      <c r="Q46" s="2"/>
    </row>
    <row r="47" spans="1:17" ht="15" x14ac:dyDescent="0.25">
      <c r="A47" s="2"/>
      <c r="B47" s="20" t="s">
        <v>209</v>
      </c>
      <c r="C47" s="20"/>
      <c r="D47" s="2"/>
      <c r="E47" s="20"/>
      <c r="F47" s="2"/>
      <c r="G47" s="27">
        <v>-1600820</v>
      </c>
      <c r="H47" s="27">
        <v>-1507400</v>
      </c>
      <c r="I47" s="2"/>
      <c r="J47" s="2"/>
      <c r="K47" s="2"/>
      <c r="L47" s="2"/>
      <c r="M47" s="2"/>
      <c r="N47" s="2"/>
      <c r="O47" s="2"/>
      <c r="P47" s="2"/>
      <c r="Q47" s="2"/>
    </row>
    <row r="48" spans="1:17" ht="15" x14ac:dyDescent="0.25">
      <c r="A48" s="2"/>
      <c r="B48" s="20" t="s">
        <v>210</v>
      </c>
      <c r="C48" s="20"/>
      <c r="D48" s="2"/>
      <c r="E48" s="20"/>
      <c r="F48" s="2"/>
      <c r="G48" s="27">
        <v>0</v>
      </c>
      <c r="H48" s="27">
        <v>0</v>
      </c>
      <c r="I48" s="2"/>
      <c r="J48" s="2"/>
      <c r="K48" s="2"/>
      <c r="L48" s="2"/>
      <c r="M48" s="2"/>
      <c r="N48" s="2"/>
      <c r="O48" s="2"/>
      <c r="P48" s="2"/>
      <c r="Q48" s="2"/>
    </row>
    <row r="49" spans="1:17" ht="15" x14ac:dyDescent="0.25">
      <c r="A49" s="2"/>
      <c r="B49" s="20" t="s">
        <v>211</v>
      </c>
      <c r="C49" s="20"/>
      <c r="D49" s="2"/>
      <c r="E49" s="20"/>
      <c r="F49" s="2"/>
      <c r="G49" s="27">
        <v>-968587</v>
      </c>
      <c r="H49" s="27">
        <v>-1100993</v>
      </c>
      <c r="I49" s="2"/>
      <c r="J49" s="2"/>
      <c r="K49" s="2"/>
      <c r="L49" s="2"/>
      <c r="M49" s="2"/>
      <c r="N49" s="2"/>
      <c r="O49" s="2"/>
      <c r="P49" s="2"/>
      <c r="Q49" s="2"/>
    </row>
    <row r="50" spans="1:17" ht="15" x14ac:dyDescent="0.25">
      <c r="A50" s="20"/>
      <c r="B50" s="20"/>
      <c r="C50" s="2"/>
      <c r="D50" s="2"/>
      <c r="E50" s="20"/>
      <c r="F50" s="2"/>
      <c r="G50" s="20"/>
      <c r="H50" s="20"/>
      <c r="I50" s="2"/>
      <c r="J50" s="2"/>
      <c r="K50" s="2"/>
      <c r="L50" s="2"/>
      <c r="M50" s="2"/>
      <c r="N50" s="2"/>
      <c r="O50" s="2"/>
      <c r="P50" s="2"/>
      <c r="Q50" s="2"/>
    </row>
    <row r="51" spans="1:17" ht="15" x14ac:dyDescent="0.25">
      <c r="A51" s="20" t="s">
        <v>212</v>
      </c>
      <c r="B51" s="20"/>
      <c r="C51" s="2"/>
      <c r="D51" s="2"/>
      <c r="E51" s="20"/>
      <c r="F51" s="2"/>
      <c r="G51" s="20"/>
      <c r="H51" s="20"/>
      <c r="I51" s="2"/>
      <c r="J51" s="2"/>
      <c r="K51" s="2"/>
      <c r="L51" s="2"/>
      <c r="M51" s="2"/>
      <c r="N51" s="2"/>
      <c r="O51" s="2"/>
      <c r="P51" s="2"/>
      <c r="Q51" s="2"/>
    </row>
    <row r="52" spans="1:17" ht="15" x14ac:dyDescent="0.25">
      <c r="A52" s="20"/>
      <c r="B52" s="20"/>
      <c r="C52" s="2"/>
      <c r="D52" s="2"/>
      <c r="E52" s="20"/>
      <c r="F52" s="2"/>
      <c r="G52" s="20"/>
      <c r="H52" s="20"/>
      <c r="I52" s="2"/>
      <c r="J52" s="2"/>
      <c r="K52" s="2"/>
      <c r="L52" s="2"/>
      <c r="M52" s="2"/>
      <c r="N52" s="2"/>
      <c r="O52" s="2"/>
      <c r="P52" s="2"/>
      <c r="Q52" s="2"/>
    </row>
    <row r="53" spans="1:17" ht="15" x14ac:dyDescent="0.25">
      <c r="A53" s="2"/>
      <c r="B53" s="20" t="s">
        <v>213</v>
      </c>
      <c r="C53" s="2"/>
      <c r="D53" s="2"/>
      <c r="E53" s="20"/>
      <c r="F53" s="2"/>
      <c r="G53" s="27">
        <v>69775</v>
      </c>
      <c r="H53" s="27">
        <v>61912</v>
      </c>
      <c r="I53" s="2"/>
      <c r="J53" s="2"/>
      <c r="K53" s="2"/>
      <c r="L53" s="2"/>
      <c r="M53" s="2"/>
      <c r="N53" s="2"/>
      <c r="O53" s="2"/>
      <c r="P53" s="2"/>
      <c r="Q53" s="2"/>
    </row>
    <row r="54" spans="1:17" ht="15" x14ac:dyDescent="0.25">
      <c r="A54" s="2"/>
      <c r="B54" s="20" t="s">
        <v>214</v>
      </c>
      <c r="C54" s="2"/>
      <c r="D54" s="2"/>
      <c r="E54" s="20"/>
      <c r="F54" s="2"/>
      <c r="G54" s="27">
        <v>62176</v>
      </c>
      <c r="H54" s="27">
        <v>66122</v>
      </c>
      <c r="I54" s="2"/>
      <c r="J54" s="2"/>
      <c r="K54" s="2"/>
      <c r="L54" s="2"/>
      <c r="M54" s="2"/>
      <c r="N54" s="2"/>
      <c r="O54" s="2"/>
      <c r="P54" s="2"/>
      <c r="Q54" s="2"/>
    </row>
    <row r="55" spans="1:17" ht="15" x14ac:dyDescent="0.25">
      <c r="A55" s="2"/>
      <c r="B55" s="20" t="s">
        <v>215</v>
      </c>
      <c r="C55" s="2"/>
      <c r="D55" s="2"/>
      <c r="E55" s="20"/>
      <c r="F55" s="2"/>
      <c r="G55" s="27">
        <v>0</v>
      </c>
      <c r="H55" s="27">
        <v>0</v>
      </c>
      <c r="I55" s="2"/>
      <c r="J55" s="2"/>
      <c r="K55" s="2"/>
      <c r="L55" s="2"/>
      <c r="M55" s="2"/>
      <c r="N55" s="2"/>
      <c r="O55" s="2"/>
      <c r="P55" s="2"/>
      <c r="Q55" s="2"/>
    </row>
    <row r="56" spans="1:17" ht="15" x14ac:dyDescent="0.25">
      <c r="A56" s="2"/>
      <c r="B56" s="20" t="s">
        <v>216</v>
      </c>
      <c r="C56" s="2"/>
      <c r="D56" s="2"/>
      <c r="E56" s="20"/>
      <c r="F56" s="2"/>
      <c r="G56" s="27">
        <v>0</v>
      </c>
      <c r="H56" s="27">
        <v>0</v>
      </c>
      <c r="I56" s="2"/>
      <c r="J56" s="2"/>
      <c r="K56" s="2"/>
      <c r="L56" s="2"/>
      <c r="M56" s="2"/>
      <c r="N56" s="2"/>
      <c r="O56" s="2"/>
      <c r="P56" s="2"/>
      <c r="Q56" s="2"/>
    </row>
    <row r="57" spans="1:17" ht="15" x14ac:dyDescent="0.25">
      <c r="A57" s="2"/>
      <c r="B57" s="20" t="s">
        <v>217</v>
      </c>
      <c r="C57" s="2"/>
      <c r="D57" s="2"/>
      <c r="E57" s="20"/>
      <c r="F57" s="2"/>
      <c r="G57" s="27">
        <v>-67828</v>
      </c>
      <c r="H57" s="27">
        <v>-78663</v>
      </c>
      <c r="I57" s="2"/>
      <c r="J57" s="2"/>
      <c r="K57" s="2"/>
      <c r="L57" s="2"/>
      <c r="M57" s="2"/>
      <c r="N57" s="2"/>
      <c r="O57" s="2"/>
      <c r="P57" s="2"/>
      <c r="Q57" s="2"/>
    </row>
    <row r="58" spans="1:17" ht="15" x14ac:dyDescent="0.25">
      <c r="A58" s="2"/>
      <c r="B58" s="20" t="s">
        <v>218</v>
      </c>
      <c r="C58" s="2"/>
      <c r="D58" s="2"/>
      <c r="E58" s="20"/>
      <c r="F58" s="2"/>
      <c r="G58" s="27">
        <v>64123</v>
      </c>
      <c r="H58" s="27">
        <v>49371</v>
      </c>
      <c r="I58" s="2"/>
      <c r="J58" s="2"/>
      <c r="K58" s="2"/>
      <c r="L58" s="2"/>
      <c r="M58" s="2"/>
      <c r="N58" s="2"/>
      <c r="O58" s="2"/>
      <c r="P58" s="2"/>
      <c r="Q58" s="2"/>
    </row>
    <row r="59" spans="1:17" ht="15" x14ac:dyDescent="0.25">
      <c r="A59" s="2"/>
      <c r="B59" s="20" t="s">
        <v>219</v>
      </c>
      <c r="C59" s="2"/>
      <c r="D59" s="2"/>
      <c r="E59" s="20"/>
      <c r="F59" s="2"/>
      <c r="G59" s="20"/>
      <c r="H59" s="20"/>
      <c r="I59" s="2"/>
      <c r="J59" s="2"/>
      <c r="K59" s="2"/>
      <c r="L59" s="2"/>
      <c r="M59" s="2"/>
      <c r="N59" s="2"/>
      <c r="O59" s="2"/>
      <c r="P59" s="2"/>
      <c r="Q59" s="2"/>
    </row>
    <row r="60" spans="1:17" ht="15" x14ac:dyDescent="0.25">
      <c r="A60" s="20"/>
      <c r="B60" s="20"/>
      <c r="C60" s="2"/>
      <c r="D60" s="2"/>
      <c r="E60" s="20"/>
      <c r="F60" s="2"/>
      <c r="G60" s="20"/>
      <c r="H60" s="20"/>
      <c r="I60" s="2"/>
      <c r="J60" s="2"/>
      <c r="K60" s="2"/>
      <c r="L60" s="2"/>
      <c r="M60" s="2"/>
      <c r="N60" s="2"/>
      <c r="O60" s="2"/>
      <c r="P60" s="2"/>
      <c r="Q60" s="2"/>
    </row>
    <row r="61" spans="1:17" ht="15" x14ac:dyDescent="0.25">
      <c r="A61" s="20" t="s">
        <v>220</v>
      </c>
      <c r="B61" s="20"/>
      <c r="C61" s="2"/>
      <c r="D61" s="2"/>
      <c r="E61" s="20"/>
      <c r="F61" s="2"/>
      <c r="G61" s="27">
        <v>-25137</v>
      </c>
      <c r="H61" s="27">
        <v>-26980</v>
      </c>
      <c r="I61" s="2"/>
      <c r="J61" s="2"/>
      <c r="K61" s="2"/>
      <c r="L61" s="2"/>
      <c r="M61" s="2"/>
      <c r="N61" s="2"/>
      <c r="O61" s="2"/>
      <c r="P61" s="2"/>
      <c r="Q61" s="2"/>
    </row>
    <row r="62" spans="1:17" ht="15" x14ac:dyDescent="0.25">
      <c r="A62" s="20"/>
      <c r="B62" s="20"/>
      <c r="C62" s="2"/>
      <c r="D62" s="2"/>
      <c r="E62" s="20"/>
      <c r="F62" s="2"/>
      <c r="G62" s="20"/>
      <c r="H62" s="20"/>
      <c r="I62" s="2"/>
      <c r="J62" s="2"/>
      <c r="K62" s="2"/>
      <c r="L62" s="2"/>
      <c r="M62" s="2"/>
      <c r="N62" s="2"/>
      <c r="O62" s="2"/>
      <c r="P62" s="2"/>
      <c r="Q62" s="2"/>
    </row>
    <row r="63" spans="1:17" ht="15" x14ac:dyDescent="0.25">
      <c r="A63" s="20" t="s">
        <v>221</v>
      </c>
      <c r="B63" s="20"/>
      <c r="C63" s="2"/>
      <c r="D63" s="2"/>
      <c r="E63" s="20"/>
      <c r="F63" s="2"/>
      <c r="G63" s="39">
        <v>11.92</v>
      </c>
      <c r="H63" s="39">
        <v>12.080000000000002</v>
      </c>
      <c r="I63" s="2"/>
      <c r="J63" s="2"/>
      <c r="K63" s="2"/>
      <c r="L63" s="2"/>
      <c r="M63" s="2"/>
      <c r="N63" s="2"/>
      <c r="O63" s="2"/>
      <c r="P63" s="2"/>
      <c r="Q63" s="2"/>
    </row>
    <row r="64" spans="1:17" ht="15" x14ac:dyDescent="0.25">
      <c r="A64" s="20"/>
      <c r="B64" s="20"/>
      <c r="C64" s="2"/>
      <c r="D64" s="2"/>
      <c r="E64" s="20"/>
      <c r="F64" s="2"/>
      <c r="G64" s="39"/>
      <c r="H64" s="39"/>
      <c r="I64" s="2"/>
      <c r="J64" s="2"/>
      <c r="K64" s="2"/>
      <c r="L64" s="2"/>
      <c r="M64" s="2"/>
      <c r="N64" s="2"/>
      <c r="O64" s="2"/>
      <c r="P64" s="2"/>
      <c r="Q64" s="2"/>
    </row>
    <row r="65" spans="1:17" ht="15" x14ac:dyDescent="0.25">
      <c r="A65" s="20" t="s">
        <v>222</v>
      </c>
      <c r="B65" s="20"/>
      <c r="C65" s="2"/>
      <c r="D65" s="2"/>
      <c r="E65" s="20"/>
      <c r="F65" s="2"/>
      <c r="G65" s="39">
        <v>8.92</v>
      </c>
      <c r="H65" s="39">
        <v>9.0800000000000018</v>
      </c>
      <c r="I65" s="2"/>
      <c r="J65" s="2"/>
      <c r="K65" s="2"/>
      <c r="L65" s="2"/>
      <c r="M65" s="2"/>
      <c r="N65" s="2"/>
      <c r="O65" s="2"/>
      <c r="P65" s="2"/>
      <c r="Q65" s="2"/>
    </row>
    <row r="66" spans="1:17" ht="15" x14ac:dyDescent="0.25">
      <c r="A66" s="20"/>
      <c r="B66" s="20"/>
      <c r="C66" s="2"/>
      <c r="D66" s="2"/>
      <c r="E66" s="20"/>
      <c r="F66" s="2"/>
      <c r="G66" s="39"/>
      <c r="H66" s="39"/>
      <c r="I66" s="2"/>
      <c r="J66" s="2"/>
      <c r="K66" s="2"/>
      <c r="L66" s="2"/>
      <c r="M66" s="2"/>
      <c r="N66" s="2"/>
      <c r="O66" s="2"/>
      <c r="P66" s="2"/>
      <c r="Q66" s="2"/>
    </row>
    <row r="67" spans="1:17" ht="15" x14ac:dyDescent="0.25">
      <c r="A67" s="20" t="s">
        <v>223</v>
      </c>
      <c r="B67" s="20"/>
      <c r="C67" s="2"/>
      <c r="D67" s="2"/>
      <c r="E67" s="20"/>
      <c r="F67" s="2"/>
      <c r="G67" s="30">
        <v>17.5</v>
      </c>
      <c r="H67" s="30">
        <v>17.600000000000001</v>
      </c>
      <c r="I67" s="2"/>
      <c r="J67" s="2"/>
      <c r="K67" s="2"/>
      <c r="L67" s="2"/>
      <c r="M67" s="2"/>
      <c r="N67" s="2"/>
      <c r="O67" s="2"/>
      <c r="P67" s="2"/>
      <c r="Q67" s="2"/>
    </row>
    <row r="68" spans="1:17" ht="15" x14ac:dyDescent="0.25">
      <c r="A68" s="20"/>
      <c r="B68" s="20"/>
      <c r="C68" s="2"/>
      <c r="D68" s="2"/>
      <c r="E68" s="20"/>
      <c r="F68" s="2"/>
      <c r="G68" s="20"/>
      <c r="H68" s="20"/>
      <c r="I68" s="2"/>
      <c r="J68" s="2"/>
      <c r="K68" s="2"/>
      <c r="L68" s="2"/>
      <c r="M68" s="2"/>
      <c r="N68" s="2"/>
      <c r="O68" s="2"/>
      <c r="P68" s="2"/>
      <c r="Q68" s="2"/>
    </row>
    <row r="69" spans="1:17" ht="15" x14ac:dyDescent="0.25">
      <c r="A69" s="20" t="s">
        <v>224</v>
      </c>
      <c r="B69" s="20"/>
      <c r="C69" s="2"/>
      <c r="D69" s="2"/>
      <c r="E69" s="20"/>
      <c r="F69" s="2"/>
      <c r="G69" s="20"/>
      <c r="H69" s="20"/>
      <c r="I69" s="2"/>
      <c r="J69" s="2"/>
      <c r="K69" s="2"/>
      <c r="L69" s="2"/>
      <c r="M69" s="2"/>
      <c r="N69" s="2"/>
      <c r="O69" s="2"/>
      <c r="P69" s="2"/>
      <c r="Q69" s="2"/>
    </row>
    <row r="70" spans="1:17" ht="15" x14ac:dyDescent="0.25">
      <c r="A70" s="20"/>
      <c r="B70" s="20"/>
      <c r="C70" s="2"/>
      <c r="D70" s="2"/>
      <c r="E70" s="20"/>
      <c r="F70" s="2"/>
      <c r="G70" s="20"/>
      <c r="H70" s="20"/>
      <c r="I70" s="2"/>
      <c r="J70" s="2"/>
      <c r="K70" s="2"/>
      <c r="L70" s="2"/>
      <c r="M70" s="2"/>
      <c r="N70" s="2"/>
      <c r="O70" s="2"/>
      <c r="P70" s="2"/>
      <c r="Q70" s="2"/>
    </row>
    <row r="71" spans="1:17" ht="15" x14ac:dyDescent="0.25">
      <c r="A71" s="2"/>
      <c r="B71" s="20" t="s">
        <v>225</v>
      </c>
      <c r="C71" s="2"/>
      <c r="D71" s="2"/>
      <c r="E71" s="20"/>
      <c r="F71" s="2"/>
      <c r="G71" s="31">
        <v>3.7499999999999999E-2</v>
      </c>
      <c r="H71" s="31">
        <v>4.2500000000000003E-2</v>
      </c>
      <c r="I71" s="2"/>
      <c r="J71" s="2"/>
      <c r="K71" s="2"/>
      <c r="L71" s="2"/>
      <c r="M71" s="2"/>
      <c r="N71" s="2"/>
      <c r="O71" s="2"/>
      <c r="P71" s="2"/>
      <c r="Q71" s="2"/>
    </row>
    <row r="72" spans="1:17" ht="15" x14ac:dyDescent="0.25">
      <c r="A72" s="2"/>
      <c r="B72" s="20" t="s">
        <v>226</v>
      </c>
      <c r="C72" s="2"/>
      <c r="D72" s="2"/>
      <c r="E72" s="20"/>
      <c r="F72" s="2"/>
      <c r="G72" s="40" t="s">
        <v>227</v>
      </c>
      <c r="H72" s="40" t="s">
        <v>227</v>
      </c>
      <c r="I72" s="2"/>
      <c r="J72" s="2"/>
      <c r="K72" s="2"/>
      <c r="L72" s="2"/>
      <c r="M72" s="2"/>
      <c r="N72" s="2"/>
      <c r="O72" s="2"/>
      <c r="P72" s="2"/>
      <c r="Q72" s="2"/>
    </row>
    <row r="73" spans="1:17" ht="15" x14ac:dyDescent="0.25">
      <c r="A73" s="2"/>
      <c r="B73" s="20" t="s">
        <v>228</v>
      </c>
      <c r="C73" s="2"/>
      <c r="D73" s="2"/>
      <c r="E73" s="20"/>
      <c r="F73" s="2"/>
      <c r="G73" s="20"/>
      <c r="H73" s="20"/>
      <c r="I73" s="2"/>
      <c r="J73" s="2"/>
      <c r="K73" s="2"/>
      <c r="L73" s="2"/>
      <c r="M73" s="2"/>
      <c r="N73" s="2"/>
      <c r="O73" s="2"/>
      <c r="P73" s="2"/>
      <c r="Q73" s="2"/>
    </row>
    <row r="74" spans="1:17" ht="15" x14ac:dyDescent="0.25">
      <c r="A74" s="2"/>
      <c r="B74" s="2"/>
      <c r="C74" s="20" t="s">
        <v>229</v>
      </c>
      <c r="D74" s="2"/>
      <c r="E74" s="20"/>
      <c r="F74" s="2"/>
      <c r="G74" s="31">
        <v>0.05</v>
      </c>
      <c r="H74" s="31">
        <v>4.7500000000000001E-2</v>
      </c>
      <c r="I74" s="2"/>
      <c r="J74" s="2"/>
      <c r="K74" s="2"/>
      <c r="L74" s="2"/>
      <c r="M74" s="2"/>
      <c r="N74" s="2"/>
      <c r="O74" s="2"/>
      <c r="P74" s="2"/>
      <c r="Q74" s="2"/>
    </row>
    <row r="75" spans="1:17" ht="15" x14ac:dyDescent="0.25">
      <c r="A75" s="2"/>
      <c r="B75" s="2"/>
      <c r="C75" s="20" t="s">
        <v>230</v>
      </c>
      <c r="D75" s="2"/>
      <c r="E75" s="20"/>
      <c r="F75" s="2"/>
      <c r="G75" s="31">
        <v>2.5000000000000001E-3</v>
      </c>
      <c r="H75" s="31">
        <v>2.5000000000000001E-3</v>
      </c>
      <c r="I75" s="2"/>
      <c r="J75" s="2"/>
      <c r="K75" s="2"/>
      <c r="L75" s="2"/>
      <c r="M75" s="2"/>
      <c r="N75" s="2"/>
      <c r="O75" s="2"/>
      <c r="P75" s="2"/>
      <c r="Q75" s="2"/>
    </row>
    <row r="76" spans="1:17" ht="15" x14ac:dyDescent="0.25">
      <c r="A76" s="2"/>
      <c r="B76" s="2"/>
      <c r="C76" s="20" t="s">
        <v>231</v>
      </c>
      <c r="D76" s="2"/>
      <c r="E76" s="20"/>
      <c r="F76" s="2"/>
      <c r="G76" s="31">
        <v>4.4999999999999998E-2</v>
      </c>
      <c r="H76" s="31">
        <v>4.4999999999999998E-2</v>
      </c>
      <c r="I76" s="2"/>
      <c r="J76" s="2"/>
      <c r="K76" s="2"/>
      <c r="L76" s="2"/>
      <c r="M76" s="2"/>
      <c r="N76" s="2"/>
      <c r="O76" s="2"/>
      <c r="P76" s="2"/>
      <c r="Q76" s="2"/>
    </row>
    <row r="77" spans="1:17" ht="15" x14ac:dyDescent="0.25">
      <c r="A77" s="2"/>
      <c r="B77" s="2"/>
      <c r="C77" s="20" t="s">
        <v>232</v>
      </c>
      <c r="D77" s="2"/>
      <c r="E77" s="20"/>
      <c r="F77" s="2"/>
      <c r="G77" s="20">
        <v>2023</v>
      </c>
      <c r="H77" s="20">
        <v>2023</v>
      </c>
      <c r="I77" s="2"/>
      <c r="J77" s="2"/>
      <c r="K77" s="2"/>
      <c r="L77" s="2"/>
      <c r="M77" s="2"/>
      <c r="N77" s="2"/>
      <c r="O77" s="2"/>
      <c r="P77" s="2"/>
      <c r="Q77" s="2"/>
    </row>
    <row r="78" spans="1:17" ht="15" x14ac:dyDescent="0.25">
      <c r="A78" s="2"/>
      <c r="B78" s="20" t="s">
        <v>233</v>
      </c>
      <c r="C78" s="2"/>
      <c r="D78" s="2"/>
      <c r="E78" s="20"/>
      <c r="F78" s="2"/>
      <c r="G78" s="31">
        <v>2.75E-2</v>
      </c>
      <c r="H78" s="31">
        <v>2.5000000000000001E-2</v>
      </c>
      <c r="I78" s="2"/>
      <c r="J78" s="2"/>
      <c r="K78" s="2"/>
      <c r="L78" s="2"/>
      <c r="M78" s="2"/>
      <c r="N78" s="2"/>
      <c r="O78" s="2"/>
      <c r="P78" s="2"/>
      <c r="Q78" s="2"/>
    </row>
    <row r="79" spans="1:17" ht="15" x14ac:dyDescent="0.25">
      <c r="A79" s="2"/>
      <c r="B79" s="20" t="s">
        <v>234</v>
      </c>
      <c r="C79" s="2"/>
      <c r="D79" s="2"/>
      <c r="E79" s="20"/>
      <c r="F79" s="2"/>
      <c r="G79" s="27">
        <v>16600</v>
      </c>
      <c r="H79" s="27">
        <v>17000</v>
      </c>
      <c r="I79" s="2"/>
      <c r="J79" s="2"/>
      <c r="K79" s="2"/>
      <c r="L79" s="2"/>
      <c r="M79" s="2"/>
      <c r="N79" s="2"/>
      <c r="O79" s="2"/>
      <c r="P79" s="2"/>
      <c r="Q79" s="2"/>
    </row>
    <row r="80" spans="1:17" ht="15" x14ac:dyDescent="0.25">
      <c r="A80" s="2"/>
      <c r="B80" s="20" t="s">
        <v>235</v>
      </c>
      <c r="C80" s="2"/>
      <c r="D80" s="2"/>
      <c r="E80" s="20"/>
      <c r="F80" s="2"/>
      <c r="G80" s="20" t="s">
        <v>236</v>
      </c>
      <c r="H80" s="20"/>
      <c r="I80" s="2"/>
      <c r="J80" s="2"/>
      <c r="K80" s="2"/>
      <c r="L80" s="2"/>
      <c r="M80" s="2"/>
      <c r="N80" s="2"/>
      <c r="O80" s="2"/>
      <c r="P80" s="2"/>
      <c r="Q80" s="2"/>
    </row>
    <row r="81" spans="1:17" ht="15" x14ac:dyDescent="0.25">
      <c r="A81" s="2"/>
      <c r="B81" s="20" t="s">
        <v>237</v>
      </c>
      <c r="C81" s="2"/>
      <c r="D81" s="2"/>
      <c r="E81" s="20"/>
      <c r="F81" s="2"/>
      <c r="G81" s="20" t="s">
        <v>238</v>
      </c>
      <c r="H81" s="20"/>
      <c r="I81" s="2"/>
      <c r="J81" s="2"/>
      <c r="K81" s="2"/>
      <c r="L81" s="2"/>
      <c r="M81" s="2"/>
      <c r="N81" s="2"/>
      <c r="O81" s="2"/>
      <c r="P81" s="2"/>
      <c r="Q81" s="2"/>
    </row>
    <row r="82" spans="1:17" ht="15" x14ac:dyDescent="0.25">
      <c r="A82" s="2"/>
      <c r="B82" s="20" t="s">
        <v>239</v>
      </c>
      <c r="C82" s="2"/>
      <c r="D82" s="2"/>
      <c r="E82" s="20"/>
      <c r="F82" s="2"/>
      <c r="G82" s="20" t="s">
        <v>177</v>
      </c>
      <c r="H82" s="20"/>
      <c r="I82" s="2"/>
      <c r="J82" s="2"/>
      <c r="K82" s="2"/>
      <c r="L82" s="2"/>
      <c r="M82" s="2"/>
      <c r="N82" s="2"/>
      <c r="O82" s="2"/>
      <c r="P82" s="2"/>
      <c r="Q82" s="2"/>
    </row>
    <row r="83" spans="1:17" ht="15" x14ac:dyDescent="0.25">
      <c r="A83" s="20"/>
      <c r="B83" s="20"/>
      <c r="C83" s="20"/>
      <c r="D83" s="20"/>
      <c r="E83" s="20"/>
      <c r="F83" s="20"/>
      <c r="G83" s="2"/>
      <c r="H83" s="2"/>
      <c r="I83" s="2"/>
      <c r="J83" s="2"/>
      <c r="K83" s="2"/>
      <c r="L83" s="2"/>
      <c r="M83" s="2"/>
      <c r="N83" s="2"/>
      <c r="O83" s="2"/>
      <c r="P83" s="2"/>
      <c r="Q83" s="2"/>
    </row>
    <row r="84" spans="1:17" ht="15" x14ac:dyDescent="0.25">
      <c r="A84" s="20"/>
      <c r="B84" s="20"/>
      <c r="C84" s="20"/>
      <c r="D84" s="20"/>
      <c r="E84" s="20"/>
      <c r="F84" s="20"/>
      <c r="G84" s="2"/>
      <c r="H84" s="2"/>
      <c r="I84" s="2"/>
      <c r="J84" s="2"/>
      <c r="K84" s="2"/>
      <c r="L84" s="2"/>
      <c r="M84" s="2"/>
      <c r="N84" s="2"/>
      <c r="O84" s="2"/>
      <c r="P84" s="2"/>
      <c r="Q84" s="2"/>
    </row>
    <row r="85" spans="1:17" ht="15" x14ac:dyDescent="0.25">
      <c r="A85" s="2" t="s">
        <v>136</v>
      </c>
      <c r="B85" s="20"/>
      <c r="C85" s="20"/>
      <c r="D85" s="20"/>
      <c r="E85" s="20"/>
      <c r="F85" s="20"/>
      <c r="G85" s="2"/>
      <c r="H85" s="2"/>
      <c r="I85" s="2"/>
      <c r="J85" s="2"/>
      <c r="K85" s="2"/>
      <c r="L85" s="2"/>
      <c r="M85" s="2"/>
      <c r="N85" s="2"/>
      <c r="O85" s="2"/>
      <c r="P85" s="2"/>
      <c r="Q85" s="2"/>
    </row>
    <row r="86" spans="1:17" ht="15" x14ac:dyDescent="0.25">
      <c r="A86" s="20"/>
      <c r="B86" s="20"/>
      <c r="C86" s="20"/>
      <c r="D86" s="20"/>
      <c r="E86" s="20"/>
      <c r="F86" s="20"/>
      <c r="G86" s="2"/>
      <c r="H86" s="2"/>
      <c r="I86" s="2"/>
      <c r="J86" s="2"/>
      <c r="K86" s="2"/>
      <c r="L86" s="2"/>
      <c r="M86" s="2"/>
      <c r="N86" s="2"/>
      <c r="O86" s="2"/>
      <c r="P86" s="2"/>
      <c r="Q86" s="2"/>
    </row>
    <row r="87" spans="1:17" ht="15" x14ac:dyDescent="0.25">
      <c r="A87" s="20"/>
      <c r="B87" s="20"/>
      <c r="C87" s="20"/>
      <c r="D87" s="20"/>
      <c r="E87" s="20"/>
      <c r="F87" s="20"/>
      <c r="G87" s="2"/>
      <c r="H87" s="2"/>
      <c r="I87" s="2"/>
      <c r="J87" s="2"/>
      <c r="K87" s="2"/>
      <c r="L87" s="2"/>
      <c r="M87" s="2"/>
      <c r="N87" s="2"/>
      <c r="O87" s="2"/>
      <c r="P87" s="2"/>
      <c r="Q87" s="2"/>
    </row>
    <row r="88" spans="1:17" ht="15" x14ac:dyDescent="0.25">
      <c r="A88" s="20"/>
      <c r="B88" s="20"/>
      <c r="C88" s="20"/>
      <c r="D88" s="20"/>
      <c r="E88" s="20"/>
      <c r="F88" s="20"/>
      <c r="G88" s="2"/>
      <c r="H88" s="2"/>
      <c r="I88" s="2"/>
      <c r="J88" s="2"/>
      <c r="K88" s="2"/>
      <c r="L88" s="2"/>
      <c r="M88" s="2"/>
      <c r="N88" s="2"/>
      <c r="O88" s="2"/>
      <c r="P88" s="2"/>
      <c r="Q88" s="2"/>
    </row>
    <row r="89" spans="1:17" ht="15" x14ac:dyDescent="0.25">
      <c r="A89" s="20"/>
      <c r="B89" s="20"/>
      <c r="C89" s="20"/>
      <c r="D89" s="20"/>
      <c r="E89" s="20"/>
      <c r="F89" s="20"/>
      <c r="G89" s="2"/>
      <c r="H89" s="2"/>
      <c r="I89" s="2"/>
      <c r="J89" s="2"/>
      <c r="K89" s="2"/>
      <c r="L89" s="2"/>
      <c r="M89" s="2"/>
      <c r="N89" s="2"/>
      <c r="O89" s="2"/>
      <c r="P89" s="2"/>
      <c r="Q89" s="2"/>
    </row>
    <row r="90" spans="1:17" ht="15" x14ac:dyDescent="0.25">
      <c r="A90" s="20"/>
      <c r="B90" s="20"/>
      <c r="C90" s="20"/>
      <c r="D90" s="20"/>
      <c r="E90" s="20"/>
      <c r="F90" s="20"/>
      <c r="G90" s="2"/>
      <c r="H90" s="2"/>
      <c r="I90" s="2"/>
      <c r="J90" s="2"/>
      <c r="K90" s="2"/>
      <c r="L90" s="2"/>
      <c r="M90" s="2"/>
      <c r="N90" s="2"/>
      <c r="O90" s="2"/>
      <c r="P90" s="2"/>
      <c r="Q90" s="2"/>
    </row>
    <row r="91" spans="1:17" ht="15" x14ac:dyDescent="0.25">
      <c r="A91" s="20"/>
      <c r="B91" s="20"/>
      <c r="C91" s="20"/>
      <c r="D91" s="20"/>
      <c r="E91" s="20"/>
      <c r="F91" s="20"/>
      <c r="G91" s="2"/>
      <c r="H91" s="2"/>
      <c r="I91" s="2"/>
      <c r="J91" s="2"/>
      <c r="K91" s="2"/>
      <c r="L91" s="2"/>
      <c r="M91" s="2"/>
      <c r="N91" s="2"/>
      <c r="O91" s="2"/>
      <c r="P91" s="2"/>
      <c r="Q91" s="2"/>
    </row>
    <row r="92" spans="1:17" ht="15" x14ac:dyDescent="0.25">
      <c r="A92" s="20"/>
      <c r="B92" s="20"/>
      <c r="C92" s="20"/>
      <c r="D92" s="20"/>
      <c r="E92" s="20"/>
      <c r="F92" s="20"/>
      <c r="G92" s="2"/>
      <c r="H92" s="2"/>
      <c r="I92" s="2"/>
      <c r="J92" s="2"/>
      <c r="K92" s="2"/>
      <c r="L92" s="2"/>
      <c r="M92" s="2"/>
      <c r="N92" s="2"/>
      <c r="O92" s="2"/>
      <c r="P92" s="2"/>
      <c r="Q92" s="2"/>
    </row>
    <row r="93" spans="1:17" ht="15" x14ac:dyDescent="0.25">
      <c r="A93" s="20"/>
      <c r="B93" s="20"/>
      <c r="C93" s="20"/>
      <c r="D93" s="20"/>
      <c r="E93" s="20"/>
      <c r="F93" s="20"/>
      <c r="G93" s="2"/>
      <c r="H93" s="2"/>
      <c r="I93" s="2"/>
      <c r="J93" s="2"/>
      <c r="K93" s="2"/>
      <c r="L93" s="2"/>
      <c r="M93" s="2"/>
      <c r="N93" s="2"/>
      <c r="O93" s="2"/>
      <c r="P93" s="2"/>
      <c r="Q93" s="2"/>
    </row>
    <row r="94" spans="1:17" ht="15" x14ac:dyDescent="0.25">
      <c r="A94" s="20"/>
      <c r="B94" s="20"/>
      <c r="C94" s="20"/>
      <c r="D94" s="20"/>
      <c r="E94" s="20"/>
      <c r="F94" s="20"/>
      <c r="G94" s="2"/>
      <c r="H94" s="2"/>
      <c r="I94" s="2"/>
      <c r="J94" s="2"/>
      <c r="K94" s="2"/>
      <c r="L94" s="2"/>
      <c r="M94" s="2"/>
      <c r="N94" s="2"/>
      <c r="O94" s="2"/>
      <c r="P94" s="2"/>
      <c r="Q94" s="2"/>
    </row>
    <row r="95" spans="1:17" ht="15" x14ac:dyDescent="0.25">
      <c r="A95" s="20"/>
      <c r="B95" s="20"/>
      <c r="C95" s="20"/>
      <c r="D95" s="20"/>
      <c r="E95" s="20"/>
      <c r="F95" s="20"/>
      <c r="G95" s="2"/>
      <c r="H95" s="2"/>
      <c r="I95" s="2"/>
      <c r="J95" s="2"/>
      <c r="K95" s="2"/>
      <c r="L95" s="2"/>
      <c r="M95" s="2"/>
      <c r="N95" s="2"/>
      <c r="O95" s="2"/>
      <c r="P95" s="2"/>
      <c r="Q95" s="2"/>
    </row>
  </sheetData>
  <sheetProtection algorithmName="SHA-512" hashValue="Vq1N2/tKtFZIgyodrmq1d/ww1utuNTvrVYfnsimUexuBFE4IerU1WhKXWLOGNCdzYZnkb5vY92fxKOccDpkKWA==" saltValue="7RCQabo8CsK4aJqNdwQQjQ==" spinCount="100000" sheet="1" objects="1" scenarios="1"/>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Question 2</vt:lpstr>
      <vt:lpstr>Question 5</vt:lpstr>
      <vt:lpstr>Question 8</vt:lpstr>
      <vt:lpstr>Question 9</vt:lpstr>
      <vt:lpstr>Question 11</vt:lpstr>
      <vt:lpstr>Overview Case Study</vt:lpstr>
      <vt:lpstr>Pension Case Study</vt:lpstr>
      <vt:lpstr>Retiree Health Case Study</vt:lpstr>
      <vt:lpstr>'Overview Case Study'!Print_Area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2022-12-09T21:15:49Z</dcterms:created>
  <dcterms:modified xsi:type="dcterms:W3CDTF">2023-01-23T20:41:48Z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0d6ce11c-d4a0-4ace-882a-d48108cff5be</vt:lpwstr>
  </property>
  <property fmtid="{D5CDD505-2E9C-101B-9397-08002B2CF9AE}" pid="3" name="AonClassification">
    <vt:lpwstr>ADC_class_300</vt:lpwstr>
  </property>
  <property fmtid="{D5CDD505-2E9C-101B-9397-08002B2CF9AE}" pid="4" name="AonRestricted">
    <vt:lpwstr>ARL_option_000</vt:lpwstr>
  </property>
  <property fmtid="{D5CDD505-2E9C-101B-9397-08002B2CF9AE}" pid="5" name="AonVisualMarkings">
    <vt:lpwstr>None</vt:lpwstr>
  </property>
</Properties>
</file>