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2 solutions\"/>
    </mc:Choice>
  </mc:AlternateContent>
  <xr:revisionPtr revIDLastSave="0" documentId="8_{45D7D78C-846D-4198-8169-F2296C5B8020}" xr6:coauthVersionLast="47" xr6:coauthVersionMax="47" xr10:uidLastSave="{00000000-0000-0000-0000-000000000000}"/>
  <bookViews>
    <workbookView xWindow="31440" yWindow="405" windowWidth="17280" windowHeight="8970" activeTab="2" xr2:uid="{00000000-000D-0000-FFFF-FFFF00000000}"/>
  </bookViews>
  <sheets>
    <sheet name="Exam Questions --&gt;" sheetId="39" r:id="rId1"/>
    <sheet name="Q2(a)(cash flow)" sheetId="51" r:id="rId2"/>
    <sheet name="Q2(a)(rank)" sheetId="52" r:id="rId3"/>
    <sheet name="Q6 (a)i-ii" sheetId="61" r:id="rId4"/>
    <sheet name="Q6 (b)i-ii" sheetId="62" r:id="rId5"/>
    <sheet name="Q6(a)(i)(ii)" sheetId="53" state="hidden" r:id="rId6"/>
    <sheet name="Q6(b)(i)(ii)(iii)" sheetId="54" state="hidden" r:id="rId7"/>
    <sheet name="Case Study Exhibits --&gt;" sheetId="29" state="hidden" r:id="rId8"/>
    <sheet name="Big Ben Inc St 1.5 " sheetId="55" state="hidden" r:id="rId9"/>
    <sheet name="Big Ben BS 1.5" sheetId="56" state="hidden" r:id="rId10"/>
    <sheet name="Lyon Sect 2.11 &amp; 3.4" sheetId="57" state="hidden" r:id="rId11"/>
    <sheet name="SLIC 3.4" sheetId="58" state="hidden" r:id="rId12"/>
    <sheet name="AHA 3.4" sheetId="59" state="hidden" r:id="rId13"/>
    <sheet name="Pryde 3.4" sheetId="60" state="hidden" r:id="rId14"/>
  </sheets>
  <externalReferences>
    <externalReference r:id="rId15"/>
    <externalReference r:id="rId16"/>
  </externalReferences>
  <definedNames>
    <definedName name="_xlnm._FilterDatabase" localSheetId="2" hidden="1">'Q2(a)(rank)'!$A$9:$C$9</definedName>
    <definedName name="BaseYear">#REF!</definedName>
    <definedName name="CognitiveLevels">#REF!</definedName>
    <definedName name="CommonGuidance">#REF!</definedName>
    <definedName name="Divisor">[1]Inputs!$B$2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1">#REF!</definedName>
    <definedName name="LO_2">#REF!</definedName>
    <definedName name="LOList">#REF!</definedName>
    <definedName name="Q_sources">#REF!</definedName>
    <definedName name="SyllabusListing">#REF!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62" l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0" i="62" s="1"/>
  <c r="A41" i="62" s="1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0" i="62" s="1"/>
  <c r="A61" i="62" s="1"/>
  <c r="A62" i="62" s="1"/>
  <c r="A63" i="62" s="1"/>
  <c r="A64" i="62" s="1"/>
  <c r="A65" i="62" s="1"/>
  <c r="A66" i="62" s="1"/>
  <c r="A67" i="62" s="1"/>
  <c r="A68" i="62" s="1"/>
  <c r="A69" i="62" s="1"/>
  <c r="A70" i="62" s="1"/>
  <c r="A71" i="62" s="1"/>
  <c r="A72" i="62" s="1"/>
  <c r="A73" i="62" s="1"/>
  <c r="A74" i="62" s="1"/>
  <c r="A75" i="62" s="1"/>
  <c r="A76" i="62" s="1"/>
  <c r="A77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  <c r="A96" i="62" s="1"/>
  <c r="A97" i="62" s="1"/>
  <c r="A98" i="62" s="1"/>
  <c r="A99" i="62" s="1"/>
  <c r="A100" i="62" s="1"/>
  <c r="A101" i="62" s="1"/>
  <c r="A102" i="62" s="1"/>
  <c r="A103" i="62" s="1"/>
  <c r="A104" i="62" s="1"/>
  <c r="A105" i="62" s="1"/>
  <c r="A106" i="62" s="1"/>
  <c r="A107" i="62" s="1"/>
  <c r="A108" i="62" s="1"/>
  <c r="A109" i="62" s="1"/>
  <c r="A110" i="62" s="1"/>
  <c r="A111" i="62" s="1"/>
  <c r="C115" i="62"/>
  <c r="C116" i="62" s="1"/>
  <c r="C117" i="62" s="1"/>
  <c r="D115" i="62"/>
  <c r="D116" i="62" s="1"/>
  <c r="D117" i="62" s="1"/>
  <c r="D118" i="62" s="1"/>
  <c r="E115" i="62"/>
  <c r="E116" i="62" s="1"/>
  <c r="F11" i="61"/>
  <c r="G11" i="61" s="1"/>
  <c r="F12" i="61"/>
  <c r="G12" i="61" s="1"/>
  <c r="D130" i="62" l="1"/>
  <c r="D124" i="62"/>
  <c r="E117" i="62"/>
  <c r="C118" i="62"/>
  <c r="F14" i="61"/>
  <c r="G14" i="61" s="1"/>
  <c r="G11" i="52"/>
  <c r="C11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55" i="52"/>
  <c r="C56" i="52"/>
  <c r="C57" i="52"/>
  <c r="C58" i="52"/>
  <c r="C59" i="52"/>
  <c r="C60" i="52"/>
  <c r="C61" i="52"/>
  <c r="C62" i="52"/>
  <c r="C63" i="52"/>
  <c r="C64" i="52"/>
  <c r="C65" i="52"/>
  <c r="C66" i="52"/>
  <c r="C67" i="52"/>
  <c r="C68" i="52"/>
  <c r="C69" i="52"/>
  <c r="C70" i="52"/>
  <c r="C71" i="52"/>
  <c r="C72" i="52"/>
  <c r="C73" i="52"/>
  <c r="C74" i="52"/>
  <c r="C75" i="52"/>
  <c r="C76" i="52"/>
  <c r="C77" i="52"/>
  <c r="C78" i="52"/>
  <c r="C79" i="52"/>
  <c r="C80" i="52"/>
  <c r="C81" i="52"/>
  <c r="C82" i="52"/>
  <c r="C83" i="52"/>
  <c r="C84" i="52"/>
  <c r="C85" i="52"/>
  <c r="C86" i="52"/>
  <c r="C87" i="52"/>
  <c r="C88" i="52"/>
  <c r="C89" i="52"/>
  <c r="C90" i="52"/>
  <c r="C91" i="52"/>
  <c r="C92" i="52"/>
  <c r="C93" i="52"/>
  <c r="C94" i="52"/>
  <c r="C95" i="52"/>
  <c r="C96" i="52"/>
  <c r="C97" i="52"/>
  <c r="C98" i="52"/>
  <c r="C99" i="52"/>
  <c r="C100" i="52"/>
  <c r="C101" i="52"/>
  <c r="C102" i="52"/>
  <c r="C103" i="52"/>
  <c r="C104" i="52"/>
  <c r="C105" i="52"/>
  <c r="C106" i="52"/>
  <c r="C107" i="52"/>
  <c r="C108" i="52"/>
  <c r="C109" i="52"/>
  <c r="C10" i="52"/>
  <c r="E88" i="51"/>
  <c r="J88" i="51" s="1"/>
  <c r="N88" i="51" s="1"/>
  <c r="E71" i="51"/>
  <c r="J71" i="51" s="1"/>
  <c r="N71" i="51" s="1"/>
  <c r="E54" i="51"/>
  <c r="K54" i="51" s="1"/>
  <c r="O54" i="51" s="1"/>
  <c r="E37" i="51"/>
  <c r="K37" i="51" s="1"/>
  <c r="O37" i="51" s="1"/>
  <c r="E21" i="51"/>
  <c r="E20" i="51"/>
  <c r="N97" i="51"/>
  <c r="N87" i="51"/>
  <c r="N80" i="51"/>
  <c r="N70" i="51"/>
  <c r="N63" i="51"/>
  <c r="N54" i="51"/>
  <c r="N53" i="51"/>
  <c r="N46" i="51"/>
  <c r="N36" i="51"/>
  <c r="N29" i="51"/>
  <c r="N19" i="51"/>
  <c r="M97" i="51"/>
  <c r="M96" i="51"/>
  <c r="M95" i="51"/>
  <c r="M94" i="51"/>
  <c r="M93" i="51"/>
  <c r="M92" i="51"/>
  <c r="M91" i="51"/>
  <c r="M90" i="51"/>
  <c r="M89" i="51"/>
  <c r="M88" i="51"/>
  <c r="M80" i="51"/>
  <c r="M79" i="51"/>
  <c r="M78" i="51"/>
  <c r="M77" i="51"/>
  <c r="M76" i="51"/>
  <c r="M75" i="51"/>
  <c r="M74" i="51"/>
  <c r="M73" i="51"/>
  <c r="M72" i="51"/>
  <c r="M71" i="51"/>
  <c r="M63" i="51"/>
  <c r="M62" i="51"/>
  <c r="M61" i="51"/>
  <c r="M60" i="51"/>
  <c r="M59" i="51"/>
  <c r="M58" i="51"/>
  <c r="M57" i="51"/>
  <c r="M56" i="51"/>
  <c r="M55" i="51"/>
  <c r="M54" i="51"/>
  <c r="M46" i="51"/>
  <c r="M45" i="51"/>
  <c r="M44" i="51"/>
  <c r="M43" i="51"/>
  <c r="M42" i="51"/>
  <c r="M41" i="51"/>
  <c r="M40" i="51"/>
  <c r="M39" i="51"/>
  <c r="M38" i="51"/>
  <c r="M37" i="51"/>
  <c r="M21" i="51"/>
  <c r="M22" i="51"/>
  <c r="M23" i="51"/>
  <c r="M24" i="51"/>
  <c r="M25" i="51"/>
  <c r="M26" i="51"/>
  <c r="M27" i="51"/>
  <c r="M28" i="51"/>
  <c r="M29" i="51"/>
  <c r="M20" i="51"/>
  <c r="J87" i="51"/>
  <c r="J70" i="51"/>
  <c r="J54" i="51"/>
  <c r="J53" i="51"/>
  <c r="J36" i="51"/>
  <c r="J19" i="51"/>
  <c r="H88" i="51"/>
  <c r="H89" i="51" s="1"/>
  <c r="H90" i="51" s="1"/>
  <c r="H91" i="51" s="1"/>
  <c r="H92" i="51" s="1"/>
  <c r="H93" i="51" s="1"/>
  <c r="H94" i="51" s="1"/>
  <c r="H95" i="51" s="1"/>
  <c r="H96" i="51" s="1"/>
  <c r="H97" i="51" s="1"/>
  <c r="H71" i="51"/>
  <c r="H72" i="51" s="1"/>
  <c r="H73" i="51" s="1"/>
  <c r="H74" i="51" s="1"/>
  <c r="H75" i="51" s="1"/>
  <c r="H76" i="51" s="1"/>
  <c r="H77" i="51" s="1"/>
  <c r="H78" i="51" s="1"/>
  <c r="H79" i="51" s="1"/>
  <c r="H80" i="51" s="1"/>
  <c r="H54" i="51"/>
  <c r="H55" i="51" s="1"/>
  <c r="H56" i="51" s="1"/>
  <c r="H57" i="51" s="1"/>
  <c r="H37" i="51"/>
  <c r="H38" i="51" s="1"/>
  <c r="H39" i="51" s="1"/>
  <c r="H21" i="51"/>
  <c r="H22" i="51" s="1"/>
  <c r="H23" i="51" s="1"/>
  <c r="H24" i="51" s="1"/>
  <c r="H25" i="51" s="1"/>
  <c r="H26" i="51" s="1"/>
  <c r="H27" i="51" s="1"/>
  <c r="H28" i="51" s="1"/>
  <c r="H29" i="51" s="1"/>
  <c r="H20" i="51"/>
  <c r="D97" i="51"/>
  <c r="D96" i="51"/>
  <c r="D95" i="51"/>
  <c r="D94" i="51"/>
  <c r="D93" i="51"/>
  <c r="D92" i="51"/>
  <c r="D91" i="51"/>
  <c r="D90" i="51"/>
  <c r="D89" i="51"/>
  <c r="D88" i="51"/>
  <c r="D80" i="51"/>
  <c r="D79" i="51"/>
  <c r="D78" i="51"/>
  <c r="D77" i="51"/>
  <c r="D76" i="51"/>
  <c r="D75" i="51"/>
  <c r="D74" i="51"/>
  <c r="D73" i="51"/>
  <c r="D72" i="51"/>
  <c r="D71" i="51"/>
  <c r="D63" i="51"/>
  <c r="D62" i="51"/>
  <c r="D61" i="51"/>
  <c r="D60" i="51"/>
  <c r="D59" i="51"/>
  <c r="D58" i="51"/>
  <c r="D57" i="51"/>
  <c r="D56" i="51"/>
  <c r="D55" i="51"/>
  <c r="D54" i="51"/>
  <c r="D46" i="51"/>
  <c r="D45" i="51"/>
  <c r="D44" i="51"/>
  <c r="D43" i="51"/>
  <c r="D42" i="51"/>
  <c r="D41" i="51"/>
  <c r="D40" i="51"/>
  <c r="D39" i="51"/>
  <c r="D38" i="51"/>
  <c r="D37" i="51"/>
  <c r="D21" i="51"/>
  <c r="D22" i="51"/>
  <c r="D23" i="51"/>
  <c r="D24" i="51"/>
  <c r="D25" i="51"/>
  <c r="D26" i="51"/>
  <c r="D27" i="51"/>
  <c r="D28" i="51"/>
  <c r="D29" i="51"/>
  <c r="D20" i="51"/>
  <c r="C97" i="51"/>
  <c r="C96" i="51"/>
  <c r="C95" i="51"/>
  <c r="C94" i="51"/>
  <c r="C93" i="51"/>
  <c r="C92" i="51"/>
  <c r="C91" i="51"/>
  <c r="C90" i="51"/>
  <c r="C89" i="51"/>
  <c r="C88" i="51"/>
  <c r="C80" i="51"/>
  <c r="C79" i="51"/>
  <c r="C78" i="51"/>
  <c r="C77" i="51"/>
  <c r="C76" i="51"/>
  <c r="C75" i="51"/>
  <c r="C74" i="51"/>
  <c r="C73" i="51"/>
  <c r="C72" i="51"/>
  <c r="C71" i="51"/>
  <c r="C63" i="51"/>
  <c r="C62" i="51"/>
  <c r="C61" i="51"/>
  <c r="C60" i="51"/>
  <c r="C59" i="51"/>
  <c r="C58" i="51"/>
  <c r="C57" i="51"/>
  <c r="C56" i="51"/>
  <c r="C55" i="51"/>
  <c r="C54" i="51"/>
  <c r="C46" i="51"/>
  <c r="C45" i="51"/>
  <c r="C44" i="51"/>
  <c r="C43" i="51"/>
  <c r="C42" i="51"/>
  <c r="C41" i="51"/>
  <c r="C40" i="51"/>
  <c r="C39" i="51"/>
  <c r="C38" i="51"/>
  <c r="C37" i="51"/>
  <c r="C21" i="51"/>
  <c r="C22" i="51"/>
  <c r="C23" i="51"/>
  <c r="C24" i="51"/>
  <c r="C25" i="51"/>
  <c r="C26" i="51"/>
  <c r="C27" i="51"/>
  <c r="C28" i="51"/>
  <c r="C29" i="51"/>
  <c r="C20" i="51"/>
  <c r="A13" i="54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F97" i="51"/>
  <c r="F96" i="51"/>
  <c r="F95" i="51"/>
  <c r="F94" i="51"/>
  <c r="F93" i="51"/>
  <c r="F92" i="51"/>
  <c r="F91" i="51"/>
  <c r="G90" i="51"/>
  <c r="F90" i="51"/>
  <c r="F89" i="51"/>
  <c r="A89" i="51"/>
  <c r="A90" i="51" s="1"/>
  <c r="A91" i="51" s="1"/>
  <c r="A92" i="51" s="1"/>
  <c r="A93" i="51" s="1"/>
  <c r="A94" i="51" s="1"/>
  <c r="A95" i="51" s="1"/>
  <c r="A96" i="51" s="1"/>
  <c r="A97" i="51" s="1"/>
  <c r="F88" i="51"/>
  <c r="I88" i="51" s="1"/>
  <c r="E87" i="51"/>
  <c r="F80" i="51"/>
  <c r="F79" i="51"/>
  <c r="F78" i="51"/>
  <c r="F77" i="51"/>
  <c r="F76" i="51"/>
  <c r="F75" i="51"/>
  <c r="F74" i="51"/>
  <c r="F73" i="51"/>
  <c r="A73" i="51"/>
  <c r="A74" i="51" s="1"/>
  <c r="A75" i="51" s="1"/>
  <c r="A76" i="51" s="1"/>
  <c r="A77" i="51" s="1"/>
  <c r="A78" i="51" s="1"/>
  <c r="A79" i="51" s="1"/>
  <c r="A80" i="51" s="1"/>
  <c r="F72" i="51"/>
  <c r="I72" i="51" s="1"/>
  <c r="A72" i="51"/>
  <c r="F71" i="51"/>
  <c r="I71" i="51" s="1"/>
  <c r="E70" i="51"/>
  <c r="G63" i="51"/>
  <c r="F63" i="51"/>
  <c r="F62" i="51"/>
  <c r="F61" i="51"/>
  <c r="G61" i="51" s="1"/>
  <c r="F60" i="51"/>
  <c r="G59" i="51"/>
  <c r="F59" i="51"/>
  <c r="G58" i="51"/>
  <c r="F58" i="51"/>
  <c r="F57" i="51"/>
  <c r="F56" i="51"/>
  <c r="F55" i="51"/>
  <c r="I55" i="51" s="1"/>
  <c r="A55" i="51"/>
  <c r="A56" i="51" s="1"/>
  <c r="A57" i="51" s="1"/>
  <c r="A58" i="51" s="1"/>
  <c r="A59" i="51" s="1"/>
  <c r="A60" i="51" s="1"/>
  <c r="A61" i="51" s="1"/>
  <c r="A62" i="51" s="1"/>
  <c r="A63" i="51" s="1"/>
  <c r="G54" i="51"/>
  <c r="F54" i="51"/>
  <c r="I54" i="51" s="1"/>
  <c r="E53" i="51"/>
  <c r="F46" i="51"/>
  <c r="G46" i="51" s="1"/>
  <c r="F45" i="51"/>
  <c r="G45" i="51" s="1"/>
  <c r="F44" i="51"/>
  <c r="G44" i="51" s="1"/>
  <c r="F43" i="51"/>
  <c r="G43" i="51" s="1"/>
  <c r="F42" i="51"/>
  <c r="G42" i="51" s="1"/>
  <c r="F41" i="51"/>
  <c r="G41" i="51" s="1"/>
  <c r="F40" i="51"/>
  <c r="G40" i="51" s="1"/>
  <c r="F39" i="51"/>
  <c r="G39" i="51" s="1"/>
  <c r="A39" i="51"/>
  <c r="A40" i="51" s="1"/>
  <c r="A41" i="51" s="1"/>
  <c r="A42" i="51" s="1"/>
  <c r="A43" i="51" s="1"/>
  <c r="A44" i="51" s="1"/>
  <c r="A45" i="51" s="1"/>
  <c r="A46" i="51" s="1"/>
  <c r="F38" i="51"/>
  <c r="G38" i="51" s="1"/>
  <c r="A38" i="51"/>
  <c r="F37" i="51"/>
  <c r="G37" i="51" s="1"/>
  <c r="E36" i="51"/>
  <c r="F29" i="51"/>
  <c r="F28" i="51"/>
  <c r="F27" i="51"/>
  <c r="F26" i="51"/>
  <c r="F25" i="51"/>
  <c r="F24" i="51"/>
  <c r="F23" i="51"/>
  <c r="F22" i="51"/>
  <c r="A22" i="51"/>
  <c r="A23" i="51" s="1"/>
  <c r="A24" i="51" s="1"/>
  <c r="A25" i="51" s="1"/>
  <c r="A26" i="51" s="1"/>
  <c r="A27" i="51" s="1"/>
  <c r="A28" i="51" s="1"/>
  <c r="A29" i="51" s="1"/>
  <c r="F21" i="51"/>
  <c r="I21" i="51" s="1"/>
  <c r="A21" i="51"/>
  <c r="F20" i="51"/>
  <c r="I20" i="51" s="1"/>
  <c r="E19" i="51"/>
  <c r="D122" i="62" l="1"/>
  <c r="D128" i="62"/>
  <c r="K88" i="51"/>
  <c r="O88" i="51" s="1"/>
  <c r="E89" i="51"/>
  <c r="K71" i="51"/>
  <c r="O71" i="51" s="1"/>
  <c r="E72" i="51"/>
  <c r="E55" i="51"/>
  <c r="J37" i="51"/>
  <c r="N37" i="51" s="1"/>
  <c r="I93" i="51"/>
  <c r="I92" i="51"/>
  <c r="I90" i="51"/>
  <c r="I95" i="51"/>
  <c r="I91" i="51"/>
  <c r="I94" i="51"/>
  <c r="I96" i="51"/>
  <c r="I97" i="51"/>
  <c r="I89" i="51"/>
  <c r="I76" i="51"/>
  <c r="I73" i="51"/>
  <c r="I78" i="51"/>
  <c r="I74" i="51"/>
  <c r="I75" i="51"/>
  <c r="I77" i="51"/>
  <c r="I79" i="51"/>
  <c r="I80" i="51"/>
  <c r="H58" i="51"/>
  <c r="H59" i="51" s="1"/>
  <c r="H60" i="51" s="1"/>
  <c r="H61" i="51" s="1"/>
  <c r="H62" i="51" s="1"/>
  <c r="I58" i="51"/>
  <c r="I56" i="51"/>
  <c r="I57" i="51"/>
  <c r="I40" i="51"/>
  <c r="H40" i="51"/>
  <c r="I29" i="51"/>
  <c r="I22" i="51"/>
  <c r="I24" i="51"/>
  <c r="I23" i="51"/>
  <c r="I26" i="51"/>
  <c r="I28" i="51"/>
  <c r="I25" i="51"/>
  <c r="I27" i="51"/>
  <c r="G92" i="51"/>
  <c r="G56" i="51"/>
  <c r="I61" i="51"/>
  <c r="G94" i="51"/>
  <c r="G62" i="51"/>
  <c r="G57" i="51"/>
  <c r="G60" i="51"/>
  <c r="G55" i="51"/>
  <c r="I37" i="51"/>
  <c r="I38" i="51"/>
  <c r="G96" i="51"/>
  <c r="I39" i="51"/>
  <c r="G88" i="51"/>
  <c r="G71" i="51"/>
  <c r="G73" i="51"/>
  <c r="G75" i="51"/>
  <c r="G77" i="51"/>
  <c r="G79" i="51"/>
  <c r="G74" i="51"/>
  <c r="G76" i="51"/>
  <c r="G78" i="51"/>
  <c r="G80" i="51"/>
  <c r="G21" i="51"/>
  <c r="G23" i="51"/>
  <c r="G25" i="51"/>
  <c r="G27" i="51"/>
  <c r="G29" i="51"/>
  <c r="G72" i="51"/>
  <c r="G20" i="51"/>
  <c r="G22" i="51"/>
  <c r="G24" i="51"/>
  <c r="G26" i="51"/>
  <c r="G28" i="51"/>
  <c r="G89" i="51"/>
  <c r="G91" i="51"/>
  <c r="G93" i="51"/>
  <c r="G95" i="51"/>
  <c r="G97" i="51"/>
  <c r="K89" i="51" l="1"/>
  <c r="O89" i="51" s="1"/>
  <c r="J89" i="51"/>
  <c r="N89" i="51" s="1"/>
  <c r="J72" i="51"/>
  <c r="N72" i="51" s="1"/>
  <c r="E73" i="51"/>
  <c r="K72" i="51"/>
  <c r="O72" i="51" s="1"/>
  <c r="K55" i="51"/>
  <c r="O55" i="51" s="1"/>
  <c r="J55" i="51"/>
  <c r="N55" i="51" s="1"/>
  <c r="E38" i="51"/>
  <c r="I62" i="51"/>
  <c r="I60" i="51"/>
  <c r="I59" i="51"/>
  <c r="H63" i="51"/>
  <c r="I63" i="51"/>
  <c r="I41" i="51"/>
  <c r="H41" i="51"/>
  <c r="E90" i="51" l="1"/>
  <c r="J73" i="51"/>
  <c r="N73" i="51" s="1"/>
  <c r="E74" i="51"/>
  <c r="K73" i="51"/>
  <c r="O73" i="51" s="1"/>
  <c r="E56" i="51"/>
  <c r="K38" i="51"/>
  <c r="O38" i="51" s="1"/>
  <c r="J38" i="51"/>
  <c r="N38" i="51" s="1"/>
  <c r="E39" i="51"/>
  <c r="H42" i="51"/>
  <c r="I42" i="51"/>
  <c r="K90" i="51" l="1"/>
  <c r="O90" i="51" s="1"/>
  <c r="J90" i="51"/>
  <c r="N90" i="51" s="1"/>
  <c r="K74" i="51"/>
  <c r="O74" i="51" s="1"/>
  <c r="J74" i="51"/>
  <c r="N74" i="51" s="1"/>
  <c r="K56" i="51"/>
  <c r="O56" i="51" s="1"/>
  <c r="J56" i="51"/>
  <c r="N56" i="51" s="1"/>
  <c r="K39" i="51"/>
  <c r="O39" i="51" s="1"/>
  <c r="J39" i="51"/>
  <c r="N39" i="51" s="1"/>
  <c r="E40" i="51"/>
  <c r="H43" i="51"/>
  <c r="I43" i="51"/>
  <c r="E91" i="51" l="1"/>
  <c r="E75" i="51"/>
  <c r="E57" i="51"/>
  <c r="K40" i="51"/>
  <c r="O40" i="51" s="1"/>
  <c r="J40" i="51"/>
  <c r="N40" i="51" s="1"/>
  <c r="E41" i="51"/>
  <c r="H44" i="51"/>
  <c r="I44" i="51"/>
  <c r="K91" i="51" l="1"/>
  <c r="O91" i="51" s="1"/>
  <c r="J91" i="51"/>
  <c r="N91" i="51" s="1"/>
  <c r="J75" i="51"/>
  <c r="N75" i="51" s="1"/>
  <c r="E76" i="51"/>
  <c r="K75" i="51"/>
  <c r="O75" i="51" s="1"/>
  <c r="K57" i="51"/>
  <c r="O57" i="51" s="1"/>
  <c r="J57" i="51"/>
  <c r="N57" i="51" s="1"/>
  <c r="J41" i="51"/>
  <c r="N41" i="51" s="1"/>
  <c r="K41" i="51"/>
  <c r="O41" i="51" s="1"/>
  <c r="H45" i="51"/>
  <c r="I45" i="51"/>
  <c r="E92" i="51" l="1"/>
  <c r="K76" i="51"/>
  <c r="O76" i="51" s="1"/>
  <c r="J76" i="51"/>
  <c r="N76" i="51" s="1"/>
  <c r="E58" i="51"/>
  <c r="E42" i="51"/>
  <c r="H46" i="51"/>
  <c r="I46" i="51"/>
  <c r="K20" i="51"/>
  <c r="O20" i="51" s="1"/>
  <c r="J20" i="51"/>
  <c r="K92" i="51" l="1"/>
  <c r="O92" i="51" s="1"/>
  <c r="J92" i="51"/>
  <c r="N92" i="51" s="1"/>
  <c r="E77" i="51"/>
  <c r="K58" i="51"/>
  <c r="O58" i="51" s="1"/>
  <c r="J58" i="51"/>
  <c r="N58" i="51" s="1"/>
  <c r="E59" i="51"/>
  <c r="K42" i="51"/>
  <c r="O42" i="51" s="1"/>
  <c r="J42" i="51"/>
  <c r="N42" i="51" s="1"/>
  <c r="N20" i="51"/>
  <c r="K21" i="51"/>
  <c r="O21" i="51" s="1"/>
  <c r="J21" i="51"/>
  <c r="E22" i="51" s="1"/>
  <c r="E93" i="51" l="1"/>
  <c r="K77" i="51"/>
  <c r="O77" i="51" s="1"/>
  <c r="J77" i="51"/>
  <c r="N77" i="51" s="1"/>
  <c r="K59" i="51"/>
  <c r="O59" i="51" s="1"/>
  <c r="J59" i="51"/>
  <c r="N59" i="51" s="1"/>
  <c r="E43" i="51"/>
  <c r="N21" i="51"/>
  <c r="K93" i="51" l="1"/>
  <c r="O93" i="51" s="1"/>
  <c r="J93" i="51"/>
  <c r="N93" i="51" s="1"/>
  <c r="E78" i="51"/>
  <c r="E60" i="51"/>
  <c r="K43" i="51"/>
  <c r="O43" i="51" s="1"/>
  <c r="J43" i="51"/>
  <c r="N43" i="51" s="1"/>
  <c r="K22" i="51"/>
  <c r="O22" i="51" s="1"/>
  <c r="J22" i="51"/>
  <c r="E23" i="51" s="1"/>
  <c r="E94" i="51" l="1"/>
  <c r="K78" i="51"/>
  <c r="O78" i="51" s="1"/>
  <c r="J78" i="51"/>
  <c r="N78" i="51" s="1"/>
  <c r="K60" i="51"/>
  <c r="O60" i="51" s="1"/>
  <c r="J60" i="51"/>
  <c r="N60" i="51" s="1"/>
  <c r="E44" i="51"/>
  <c r="N22" i="51"/>
  <c r="K94" i="51" l="1"/>
  <c r="O94" i="51" s="1"/>
  <c r="J94" i="51"/>
  <c r="N94" i="51" s="1"/>
  <c r="E79" i="51"/>
  <c r="E61" i="51"/>
  <c r="J44" i="51"/>
  <c r="N44" i="51" s="1"/>
  <c r="K44" i="51"/>
  <c r="O44" i="51" s="1"/>
  <c r="K23" i="51"/>
  <c r="O23" i="51" s="1"/>
  <c r="J23" i="51"/>
  <c r="E24" i="51" s="1"/>
  <c r="E95" i="51" l="1"/>
  <c r="K79" i="51"/>
  <c r="O79" i="51" s="1"/>
  <c r="J79" i="51"/>
  <c r="N79" i="51" s="1"/>
  <c r="K61" i="51"/>
  <c r="O61" i="51" s="1"/>
  <c r="J61" i="51"/>
  <c r="N61" i="51" s="1"/>
  <c r="E45" i="51"/>
  <c r="N23" i="51"/>
  <c r="K95" i="51" l="1"/>
  <c r="O95" i="51" s="1"/>
  <c r="J95" i="51"/>
  <c r="N95" i="51" s="1"/>
  <c r="E80" i="51"/>
  <c r="E62" i="51"/>
  <c r="K45" i="51"/>
  <c r="O45" i="51" s="1"/>
  <c r="J45" i="51"/>
  <c r="N45" i="51" s="1"/>
  <c r="K24" i="51"/>
  <c r="O24" i="51" s="1"/>
  <c r="J24" i="51"/>
  <c r="E25" i="51" s="1"/>
  <c r="E96" i="51" l="1"/>
  <c r="L80" i="51"/>
  <c r="P80" i="51" s="1"/>
  <c r="B82" i="51" s="1"/>
  <c r="B108" i="52" s="1"/>
  <c r="K80" i="51"/>
  <c r="O80" i="51" s="1"/>
  <c r="K62" i="51"/>
  <c r="O62" i="51" s="1"/>
  <c r="J62" i="51"/>
  <c r="N62" i="51" s="1"/>
  <c r="E46" i="51"/>
  <c r="N24" i="51"/>
  <c r="K96" i="51" l="1"/>
  <c r="O96" i="51" s="1"/>
  <c r="J96" i="51"/>
  <c r="N96" i="51" s="1"/>
  <c r="E63" i="51"/>
  <c r="L46" i="51"/>
  <c r="P46" i="51" s="1"/>
  <c r="K46" i="51"/>
  <c r="O46" i="51" s="1"/>
  <c r="K25" i="51"/>
  <c r="O25" i="51" s="1"/>
  <c r="J25" i="51"/>
  <c r="E26" i="51" s="1"/>
  <c r="E97" i="51" l="1"/>
  <c r="L63" i="51"/>
  <c r="P63" i="51" s="1"/>
  <c r="K63" i="51"/>
  <c r="O63" i="51" s="1"/>
  <c r="B48" i="51"/>
  <c r="B106" i="52" s="1"/>
  <c r="N25" i="51"/>
  <c r="L97" i="51" l="1"/>
  <c r="P97" i="51" s="1"/>
  <c r="K97" i="51"/>
  <c r="O97" i="51" s="1"/>
  <c r="B65" i="51"/>
  <c r="B107" i="52" s="1"/>
  <c r="J26" i="51"/>
  <c r="E27" i="51" s="1"/>
  <c r="K26" i="51"/>
  <c r="O26" i="51" s="1"/>
  <c r="B99" i="51" l="1"/>
  <c r="B109" i="52" s="1"/>
  <c r="N26" i="51"/>
  <c r="K27" i="51" l="1"/>
  <c r="O27" i="51" s="1"/>
  <c r="J27" i="51"/>
  <c r="E28" i="51" s="1"/>
  <c r="N27" i="51" l="1"/>
  <c r="K28" i="51" l="1"/>
  <c r="O28" i="51" s="1"/>
  <c r="J28" i="51"/>
  <c r="E29" i="51" s="1"/>
  <c r="N28" i="51" l="1"/>
  <c r="L29" i="51" l="1"/>
  <c r="P29" i="51" s="1"/>
  <c r="K29" i="51"/>
  <c r="O29" i="51" s="1"/>
  <c r="B31" i="51" s="1"/>
  <c r="B105" i="52" s="1"/>
  <c r="G10" i="52" l="1"/>
  <c r="G13" i="52" l="1"/>
</calcChain>
</file>

<file path=xl/sharedStrings.xml><?xml version="1.0" encoding="utf-8"?>
<sst xmlns="http://schemas.openxmlformats.org/spreadsheetml/2006/main" count="424" uniqueCount="228">
  <si>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</si>
  <si>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</si>
  <si>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</si>
  <si>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</si>
  <si>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</si>
  <si>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</si>
  <si>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</si>
  <si>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</si>
  <si>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</si>
  <si>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</si>
  <si>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</si>
  <si>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</si>
  <si>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</si>
  <si>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</si>
  <si>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</si>
  <si>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</si>
  <si>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</si>
  <si>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</si>
  <si>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</si>
  <si>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</si>
  <si>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</si>
  <si>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</si>
  <si>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</si>
  <si>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</si>
  <si>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</si>
  <si>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</si>
  <si>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</si>
  <si>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</si>
  <si>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</si>
  <si>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</si>
  <si>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</si>
  <si>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</si>
  <si>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</si>
  <si>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</si>
  <si>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</si>
  <si>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</si>
  <si>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</si>
  <si>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</si>
  <si>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</si>
  <si>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</si>
  <si>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</si>
  <si>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</si>
  <si>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</si>
  <si>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</si>
  <si>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</si>
  <si>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</si>
  <si>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</si>
  <si>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</si>
  <si>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</si>
  <si>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</si>
  <si>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</si>
  <si>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>Surplus Transfer from/(to) Corporate</t>
  </si>
  <si>
    <t>Combined
Financials</t>
  </si>
  <si>
    <t>Lyon 
Corporate *</t>
  </si>
  <si>
    <t>Excess Capital</t>
  </si>
  <si>
    <t xml:space="preserve">  RBC Ratio**</t>
  </si>
  <si>
    <t>** RBC Ratio reduced by any dividend to Lyon paid in following year</t>
  </si>
  <si>
    <t xml:space="preserve">  RBC Ratio*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</si>
  <si>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</si>
  <si>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</si>
  <si>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</si>
  <si>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</si>
  <si>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</si>
  <si>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</si>
  <si>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</si>
  <si>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</si>
  <si>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</si>
  <si>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</si>
  <si>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</si>
  <si>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</si>
  <si>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</si>
  <si>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</si>
  <si>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</si>
  <si>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</si>
  <si>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</si>
  <si>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</si>
  <si>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</si>
  <si>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</si>
  <si>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</si>
  <si>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</si>
  <si>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</si>
  <si>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</si>
  <si>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</si>
  <si>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</si>
  <si>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</si>
  <si>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</si>
  <si>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</si>
  <si>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</si>
  <si>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</si>
  <si>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</si>
  <si>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</si>
  <si>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</si>
  <si>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</si>
  <si>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</si>
  <si>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</si>
  <si>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</si>
  <si>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</si>
  <si>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</si>
  <si>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</si>
  <si>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</si>
  <si>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</si>
  <si>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</si>
  <si>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</si>
  <si>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</si>
  <si>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</si>
  <si>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</si>
  <si>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</si>
  <si>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</si>
  <si>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</si>
  <si>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</si>
  <si>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</si>
  <si>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</si>
  <si>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</si>
  <si>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</si>
  <si>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</si>
  <si>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</si>
  <si>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</si>
  <si>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</si>
  <si>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</si>
  <si>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</si>
  <si>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</si>
  <si>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</si>
  <si>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</si>
  <si>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</si>
  <si>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</si>
  <si>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</si>
  <si>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</si>
  <si>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Dec 31, 2020</t>
  </si>
  <si>
    <t>Big Ben – Annual Report 2021</t>
  </si>
  <si>
    <t>Dec 31, 2021</t>
  </si>
  <si>
    <t xml:space="preserve">      Note:  SLIC and Pryde use Company Action Level RBC; AHA uses Authorized Control Level RBC</t>
  </si>
  <si>
    <t>2021 FINANCIAL STATEMENTS</t>
  </si>
  <si>
    <t>* RBC Ratio reduced by any dividend to Lyon paid in following year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</si>
  <si>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</si>
  <si>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</si>
  <si>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</si>
  <si>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</si>
  <si>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</si>
  <si>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</si>
  <si>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Volatility</t>
  </si>
  <si>
    <t>Earned Premiums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</si>
  <si>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</si>
  <si>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</si>
  <si>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</si>
  <si>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</si>
  <si>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</si>
  <si>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Additional Metrics</t>
  </si>
  <si>
    <t>Enrollment (000s)</t>
  </si>
  <si>
    <t>Members</t>
  </si>
  <si>
    <t>Member Months</t>
  </si>
  <si>
    <t>Utilization (per 1,000 members)</t>
  </si>
  <si>
    <t>Physician Visits</t>
  </si>
  <si>
    <t>Hospital Days</t>
  </si>
  <si>
    <t>Underwriting Income</t>
  </si>
  <si>
    <t>Premiums earned</t>
  </si>
  <si>
    <t>Losses and loss adjustment expenses incurred</t>
  </si>
  <si>
    <t>Net Underwriting Gain (loss)</t>
  </si>
  <si>
    <t>Losses and loss adjustment expenses</t>
  </si>
  <si>
    <t>Unearned Premium</t>
  </si>
  <si>
    <t>Mean</t>
  </si>
  <si>
    <t>Unit S(0)</t>
  </si>
  <si>
    <t>Initial deposit</t>
  </si>
  <si>
    <t>Discount rate</t>
  </si>
  <si>
    <t>Management charge</t>
  </si>
  <si>
    <t>in bps</t>
  </si>
  <si>
    <t>Mortality Rate</t>
  </si>
  <si>
    <t>Scenario 96</t>
  </si>
  <si>
    <t>Year (T)</t>
  </si>
  <si>
    <t>Scenario U(0,1)</t>
  </si>
  <si>
    <t>Normal (0,1)</t>
  </si>
  <si>
    <t>S(T)</t>
  </si>
  <si>
    <t>Account value</t>
  </si>
  <si>
    <t>Qx</t>
  </si>
  <si>
    <t>Px</t>
  </si>
  <si>
    <t>Persistency</t>
  </si>
  <si>
    <t>Mortality incidence</t>
  </si>
  <si>
    <t>Management charge (in $)</t>
  </si>
  <si>
    <t>GMDB cashflow</t>
  </si>
  <si>
    <t>GMAB Cashflow</t>
  </si>
  <si>
    <t>Discounting factor</t>
  </si>
  <si>
    <t>Expected discounted management charge</t>
  </si>
  <si>
    <t>GMDB expected discounted cashflow</t>
  </si>
  <si>
    <t>GMAB expected discounted cashflow</t>
  </si>
  <si>
    <t>Liability</t>
  </si>
  <si>
    <t>Scenario 97</t>
  </si>
  <si>
    <t>Scenario 98</t>
  </si>
  <si>
    <t>Scenario 99</t>
  </si>
  <si>
    <t>Scenario 100</t>
  </si>
  <si>
    <t>Part (a)</t>
  </si>
  <si>
    <t>Scenario</t>
  </si>
  <si>
    <t>Rank</t>
  </si>
  <si>
    <t xml:space="preserve">CTE (0) </t>
  </si>
  <si>
    <t>CTE(95)</t>
  </si>
  <si>
    <t>Solution</t>
  </si>
  <si>
    <t>Annual Claim Losses                         Normal Distribution</t>
  </si>
  <si>
    <t>Line of Business</t>
  </si>
  <si>
    <t>Annual Loss Mean ($M)</t>
  </si>
  <si>
    <t>Annual Loss Standard Deviation ($M)</t>
  </si>
  <si>
    <t>Risk Tolerance of Losses ($M)</t>
  </si>
  <si>
    <t>P(Annual Loss &lt; Risk Tolerance)</t>
  </si>
  <si>
    <t>P(Annual Loss &gt; Risk Tolerance)</t>
  </si>
  <si>
    <t>Solution Reference</t>
  </si>
  <si>
    <t>Auto Liability</t>
  </si>
  <si>
    <t>Part (a) (i)</t>
  </si>
  <si>
    <t>Property</t>
  </si>
  <si>
    <t>P(At Least One Annual Loss &gt; Risk Tolerance)</t>
  </si>
  <si>
    <r>
      <t>C(u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, u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= (u</t>
    </r>
    <r>
      <rPr>
        <vertAlign val="subscript"/>
        <sz val="11"/>
        <color theme="1"/>
        <rFont val="Times New Roman"/>
        <family val="1"/>
      </rPr>
      <t>1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+ u</t>
    </r>
    <r>
      <rPr>
        <vertAlign val="sub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– 1)</t>
    </r>
    <r>
      <rPr>
        <vertAlign val="superscript"/>
        <sz val="11"/>
        <color theme="1"/>
        <rFont val="Times New Roman"/>
        <family val="1"/>
      </rPr>
      <t>-1/2</t>
    </r>
  </si>
  <si>
    <t>Part (a) (ii)</t>
  </si>
  <si>
    <t>Answers to be provided starting in row 115</t>
  </si>
  <si>
    <t>Loss Amounts in $millions</t>
  </si>
  <si>
    <t>Record</t>
  </si>
  <si>
    <t>Simulation #</t>
  </si>
  <si>
    <t>All Lines Combined</t>
  </si>
  <si>
    <t>Part b(i)</t>
  </si>
  <si>
    <t>Sum top 40</t>
  </si>
  <si>
    <t>Co-TVAR</t>
  </si>
  <si>
    <t>Percent of total Co-TVAR</t>
  </si>
  <si>
    <t>Total Capital by line</t>
  </si>
  <si>
    <t>Part b(ii)</t>
  </si>
  <si>
    <t>RAROC for Auto</t>
  </si>
  <si>
    <t>RAROC for Property</t>
  </si>
  <si>
    <t>Part b(iii)</t>
  </si>
  <si>
    <t>EVA for Auto</t>
  </si>
  <si>
    <t>EVA for Property</t>
  </si>
  <si>
    <t>Available Economic Capital</t>
  </si>
  <si>
    <t>P(L &lt; = 45)= Φ((45-40) / 5) = Φ(1.0) = .841</t>
  </si>
  <si>
    <t>P(L &lt; =210)= Φ((210-200) / 20) = Φ(.5) = .691</t>
  </si>
  <si>
    <t>Auto Liabilty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</si>
</sst>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;\(0\)"/>
    <numFmt numFmtId="166" formatCode="#,##0;\(#,##0\)"/>
    <numFmt numFmtId="167" formatCode="mm/dd/yy;@"/>
    <numFmt numFmtId="168" formatCode="_(* #,##0.0_);_(* \(#,##0.0\);_(* &quot;-&quot;??_);_(@_)"/>
    <numFmt numFmtId="169" formatCode="0.0%"/>
    <numFmt numFmtId="170" formatCode="0.000"/>
    <numFmt numFmtId="171" formatCode="0.0000"/>
    <numFmt numFmtId="172" formatCode="0.0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70C0"/>
      <name val="Times New Roman"/>
      <family val="1"/>
    </font>
    <font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rgb="FF0000FF"/>
      <name val="Times New Roman"/>
      <family val="1"/>
    </font>
    <font>
      <sz val="11"/>
      <color rgb="FF1A1A1A"/>
      <name val="Times New Roman"/>
      <family val="1"/>
    </font>
    <font>
      <b/>
      <sz val="11"/>
      <color rgb="FF0018A8"/>
      <name val="Times New Roman"/>
      <family val="1"/>
    </font>
    <font>
      <i/>
      <sz val="11"/>
      <name val="Times New Roman"/>
      <family val="1"/>
    </font>
    <font>
      <sz val="11"/>
      <color rgb="FF888888"/>
      <name val="Times New Roman"/>
      <family val="1"/>
    </font>
    <font>
      <b/>
      <sz val="11"/>
      <color rgb="FFC00000"/>
      <name val="Times New Roman"/>
      <family val="1"/>
    </font>
    <font>
      <u val="singleAccounting"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9" fillId="0" borderId="0"/>
  </cellStyleXfs>
  <cellXfs count="21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0" applyNumberFormat="1" applyFont="1"/>
    <xf numFmtId="37" fontId="4" fillId="0" borderId="0" xfId="1" applyNumberFormat="1" applyFont="1" applyFill="1" applyBorder="1"/>
    <xf numFmtId="0" fontId="7" fillId="0" borderId="0" xfId="0" applyFont="1"/>
    <xf numFmtId="37" fontId="7" fillId="0" borderId="0" xfId="1" applyNumberFormat="1" applyFont="1" applyFill="1" applyBorder="1"/>
    <xf numFmtId="0" fontId="8" fillId="0" borderId="0" xfId="0" applyFont="1"/>
    <xf numFmtId="0" fontId="4" fillId="0" borderId="0" xfId="0" applyFont="1" applyAlignment="1">
      <alignment vertical="center"/>
    </xf>
    <xf numFmtId="37" fontId="4" fillId="0" borderId="0" xfId="1" applyNumberFormat="1" applyFont="1"/>
    <xf numFmtId="37" fontId="4" fillId="0" borderId="0" xfId="1" quotePrefix="1" applyNumberFormat="1" applyFont="1"/>
    <xf numFmtId="37" fontId="5" fillId="0" borderId="0" xfId="1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9" fontId="4" fillId="0" borderId="0" xfId="2" applyFont="1"/>
    <xf numFmtId="164" fontId="4" fillId="0" borderId="0" xfId="1" applyNumberFormat="1" applyFont="1"/>
    <xf numFmtId="0" fontId="12" fillId="0" borderId="0" xfId="0" applyFont="1"/>
    <xf numFmtId="0" fontId="4" fillId="3" borderId="0" xfId="0" applyFont="1" applyFill="1"/>
    <xf numFmtId="0" fontId="6" fillId="0" borderId="0" xfId="0" applyFont="1" applyAlignment="1">
      <alignment wrapText="1"/>
    </xf>
    <xf numFmtId="9" fontId="7" fillId="0" borderId="0" xfId="2" applyFont="1" applyFill="1" applyBorder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9" fontId="6" fillId="0" borderId="0" xfId="2" applyFont="1" applyFill="1" applyBorder="1"/>
    <xf numFmtId="37" fontId="5" fillId="0" borderId="0" xfId="0" applyNumberFormat="1" applyFont="1"/>
    <xf numFmtId="0" fontId="13" fillId="0" borderId="0" xfId="0" applyFont="1"/>
    <xf numFmtId="0" fontId="14" fillId="0" borderId="0" xfId="0" applyFont="1"/>
    <xf numFmtId="0" fontId="5" fillId="5" borderId="40" xfId="0" applyFont="1" applyFill="1" applyBorder="1"/>
    <xf numFmtId="10" fontId="4" fillId="4" borderId="40" xfId="0" applyNumberFormat="1" applyFont="1" applyFill="1" applyBorder="1"/>
    <xf numFmtId="0" fontId="4" fillId="4" borderId="40" xfId="0" applyFont="1" applyFill="1" applyBorder="1"/>
    <xf numFmtId="3" fontId="4" fillId="4" borderId="40" xfId="0" applyNumberFormat="1" applyFont="1" applyFill="1" applyBorder="1"/>
    <xf numFmtId="3" fontId="5" fillId="0" borderId="0" xfId="0" applyNumberFormat="1" applyFont="1"/>
    <xf numFmtId="0" fontId="5" fillId="6" borderId="40" xfId="0" applyFont="1" applyFill="1" applyBorder="1" applyAlignment="1">
      <alignment horizontal="center" wrapText="1"/>
    </xf>
    <xf numFmtId="0" fontId="6" fillId="0" borderId="40" xfId="0" applyFont="1" applyBorder="1"/>
    <xf numFmtId="3" fontId="4" fillId="7" borderId="40" xfId="0" applyNumberFormat="1" applyFont="1" applyFill="1" applyBorder="1"/>
    <xf numFmtId="170" fontId="6" fillId="0" borderId="40" xfId="0" applyNumberFormat="1" applyFont="1" applyBorder="1"/>
    <xf numFmtId="3" fontId="4" fillId="0" borderId="40" xfId="0" applyNumberFormat="1" applyFont="1" applyBorder="1"/>
    <xf numFmtId="171" fontId="4" fillId="0" borderId="40" xfId="0" applyNumberFormat="1" applyFont="1" applyBorder="1"/>
    <xf numFmtId="170" fontId="4" fillId="0" borderId="40" xfId="0" applyNumberFormat="1" applyFont="1" applyBorder="1"/>
    <xf numFmtId="171" fontId="6" fillId="0" borderId="40" xfId="0" applyNumberFormat="1" applyFont="1" applyBorder="1"/>
    <xf numFmtId="171" fontId="4" fillId="4" borderId="40" xfId="0" applyNumberFormat="1" applyFont="1" applyFill="1" applyBorder="1"/>
    <xf numFmtId="170" fontId="4" fillId="4" borderId="40" xfId="0" applyNumberFormat="1" applyFont="1" applyFill="1" applyBorder="1"/>
    <xf numFmtId="0" fontId="4" fillId="0" borderId="40" xfId="0" applyFont="1" applyBorder="1"/>
    <xf numFmtId="172" fontId="4" fillId="0" borderId="40" xfId="0" applyNumberFormat="1" applyFont="1" applyBorder="1"/>
    <xf numFmtId="3" fontId="5" fillId="5" borderId="40" xfId="0" applyNumberFormat="1" applyFont="1" applyFill="1" applyBorder="1"/>
    <xf numFmtId="0" fontId="15" fillId="0" borderId="0" xfId="0" applyFont="1"/>
    <xf numFmtId="0" fontId="4" fillId="4" borderId="0" xfId="0" applyFont="1" applyFill="1" applyAlignment="1">
      <alignment horizontal="center"/>
    </xf>
    <xf numFmtId="164" fontId="4" fillId="4" borderId="40" xfId="0" applyNumberFormat="1" applyFont="1" applyFill="1" applyBorder="1"/>
    <xf numFmtId="164" fontId="4" fillId="4" borderId="40" xfId="1" applyNumberFormat="1" applyFont="1" applyFill="1" applyBorder="1"/>
    <xf numFmtId="164" fontId="4" fillId="7" borderId="0" xfId="1" applyNumberFormat="1" applyFont="1" applyFill="1"/>
    <xf numFmtId="0" fontId="13" fillId="0" borderId="0" xfId="11" applyFont="1"/>
    <xf numFmtId="0" fontId="4" fillId="0" borderId="0" xfId="11" applyFont="1"/>
    <xf numFmtId="164" fontId="4" fillId="0" borderId="0" xfId="6" applyNumberFormat="1" applyFont="1"/>
    <xf numFmtId="9" fontId="4" fillId="0" borderId="0" xfId="7" applyFont="1"/>
    <xf numFmtId="169" fontId="4" fillId="0" borderId="0" xfId="7" applyNumberFormat="1" applyFont="1"/>
    <xf numFmtId="9" fontId="5" fillId="0" borderId="0" xfId="7" applyFont="1"/>
    <xf numFmtId="0" fontId="4" fillId="0" borderId="40" xfId="11" applyFont="1" applyBorder="1" applyAlignment="1">
      <alignment horizontal="center" wrapText="1"/>
    </xf>
    <xf numFmtId="164" fontId="4" fillId="0" borderId="40" xfId="6" applyNumberFormat="1" applyFont="1" applyBorder="1" applyAlignment="1">
      <alignment horizontal="center" wrapText="1"/>
    </xf>
    <xf numFmtId="9" fontId="4" fillId="0" borderId="40" xfId="7" applyFont="1" applyFill="1" applyBorder="1" applyAlignment="1">
      <alignment horizontal="center" wrapText="1"/>
    </xf>
    <xf numFmtId="164" fontId="16" fillId="0" borderId="0" xfId="6" applyNumberFormat="1" applyFont="1"/>
    <xf numFmtId="9" fontId="5" fillId="4" borderId="0" xfId="7" applyFont="1" applyFill="1"/>
    <xf numFmtId="43" fontId="4" fillId="0" borderId="0" xfId="11" applyNumberFormat="1" applyFont="1"/>
    <xf numFmtId="0" fontId="4" fillId="0" borderId="0" xfId="11" applyFont="1" applyAlignment="1">
      <alignment horizontal="left" indent="10"/>
    </xf>
    <xf numFmtId="0" fontId="16" fillId="0" borderId="0" xfId="11" applyFont="1"/>
    <xf numFmtId="169" fontId="19" fillId="0" borderId="0" xfId="7" applyNumberFormat="1" applyFont="1" applyFill="1"/>
    <xf numFmtId="0" fontId="19" fillId="0" borderId="0" xfId="11" applyFont="1"/>
    <xf numFmtId="169" fontId="19" fillId="0" borderId="0" xfId="7" applyNumberFormat="1" applyFont="1" applyFill="1" applyAlignment="1">
      <alignment horizontal="left"/>
    </xf>
    <xf numFmtId="9" fontId="19" fillId="0" borderId="0" xfId="7" applyFont="1" applyFill="1"/>
    <xf numFmtId="164" fontId="4" fillId="0" borderId="0" xfId="11" applyNumberFormat="1" applyFont="1"/>
    <xf numFmtId="164" fontId="4" fillId="4" borderId="0" xfId="6" applyNumberFormat="1" applyFont="1" applyFill="1"/>
    <xf numFmtId="0" fontId="5" fillId="0" borderId="0" xfId="11" applyFont="1"/>
    <xf numFmtId="164" fontId="5" fillId="4" borderId="0" xfId="6" applyNumberFormat="1" applyFont="1" applyFill="1"/>
    <xf numFmtId="0" fontId="4" fillId="0" borderId="0" xfId="11" applyFont="1" applyAlignment="1">
      <alignment horizontal="right"/>
    </xf>
    <xf numFmtId="9" fontId="4" fillId="4" borderId="0" xfId="9" applyFont="1" applyFill="1"/>
    <xf numFmtId="169" fontId="4" fillId="4" borderId="0" xfId="9" applyNumberFormat="1" applyFont="1" applyFill="1"/>
    <xf numFmtId="168" fontId="4" fillId="4" borderId="0" xfId="12" applyNumberFormat="1" applyFont="1" applyFill="1" applyAlignment="1">
      <alignment horizontal="left" indent="2"/>
    </xf>
    <xf numFmtId="168" fontId="4" fillId="4" borderId="0" xfId="11" applyNumberFormat="1" applyFont="1" applyFill="1"/>
    <xf numFmtId="164" fontId="6" fillId="0" borderId="0" xfId="6" applyNumberFormat="1" applyFont="1"/>
    <xf numFmtId="0" fontId="21" fillId="0" borderId="0" xfId="3" applyNumberFormat="1" applyFont="1" applyFill="1" applyBorder="1" applyAlignment="1" applyProtection="1">
      <alignment horizontal="center" wrapText="1"/>
    </xf>
    <xf numFmtId="0" fontId="22" fillId="0" borderId="0" xfId="0" applyFont="1"/>
    <xf numFmtId="0" fontId="23" fillId="0" borderId="0" xfId="0" applyFont="1"/>
    <xf numFmtId="0" fontId="6" fillId="0" borderId="6" xfId="0" applyFont="1" applyBorder="1" applyProtection="1">
      <protection locked="0"/>
    </xf>
    <xf numFmtId="0" fontId="22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49" fontId="24" fillId="0" borderId="13" xfId="0" applyNumberFormat="1" applyFont="1" applyBorder="1" applyProtection="1">
      <protection locked="0"/>
    </xf>
    <xf numFmtId="1" fontId="9" fillId="0" borderId="14" xfId="0" applyNumberFormat="1" applyFont="1" applyBorder="1" applyAlignment="1" applyProtection="1">
      <alignment horizontal="right" wrapText="1"/>
      <protection locked="0"/>
    </xf>
    <xf numFmtId="1" fontId="9" fillId="0" borderId="15" xfId="0" applyNumberFormat="1" applyFont="1" applyBorder="1" applyAlignment="1" applyProtection="1">
      <alignment horizontal="right" wrapText="1"/>
      <protection locked="0"/>
    </xf>
    <xf numFmtId="0" fontId="25" fillId="2" borderId="16" xfId="0" applyFont="1" applyFill="1" applyBorder="1" applyAlignment="1">
      <alignment horizontal="right" wrapText="1"/>
    </xf>
    <xf numFmtId="49" fontId="6" fillId="0" borderId="17" xfId="0" applyNumberFormat="1" applyFont="1" applyBorder="1" applyAlignment="1" applyProtection="1">
      <alignment wrapText="1"/>
      <protection locked="0"/>
    </xf>
    <xf numFmtId="3" fontId="6" fillId="0" borderId="18" xfId="0" applyNumberFormat="1" applyFont="1" applyBorder="1" applyAlignment="1" applyProtection="1">
      <alignment horizontal="right" wrapText="1"/>
      <protection locked="0"/>
    </xf>
    <xf numFmtId="3" fontId="6" fillId="0" borderId="19" xfId="0" applyNumberFormat="1" applyFont="1" applyBorder="1" applyAlignment="1" applyProtection="1">
      <alignment horizontal="right" wrapText="1"/>
      <protection locked="0"/>
    </xf>
    <xf numFmtId="49" fontId="9" fillId="0" borderId="20" xfId="0" applyNumberFormat="1" applyFont="1" applyBorder="1" applyAlignment="1" applyProtection="1">
      <alignment wrapText="1"/>
      <protection locked="0"/>
    </xf>
    <xf numFmtId="3" fontId="9" fillId="0" borderId="21" xfId="0" applyNumberFormat="1" applyFont="1" applyBorder="1" applyAlignment="1" applyProtection="1">
      <alignment horizontal="right" wrapText="1"/>
      <protection locked="0"/>
    </xf>
    <xf numFmtId="3" fontId="9" fillId="0" borderId="22" xfId="0" applyNumberFormat="1" applyFont="1" applyBorder="1" applyAlignment="1" applyProtection="1">
      <alignment horizontal="right" wrapText="1"/>
      <protection locked="0"/>
    </xf>
    <xf numFmtId="49" fontId="6" fillId="0" borderId="23" xfId="0" applyNumberFormat="1" applyFont="1" applyBorder="1" applyAlignment="1" applyProtection="1">
      <alignment wrapText="1"/>
      <protection locked="0"/>
    </xf>
    <xf numFmtId="3" fontId="6" fillId="0" borderId="14" xfId="0" applyNumberFormat="1" applyFont="1" applyBorder="1" applyAlignment="1" applyProtection="1">
      <alignment horizontal="right" wrapText="1"/>
      <protection locked="0"/>
    </xf>
    <xf numFmtId="1" fontId="6" fillId="0" borderId="15" xfId="0" applyNumberFormat="1" applyFont="1" applyBorder="1" applyAlignment="1" applyProtection="1">
      <alignment horizontal="right" wrapText="1"/>
      <protection locked="0"/>
    </xf>
    <xf numFmtId="1" fontId="6" fillId="0" borderId="18" xfId="0" applyNumberFormat="1" applyFont="1" applyBorder="1" applyAlignment="1" applyProtection="1">
      <alignment horizontal="right" wrapText="1"/>
      <protection locked="0"/>
    </xf>
    <xf numFmtId="1" fontId="6" fillId="0" borderId="19" xfId="0" applyNumberFormat="1" applyFont="1" applyBorder="1" applyAlignment="1" applyProtection="1">
      <alignment horizontal="right" wrapText="1"/>
      <protection locked="0"/>
    </xf>
    <xf numFmtId="3" fontId="6" fillId="0" borderId="15" xfId="0" applyNumberFormat="1" applyFont="1" applyBorder="1" applyAlignment="1" applyProtection="1">
      <alignment horizontal="right" wrapText="1"/>
      <protection locked="0"/>
    </xf>
    <xf numFmtId="3" fontId="9" fillId="0" borderId="14" xfId="0" applyNumberFormat="1" applyFont="1" applyBorder="1" applyAlignment="1" applyProtection="1">
      <alignment horizontal="right" wrapText="1"/>
      <protection locked="0"/>
    </xf>
    <xf numFmtId="3" fontId="9" fillId="0" borderId="15" xfId="0" applyNumberFormat="1" applyFont="1" applyBorder="1" applyAlignment="1" applyProtection="1">
      <alignment horizontal="right" wrapText="1"/>
      <protection locked="0"/>
    </xf>
    <xf numFmtId="49" fontId="9" fillId="0" borderId="24" xfId="0" applyNumberFormat="1" applyFont="1" applyBorder="1" applyAlignment="1" applyProtection="1">
      <alignment wrapText="1"/>
      <protection locked="0"/>
    </xf>
    <xf numFmtId="165" fontId="9" fillId="0" borderId="25" xfId="0" applyNumberFormat="1" applyFont="1" applyBorder="1" applyAlignment="1" applyProtection="1">
      <alignment horizontal="right" wrapText="1"/>
      <protection locked="0"/>
    </xf>
    <xf numFmtId="166" fontId="9" fillId="0" borderId="26" xfId="0" applyNumberFormat="1" applyFont="1" applyBorder="1" applyAlignment="1" applyProtection="1">
      <alignment horizontal="right" wrapText="1"/>
      <protection locked="0"/>
    </xf>
    <xf numFmtId="49" fontId="9" fillId="0" borderId="27" xfId="0" applyNumberFormat="1" applyFont="1" applyBorder="1" applyAlignment="1" applyProtection="1">
      <alignment wrapText="1"/>
      <protection locked="0"/>
    </xf>
    <xf numFmtId="1" fontId="9" fillId="0" borderId="25" xfId="0" applyNumberFormat="1" applyFont="1" applyBorder="1" applyAlignment="1" applyProtection="1">
      <alignment horizontal="right" wrapText="1"/>
      <protection locked="0"/>
    </xf>
    <xf numFmtId="1" fontId="9" fillId="0" borderId="26" xfId="0" applyNumberFormat="1" applyFont="1" applyBorder="1" applyAlignment="1" applyProtection="1">
      <alignment horizontal="right" wrapText="1"/>
      <protection locked="0"/>
    </xf>
    <xf numFmtId="166" fontId="9" fillId="0" borderId="25" xfId="0" applyNumberFormat="1" applyFont="1" applyBorder="1" applyAlignment="1" applyProtection="1">
      <alignment horizontal="right" wrapText="1"/>
      <protection locked="0"/>
    </xf>
    <xf numFmtId="0" fontId="6" fillId="0" borderId="14" xfId="0" applyFont="1" applyBorder="1"/>
    <xf numFmtId="0" fontId="22" fillId="0" borderId="14" xfId="0" applyFont="1" applyBorder="1"/>
    <xf numFmtId="3" fontId="22" fillId="0" borderId="0" xfId="0" applyNumberFormat="1" applyFont="1"/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6" fillId="0" borderId="6" xfId="0" applyFont="1" applyBorder="1"/>
    <xf numFmtId="164" fontId="6" fillId="0" borderId="0" xfId="1" applyNumberFormat="1" applyFont="1" applyBorder="1" applyAlignment="1"/>
    <xf numFmtId="164" fontId="6" fillId="0" borderId="7" xfId="1" applyNumberFormat="1" applyFont="1" applyBorder="1" applyAlignment="1"/>
    <xf numFmtId="49" fontId="24" fillId="0" borderId="28" xfId="0" applyNumberFormat="1" applyFont="1" applyBorder="1" applyProtection="1">
      <protection locked="0"/>
    </xf>
    <xf numFmtId="167" fontId="9" fillId="0" borderId="0" xfId="1" quotePrefix="1" applyNumberFormat="1" applyFont="1" applyBorder="1" applyAlignment="1">
      <alignment horizontal="right"/>
    </xf>
    <xf numFmtId="167" fontId="9" fillId="0" borderId="0" xfId="1" applyNumberFormat="1" applyFont="1" applyBorder="1" applyAlignment="1">
      <alignment horizontal="right"/>
    </xf>
    <xf numFmtId="167" fontId="9" fillId="0" borderId="7" xfId="1" quotePrefix="1" applyNumberFormat="1" applyFont="1" applyBorder="1" applyAlignment="1">
      <alignment horizontal="right"/>
    </xf>
    <xf numFmtId="49" fontId="9" fillId="0" borderId="29" xfId="0" applyNumberFormat="1" applyFont="1" applyBorder="1" applyAlignment="1" applyProtection="1">
      <alignment wrapText="1"/>
      <protection locked="0"/>
    </xf>
    <xf numFmtId="0" fontId="6" fillId="0" borderId="30" xfId="0" applyFont="1" applyBorder="1"/>
    <xf numFmtId="0" fontId="6" fillId="0" borderId="31" xfId="0" applyFont="1" applyBorder="1"/>
    <xf numFmtId="164" fontId="6" fillId="0" borderId="0" xfId="1" applyNumberFormat="1" applyFont="1" applyFill="1" applyBorder="1" applyAlignment="1"/>
    <xf numFmtId="164" fontId="27" fillId="0" borderId="0" xfId="1" applyNumberFormat="1" applyFont="1" applyFill="1" applyBorder="1" applyAlignment="1"/>
    <xf numFmtId="164" fontId="27" fillId="0" borderId="7" xfId="1" applyNumberFormat="1" applyFont="1" applyBorder="1" applyAlignment="1"/>
    <xf numFmtId="164" fontId="6" fillId="0" borderId="0" xfId="0" applyNumberFormat="1" applyFont="1"/>
    <xf numFmtId="43" fontId="6" fillId="0" borderId="0" xfId="0" applyNumberFormat="1" applyFont="1"/>
    <xf numFmtId="0" fontId="6" fillId="0" borderId="32" xfId="0" applyFont="1" applyBorder="1"/>
    <xf numFmtId="164" fontId="6" fillId="0" borderId="1" xfId="1" applyNumberFormat="1" applyFont="1" applyBorder="1"/>
    <xf numFmtId="164" fontId="6" fillId="0" borderId="33" xfId="1" applyNumberFormat="1" applyFont="1" applyBorder="1"/>
    <xf numFmtId="0" fontId="6" fillId="0" borderId="34" xfId="0" applyFont="1" applyBorder="1"/>
    <xf numFmtId="0" fontId="9" fillId="0" borderId="8" xfId="0" applyFont="1" applyBorder="1"/>
    <xf numFmtId="164" fontId="9" fillId="0" borderId="2" xfId="1" applyNumberFormat="1" applyFont="1" applyBorder="1"/>
    <xf numFmtId="164" fontId="9" fillId="0" borderId="9" xfId="1" applyNumberFormat="1" applyFont="1" applyBorder="1"/>
    <xf numFmtId="0" fontId="9" fillId="0" borderId="6" xfId="0" applyFont="1" applyBorder="1"/>
    <xf numFmtId="0" fontId="9" fillId="0" borderId="35" xfId="0" applyFont="1" applyBorder="1"/>
    <xf numFmtId="164" fontId="9" fillId="0" borderId="36" xfId="1" applyNumberFormat="1" applyFont="1" applyBorder="1" applyAlignment="1"/>
    <xf numFmtId="164" fontId="9" fillId="0" borderId="37" xfId="1" applyNumberFormat="1" applyFont="1" applyBorder="1" applyAlignment="1"/>
    <xf numFmtId="164" fontId="9" fillId="0" borderId="0" xfId="0" applyNumberFormat="1" applyFont="1"/>
    <xf numFmtId="0" fontId="9" fillId="0" borderId="38" xfId="0" applyFont="1" applyBorder="1"/>
    <xf numFmtId="164" fontId="6" fillId="0" borderId="1" xfId="1" applyNumberFormat="1" applyFont="1" applyBorder="1" applyAlignment="1"/>
    <xf numFmtId="164" fontId="6" fillId="0" borderId="33" xfId="1" applyNumberFormat="1" applyFont="1" applyBorder="1" applyAlignment="1"/>
    <xf numFmtId="0" fontId="6" fillId="0" borderId="39" xfId="0" applyFont="1" applyBorder="1"/>
    <xf numFmtId="164" fontId="6" fillId="0" borderId="2" xfId="1" applyNumberFormat="1" applyFont="1" applyBorder="1" applyAlignment="1"/>
    <xf numFmtId="164" fontId="6" fillId="0" borderId="9" xfId="1" applyNumberFormat="1" applyFont="1" applyBorder="1" applyAlignment="1"/>
    <xf numFmtId="0" fontId="9" fillId="0" borderId="39" xfId="0" applyFont="1" applyBorder="1"/>
    <xf numFmtId="164" fontId="9" fillId="0" borderId="11" xfId="1" applyNumberFormat="1" applyFont="1" applyBorder="1" applyAlignment="1"/>
    <xf numFmtId="164" fontId="9" fillId="0" borderId="12" xfId="1" applyNumberFormat="1" applyFont="1" applyBorder="1" applyAlignment="1"/>
    <xf numFmtId="3" fontId="6" fillId="0" borderId="0" xfId="0" applyNumberFormat="1" applyFont="1"/>
    <xf numFmtId="0" fontId="4" fillId="4" borderId="40" xfId="0" applyNumberFormat="1" applyFont="1" applyFill="1" applyBorder="1"/>
    <xf numFmtId="0" fontId="29" fillId="0" borderId="0" xfId="13"/>
    <xf numFmtId="0" fontId="1" fillId="0" borderId="0" xfId="11"/>
    <xf numFmtId="169" fontId="0" fillId="0" borderId="0" xfId="7" applyNumberFormat="1" applyFont="1"/>
    <xf numFmtId="9" fontId="0" fillId="0" borderId="0" xfId="7" applyFont="1"/>
    <xf numFmtId="164" fontId="0" fillId="0" borderId="0" xfId="6" applyNumberFormat="1" applyFont="1"/>
    <xf numFmtId="0" fontId="30" fillId="0" borderId="0" xfId="11" applyFont="1"/>
    <xf numFmtId="169" fontId="31" fillId="0" borderId="0" xfId="7" applyNumberFormat="1" applyFont="1" applyFill="1"/>
    <xf numFmtId="9" fontId="31" fillId="0" borderId="0" xfId="7" applyFont="1" applyFill="1"/>
    <xf numFmtId="169" fontId="3" fillId="0" borderId="0" xfId="7" applyNumberFormat="1" applyFont="1" applyFill="1" applyAlignment="1">
      <alignment horizontal="left"/>
    </xf>
    <xf numFmtId="0" fontId="1" fillId="0" borderId="0" xfId="11" applyAlignment="1">
      <alignment horizontal="center"/>
    </xf>
    <xf numFmtId="169" fontId="28" fillId="4" borderId="0" xfId="7" applyNumberFormat="1" applyFont="1" applyFill="1" applyAlignment="1">
      <alignment horizontal="center"/>
    </xf>
    <xf numFmtId="169" fontId="0" fillId="0" borderId="0" xfId="7" applyNumberFormat="1" applyFont="1" applyAlignment="1">
      <alignment horizontal="center"/>
    </xf>
    <xf numFmtId="43" fontId="1" fillId="0" borderId="0" xfId="11" applyNumberFormat="1"/>
    <xf numFmtId="169" fontId="0" fillId="8" borderId="0" xfId="7" applyNumberFormat="1" applyFont="1" applyFill="1" applyAlignment="1">
      <alignment horizontal="center"/>
    </xf>
    <xf numFmtId="164" fontId="32" fillId="0" borderId="0" xfId="6" applyNumberFormat="1" applyFont="1"/>
    <xf numFmtId="9" fontId="0" fillId="0" borderId="40" xfId="7" applyFont="1" applyFill="1" applyBorder="1" applyAlignment="1">
      <alignment horizontal="center" wrapText="1"/>
    </xf>
    <xf numFmtId="164" fontId="0" fillId="0" borderId="40" xfId="6" applyNumberFormat="1" applyFont="1" applyBorder="1" applyAlignment="1">
      <alignment horizontal="center" wrapText="1"/>
    </xf>
    <xf numFmtId="0" fontId="1" fillId="0" borderId="40" xfId="11" applyBorder="1" applyAlignment="1">
      <alignment horizontal="center" wrapText="1"/>
    </xf>
    <xf numFmtId="9" fontId="28" fillId="0" borderId="0" xfId="7" applyFont="1"/>
    <xf numFmtId="0" fontId="33" fillId="0" borderId="0" xfId="11" applyFont="1"/>
    <xf numFmtId="10" fontId="1" fillId="0" borderId="0" xfId="11" applyNumberFormat="1"/>
    <xf numFmtId="168" fontId="1" fillId="4" borderId="0" xfId="11" applyNumberFormat="1" applyFill="1"/>
    <xf numFmtId="168" fontId="1" fillId="0" borderId="0" xfId="11" applyNumberFormat="1"/>
    <xf numFmtId="169" fontId="1" fillId="4" borderId="0" xfId="9" applyNumberFormat="1" applyFont="1" applyFill="1"/>
    <xf numFmtId="169" fontId="1" fillId="0" borderId="0" xfId="11" applyNumberFormat="1"/>
    <xf numFmtId="0" fontId="1" fillId="0" borderId="0" xfId="11" applyAlignment="1">
      <alignment horizontal="right"/>
    </xf>
    <xf numFmtId="164" fontId="1" fillId="0" borderId="0" xfId="11" applyNumberFormat="1"/>
    <xf numFmtId="164" fontId="28" fillId="4" borderId="0" xfId="6" applyNumberFormat="1" applyFont="1" applyFill="1"/>
    <xf numFmtId="0" fontId="28" fillId="0" borderId="0" xfId="11" applyFont="1"/>
    <xf numFmtId="164" fontId="0" fillId="4" borderId="0" xfId="6" applyNumberFormat="1" applyFont="1" applyFill="1"/>
    <xf numFmtId="0" fontId="5" fillId="0" borderId="1" xfId="0" applyFont="1" applyBorder="1" applyAlignment="1">
      <alignment horizontal="center"/>
    </xf>
    <xf numFmtId="164" fontId="0" fillId="0" borderId="41" xfId="6" applyNumberFormat="1" applyFont="1" applyBorder="1" applyAlignment="1">
      <alignment horizontal="center" wrapText="1"/>
    </xf>
    <xf numFmtId="164" fontId="0" fillId="0" borderId="43" xfId="6" applyNumberFormat="1" applyFont="1" applyBorder="1" applyAlignment="1">
      <alignment horizontal="center" wrapText="1"/>
    </xf>
    <xf numFmtId="0" fontId="35" fillId="0" borderId="44" xfId="11" applyFont="1" applyBorder="1" applyAlignment="1">
      <alignment horizontal="center"/>
    </xf>
    <xf numFmtId="0" fontId="35" fillId="0" borderId="45" xfId="11" applyFont="1" applyBorder="1" applyAlignment="1">
      <alignment horizontal="center"/>
    </xf>
    <xf numFmtId="0" fontId="35" fillId="0" borderId="46" xfId="11" applyFont="1" applyBorder="1" applyAlignment="1">
      <alignment horizontal="center"/>
    </xf>
    <xf numFmtId="0" fontId="1" fillId="0" borderId="41" xfId="11" applyBorder="1" applyAlignment="1">
      <alignment horizontal="center"/>
    </xf>
    <xf numFmtId="0" fontId="1" fillId="0" borderId="42" xfId="11" applyBorder="1" applyAlignment="1">
      <alignment horizontal="center"/>
    </xf>
    <xf numFmtId="0" fontId="1" fillId="0" borderId="43" xfId="11" applyBorder="1" applyAlignment="1">
      <alignment horizontal="center"/>
    </xf>
    <xf numFmtId="0" fontId="34" fillId="0" borderId="44" xfId="11" applyFont="1" applyBorder="1" applyAlignment="1">
      <alignment horizontal="center"/>
    </xf>
    <xf numFmtId="0" fontId="34" fillId="0" borderId="45" xfId="11" applyFont="1" applyBorder="1" applyAlignment="1">
      <alignment horizontal="center"/>
    </xf>
    <xf numFmtId="0" fontId="34" fillId="0" borderId="46" xfId="11" applyFont="1" applyBorder="1" applyAlignment="1">
      <alignment horizontal="center"/>
    </xf>
    <xf numFmtId="164" fontId="4" fillId="0" borderId="41" xfId="6" applyNumberFormat="1" applyFont="1" applyBorder="1" applyAlignment="1">
      <alignment horizontal="center" wrapText="1"/>
    </xf>
    <xf numFmtId="164" fontId="4" fillId="0" borderId="43" xfId="6" applyNumberFormat="1" applyFont="1" applyBorder="1" applyAlignment="1">
      <alignment horizontal="center" wrapText="1"/>
    </xf>
    <xf numFmtId="0" fontId="20" fillId="0" borderId="44" xfId="11" applyFont="1" applyBorder="1" applyAlignment="1">
      <alignment horizontal="center"/>
    </xf>
    <xf numFmtId="0" fontId="20" fillId="0" borderId="45" xfId="11" applyFont="1" applyBorder="1" applyAlignment="1">
      <alignment horizontal="center"/>
    </xf>
    <xf numFmtId="0" fontId="20" fillId="0" borderId="46" xfId="11" applyFont="1" applyBorder="1" applyAlignment="1">
      <alignment horizontal="center"/>
    </xf>
    <xf numFmtId="0" fontId="4" fillId="0" borderId="41" xfId="11" applyFont="1" applyBorder="1" applyAlignment="1">
      <alignment horizontal="center"/>
    </xf>
    <xf numFmtId="0" fontId="4" fillId="0" borderId="42" xfId="11" applyFont="1" applyBorder="1" applyAlignment="1">
      <alignment horizontal="center"/>
    </xf>
    <xf numFmtId="0" fontId="4" fillId="0" borderId="43" xfId="11" applyFont="1" applyBorder="1" applyAlignment="1">
      <alignment horizont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 wrapText="1"/>
      <protection locked="0"/>
    </xf>
  </cellXfs>
  <cellStyles count="14">
    <cellStyle name="Comma" xfId="1" builtinId="3"/>
    <cellStyle name="Comma 2" xfId="12" xr:uid="{0D2B4618-F3ED-45D9-9A48-032E2469C7AD}"/>
    <cellStyle name="Comma 8" xfId="6" xr:uid="{E3C343EE-0DE0-47A1-9476-CAA00CC03583}"/>
    <cellStyle name="Comma 8 2" xfId="10" xr:uid="{27226900-90B1-4FB6-BF79-CEB75ED8A492}"/>
    <cellStyle name="Hyperlink" xfId="3" builtinId="8"/>
    <cellStyle name="Normal" xfId="0" builtinId="0"/>
    <cellStyle name="Normal 2" xfId="4" xr:uid="{EE60E458-E094-4F04-9994-4412E49E7130}"/>
    <cellStyle name="Normal 3" xfId="13" xr:uid="{10F2F706-29A2-4FB5-AF40-68E0BF46BFEC}"/>
    <cellStyle name="Normal 5" xfId="11" xr:uid="{E6D43F56-C830-4E5A-801E-B55325E34378}"/>
    <cellStyle name="Normal 6" xfId="5" xr:uid="{D01D22A7-9F98-405E-A6F0-10A51ABE8E0F}"/>
    <cellStyle name="Normal 6 2" xfId="8" xr:uid="{2F353813-D43E-4F2D-9468-58BAC02B19E9}"/>
    <cellStyle name="Percent" xfId="2" builtinId="5"/>
    <cellStyle name="Percent 2" xfId="9" xr:uid="{7FD28957-0F9D-4ACB-B23D-6C5A28AA44C7}"/>
    <cellStyle name="Percent 8" xfId="7" xr:uid="{417E65C6-CF40-4854-A986-3E8990306E1B}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won\Downloads\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F2DA-6F47-4A1D-885E-56953A4B1EAB}">
  <sheetPr>
    <tabColor rgb="FF0000FF"/>
  </sheetPr>
  <dimension ref="A1"/>
  <sheetViews>
    <sheetView workbookViewId="0"/>
  </sheetViews>
  <sheetFormatPr defaultColWidth="8.88671875" defaultRowHeight="13.8" x14ac:dyDescent="0.25"/>
  <cols>
    <col min="1" max="16384" width="8.88671875" style="2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E2CAC-7F9E-4ABC-A0F3-D3A7DA973923}">
  <sheetPr>
    <tabColor rgb="FFFFC000"/>
  </sheetPr>
  <dimension ref="A1:AFW65"/>
  <sheetViews>
    <sheetView zoomScaleNormal="100" workbookViewId="0"/>
  </sheetViews>
  <sheetFormatPr defaultColWidth="9.33203125" defaultRowHeight="13.8" x14ac:dyDescent="0.25"/>
  <cols>
    <col min="1" max="1" width="77.6640625" style="17" bestFit="1" customWidth="1"/>
    <col min="2" max="2" width="14.44140625" style="123" customWidth="1"/>
    <col min="3" max="3" width="2.44140625" style="123" customWidth="1"/>
    <col min="4" max="4" width="14.44140625" style="123" customWidth="1"/>
    <col min="5" max="16384" width="9.33203125" style="17"/>
  </cols>
  <sheetData>
    <row r="1" spans="1:855" s="14" customFormat="1" ht="14.4" thickBot="1" x14ac:dyDescent="0.3"/>
    <row r="2" spans="1:855" ht="14.4" thickBot="1" x14ac:dyDescent="0.3">
      <c r="A2" s="210" t="s">
        <v>128</v>
      </c>
      <c r="B2" s="211"/>
      <c r="C2" s="211"/>
      <c r="D2" s="212"/>
    </row>
    <row r="3" spans="1:855" ht="14.4" thickBot="1" x14ac:dyDescent="0.3">
      <c r="A3" s="119" t="s">
        <v>80</v>
      </c>
      <c r="B3" s="120"/>
      <c r="C3" s="120"/>
      <c r="D3" s="121"/>
    </row>
    <row r="4" spans="1:855" x14ac:dyDescent="0.25">
      <c r="A4" s="122"/>
      <c r="D4" s="124"/>
    </row>
    <row r="5" spans="1:855" x14ac:dyDescent="0.25">
      <c r="A5" s="125" t="s">
        <v>59</v>
      </c>
      <c r="B5" s="126" t="s">
        <v>129</v>
      </c>
      <c r="C5" s="127"/>
      <c r="D5" s="128" t="s">
        <v>127</v>
      </c>
    </row>
    <row r="6" spans="1:855" s="130" customFormat="1" x14ac:dyDescent="0.25">
      <c r="A6" s="129" t="s">
        <v>81</v>
      </c>
      <c r="D6" s="131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</row>
    <row r="7" spans="1:855" x14ac:dyDescent="0.25">
      <c r="A7" s="122" t="s">
        <v>82</v>
      </c>
      <c r="B7" s="132">
        <v>4901.72972972973</v>
      </c>
      <c r="D7" s="124">
        <v>2620</v>
      </c>
    </row>
    <row r="8" spans="1:855" x14ac:dyDescent="0.25">
      <c r="A8" s="122" t="s">
        <v>83</v>
      </c>
      <c r="B8" s="132">
        <v>313.67567567567568</v>
      </c>
      <c r="D8" s="124">
        <v>347.08108108108109</v>
      </c>
    </row>
    <row r="9" spans="1:855" x14ac:dyDescent="0.25">
      <c r="A9" s="122" t="s">
        <v>84</v>
      </c>
      <c r="B9" s="132">
        <v>440.18918918918916</v>
      </c>
      <c r="D9" s="124">
        <v>606.91891891891896</v>
      </c>
    </row>
    <row r="10" spans="1:855" x14ac:dyDescent="0.25">
      <c r="A10" s="122" t="s">
        <v>85</v>
      </c>
      <c r="B10" s="132">
        <v>542.72972972972968</v>
      </c>
      <c r="D10" s="124">
        <v>906.94594594594594</v>
      </c>
    </row>
    <row r="11" spans="1:855" x14ac:dyDescent="0.25">
      <c r="A11" s="122" t="s">
        <v>86</v>
      </c>
      <c r="B11" s="132"/>
      <c r="D11" s="124"/>
    </row>
    <row r="12" spans="1:855" x14ac:dyDescent="0.25">
      <c r="A12" s="122" t="s">
        <v>87</v>
      </c>
      <c r="B12" s="132">
        <v>4622.8108108108108</v>
      </c>
      <c r="D12" s="124">
        <v>5298.2432432432433</v>
      </c>
    </row>
    <row r="13" spans="1:855" x14ac:dyDescent="0.25">
      <c r="A13" s="122" t="s">
        <v>88</v>
      </c>
      <c r="B13" s="132">
        <v>13112.162162162162</v>
      </c>
      <c r="D13" s="124">
        <v>13934.972972972973</v>
      </c>
    </row>
    <row r="14" spans="1:855" ht="15.6" x14ac:dyDescent="0.4">
      <c r="A14" s="122" t="s">
        <v>89</v>
      </c>
      <c r="B14" s="133">
        <v>2367.2162162162163</v>
      </c>
      <c r="D14" s="134">
        <v>2952.7837837837837</v>
      </c>
    </row>
    <row r="15" spans="1:855" x14ac:dyDescent="0.25">
      <c r="A15" s="122" t="s">
        <v>90</v>
      </c>
      <c r="B15" s="132">
        <v>20102.18918918919</v>
      </c>
      <c r="D15" s="124">
        <v>22186</v>
      </c>
    </row>
    <row r="16" spans="1:855" x14ac:dyDescent="0.25">
      <c r="A16" s="122" t="s">
        <v>91</v>
      </c>
      <c r="B16" s="132">
        <v>1519.6756756756756</v>
      </c>
      <c r="D16" s="124">
        <v>1988.7297297297298</v>
      </c>
    </row>
    <row r="17" spans="1:855" x14ac:dyDescent="0.25">
      <c r="A17" s="122" t="s">
        <v>92</v>
      </c>
      <c r="B17" s="132">
        <v>27.756756756756758</v>
      </c>
      <c r="D17" s="124">
        <v>27.378378378378379</v>
      </c>
      <c r="G17" s="135"/>
    </row>
    <row r="18" spans="1:855" x14ac:dyDescent="0.25">
      <c r="A18" s="122" t="s">
        <v>93</v>
      </c>
      <c r="B18" s="132">
        <v>11051.594594594595</v>
      </c>
      <c r="D18" s="124">
        <v>11560.783783783783</v>
      </c>
      <c r="F18" s="135"/>
    </row>
    <row r="19" spans="1:855" x14ac:dyDescent="0.25">
      <c r="A19" s="122" t="s">
        <v>94</v>
      </c>
      <c r="B19" s="132">
        <v>86.648648648648646</v>
      </c>
      <c r="D19" s="124">
        <v>0</v>
      </c>
      <c r="F19" s="135"/>
    </row>
    <row r="20" spans="1:855" x14ac:dyDescent="0.25">
      <c r="A20" s="122" t="s">
        <v>95</v>
      </c>
      <c r="B20" s="132">
        <v>75.78378378378379</v>
      </c>
      <c r="D20" s="124">
        <v>76.918918918918919</v>
      </c>
    </row>
    <row r="21" spans="1:855" x14ac:dyDescent="0.25">
      <c r="A21" s="122" t="s">
        <v>96</v>
      </c>
      <c r="B21" s="132">
        <v>242.75675675675674</v>
      </c>
      <c r="D21" s="124">
        <v>272.37837837837839</v>
      </c>
    </row>
    <row r="22" spans="1:855" x14ac:dyDescent="0.25">
      <c r="A22" s="122" t="s">
        <v>97</v>
      </c>
      <c r="B22" s="132">
        <v>3406.6216216216217</v>
      </c>
      <c r="D22" s="124">
        <v>3192.8918918918921</v>
      </c>
    </row>
    <row r="23" spans="1:855" x14ac:dyDescent="0.25">
      <c r="A23" s="122" t="s">
        <v>98</v>
      </c>
      <c r="B23" s="132">
        <v>42.135135135135137</v>
      </c>
      <c r="D23" s="124">
        <v>34.729729729729726</v>
      </c>
      <c r="E23" s="136"/>
    </row>
    <row r="24" spans="1:855" s="140" customFormat="1" ht="14.4" thickBot="1" x14ac:dyDescent="0.3">
      <c r="A24" s="137" t="s">
        <v>99</v>
      </c>
      <c r="B24" s="138">
        <v>234.21621621621622</v>
      </c>
      <c r="C24" s="123"/>
      <c r="D24" s="139">
        <v>209.78378378378378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  <c r="YM24" s="17"/>
      <c r="YN24" s="17"/>
      <c r="YO24" s="17"/>
      <c r="YP24" s="17"/>
      <c r="YQ24" s="17"/>
      <c r="YR24" s="17"/>
      <c r="YS24" s="17"/>
      <c r="YT24" s="17"/>
      <c r="YU24" s="17"/>
      <c r="YV24" s="17"/>
      <c r="YW24" s="17"/>
      <c r="YX24" s="17"/>
      <c r="YY24" s="17"/>
      <c r="YZ24" s="17"/>
      <c r="ZA24" s="17"/>
      <c r="ZB24" s="17"/>
      <c r="ZC24" s="17"/>
      <c r="ZD24" s="17"/>
      <c r="ZE24" s="17"/>
      <c r="ZF24" s="17"/>
      <c r="ZG24" s="17"/>
      <c r="ZH24" s="17"/>
      <c r="ZI24" s="17"/>
      <c r="ZJ24" s="17"/>
      <c r="ZK24" s="17"/>
      <c r="ZL24" s="17"/>
      <c r="ZM24" s="17"/>
      <c r="ZN24" s="17"/>
      <c r="ZO24" s="17"/>
      <c r="ZP24" s="17"/>
      <c r="ZQ24" s="17"/>
      <c r="ZR24" s="17"/>
      <c r="ZS24" s="17"/>
      <c r="ZT24" s="17"/>
      <c r="ZU24" s="17"/>
      <c r="ZV24" s="17"/>
      <c r="ZW24" s="17"/>
      <c r="ZX24" s="17"/>
      <c r="ZY24" s="17"/>
      <c r="ZZ24" s="17"/>
      <c r="AAA24" s="17"/>
      <c r="AAB24" s="17"/>
      <c r="AAC24" s="17"/>
      <c r="AAD24" s="17"/>
      <c r="AAE24" s="17"/>
      <c r="AAF24" s="17"/>
      <c r="AAG24" s="17"/>
      <c r="AAH24" s="17"/>
      <c r="AAI24" s="17"/>
      <c r="AAJ24" s="17"/>
      <c r="AAK24" s="17"/>
      <c r="AAL24" s="17"/>
      <c r="AAM24" s="17"/>
      <c r="AAN24" s="17"/>
      <c r="AAO24" s="17"/>
      <c r="AAP24" s="17"/>
      <c r="AAQ24" s="17"/>
      <c r="AAR24" s="17"/>
      <c r="AAS24" s="17"/>
      <c r="AAT24" s="17"/>
      <c r="AAU24" s="17"/>
      <c r="AAV24" s="17"/>
      <c r="AAW24" s="17"/>
      <c r="AAX24" s="17"/>
      <c r="AAY24" s="17"/>
      <c r="AAZ24" s="17"/>
      <c r="ABA24" s="17"/>
      <c r="ABB24" s="17"/>
      <c r="ABC24" s="17"/>
      <c r="ABD24" s="17"/>
      <c r="ABE24" s="17"/>
      <c r="ABF24" s="17"/>
      <c r="ABG24" s="17"/>
      <c r="ABH24" s="17"/>
      <c r="ABI24" s="17"/>
      <c r="ABJ24" s="17"/>
      <c r="ABK24" s="17"/>
      <c r="ABL24" s="17"/>
      <c r="ABM24" s="17"/>
      <c r="ABN24" s="17"/>
      <c r="ABO24" s="17"/>
      <c r="ABP24" s="17"/>
      <c r="ABQ24" s="17"/>
      <c r="ABR24" s="17"/>
      <c r="ABS24" s="17"/>
      <c r="ABT24" s="17"/>
      <c r="ABU24" s="17"/>
      <c r="ABV24" s="17"/>
      <c r="ABW24" s="17"/>
      <c r="ABX24" s="17"/>
      <c r="ABY24" s="17"/>
      <c r="ABZ24" s="17"/>
      <c r="ACA24" s="17"/>
      <c r="ACB24" s="17"/>
      <c r="ACC24" s="17"/>
      <c r="ACD24" s="17"/>
      <c r="ACE24" s="17"/>
      <c r="ACF24" s="17"/>
      <c r="ACG24" s="17"/>
      <c r="ACH24" s="17"/>
      <c r="ACI24" s="17"/>
      <c r="ACJ24" s="17"/>
      <c r="ACK24" s="17"/>
      <c r="ACL24" s="17"/>
      <c r="ACM24" s="17"/>
      <c r="ACN24" s="17"/>
      <c r="ACO24" s="17"/>
      <c r="ACP24" s="17"/>
      <c r="ACQ24" s="17"/>
      <c r="ACR24" s="17"/>
      <c r="ACS24" s="17"/>
      <c r="ACT24" s="17"/>
      <c r="ACU24" s="17"/>
      <c r="ACV24" s="17"/>
      <c r="ACW24" s="17"/>
      <c r="ACX24" s="17"/>
      <c r="ACY24" s="17"/>
      <c r="ACZ24" s="17"/>
      <c r="ADA24" s="17"/>
      <c r="ADB24" s="17"/>
      <c r="ADC24" s="17"/>
      <c r="ADD24" s="17"/>
      <c r="ADE24" s="17"/>
      <c r="ADF24" s="17"/>
      <c r="ADG24" s="17"/>
      <c r="ADH24" s="17"/>
      <c r="ADI24" s="17"/>
      <c r="ADJ24" s="17"/>
      <c r="ADK24" s="17"/>
      <c r="ADL24" s="17"/>
      <c r="ADM24" s="17"/>
      <c r="ADN24" s="17"/>
      <c r="ADO24" s="17"/>
      <c r="ADP24" s="17"/>
      <c r="ADQ24" s="17"/>
      <c r="ADR24" s="17"/>
      <c r="ADS24" s="17"/>
      <c r="ADT24" s="17"/>
      <c r="ADU24" s="17"/>
      <c r="ADV24" s="17"/>
      <c r="ADW24" s="17"/>
      <c r="ADX24" s="17"/>
      <c r="ADY24" s="17"/>
      <c r="ADZ24" s="17"/>
      <c r="AEA24" s="17"/>
      <c r="AEB24" s="17"/>
      <c r="AEC24" s="17"/>
      <c r="AED24" s="17"/>
      <c r="AEE24" s="17"/>
      <c r="AEF24" s="17"/>
      <c r="AEG24" s="17"/>
      <c r="AEH24" s="17"/>
      <c r="AEI24" s="17"/>
      <c r="AEJ24" s="17"/>
      <c r="AEK24" s="17"/>
      <c r="AEL24" s="17"/>
      <c r="AEM24" s="17"/>
      <c r="AEN24" s="17"/>
      <c r="AEO24" s="17"/>
      <c r="AEP24" s="17"/>
      <c r="AEQ24" s="17"/>
      <c r="AER24" s="17"/>
      <c r="AES24" s="17"/>
      <c r="AET24" s="17"/>
      <c r="AEU24" s="17"/>
      <c r="AEV24" s="17"/>
      <c r="AEW24" s="17"/>
      <c r="AEX24" s="17"/>
      <c r="AEY24" s="17"/>
      <c r="AEZ24" s="17"/>
      <c r="AFA24" s="17"/>
      <c r="AFB24" s="17"/>
      <c r="AFC24" s="17"/>
      <c r="AFD24" s="17"/>
      <c r="AFE24" s="17"/>
      <c r="AFF24" s="17"/>
      <c r="AFG24" s="17"/>
      <c r="AFH24" s="17"/>
      <c r="AFI24" s="17"/>
      <c r="AFJ24" s="17"/>
      <c r="AFK24" s="17"/>
      <c r="AFL24" s="17"/>
      <c r="AFM24" s="17"/>
      <c r="AFN24" s="17"/>
      <c r="AFO24" s="17"/>
      <c r="AFP24" s="17"/>
      <c r="AFQ24" s="17"/>
      <c r="AFR24" s="17"/>
      <c r="AFS24" s="17"/>
      <c r="AFT24" s="17"/>
      <c r="AFU24" s="17"/>
      <c r="AFV24" s="17"/>
      <c r="AFW24" s="17"/>
    </row>
    <row r="25" spans="1:855" s="140" customFormat="1" ht="14.4" thickBot="1" x14ac:dyDescent="0.3">
      <c r="A25" s="141" t="s">
        <v>100</v>
      </c>
      <c r="B25" s="142">
        <v>42987.702702702707</v>
      </c>
      <c r="C25" s="142"/>
      <c r="D25" s="143">
        <v>44030.54054054054</v>
      </c>
      <c r="E25" s="17"/>
      <c r="F25" s="17"/>
      <c r="G25" s="135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</row>
    <row r="26" spans="1:855" x14ac:dyDescent="0.25">
      <c r="A26" s="144"/>
      <c r="B26" s="135"/>
      <c r="D26" s="124"/>
      <c r="G26" s="135"/>
      <c r="I26" s="135"/>
    </row>
    <row r="27" spans="1:855" x14ac:dyDescent="0.25">
      <c r="A27" s="144" t="s">
        <v>101</v>
      </c>
      <c r="D27" s="124"/>
      <c r="I27" s="135"/>
    </row>
    <row r="28" spans="1:855" x14ac:dyDescent="0.25">
      <c r="A28" s="122" t="s">
        <v>102</v>
      </c>
      <c r="B28" s="132">
        <v>14870.378378378378</v>
      </c>
      <c r="D28" s="124">
        <v>15323.621621621622</v>
      </c>
    </row>
    <row r="29" spans="1:855" x14ac:dyDescent="0.25">
      <c r="A29" s="122" t="s">
        <v>103</v>
      </c>
      <c r="B29" s="132">
        <v>695.67567567567562</v>
      </c>
      <c r="C29" s="132"/>
      <c r="D29" s="124">
        <v>264.94594594594594</v>
      </c>
      <c r="F29" s="135"/>
    </row>
    <row r="30" spans="1:855" x14ac:dyDescent="0.25">
      <c r="A30" s="122" t="s">
        <v>104</v>
      </c>
      <c r="B30" s="132">
        <v>97.243243243243242</v>
      </c>
      <c r="C30" s="132"/>
      <c r="D30" s="124">
        <v>88.378378378378372</v>
      </c>
    </row>
    <row r="31" spans="1:855" x14ac:dyDescent="0.25">
      <c r="A31" s="122" t="s">
        <v>105</v>
      </c>
      <c r="B31" s="132"/>
      <c r="C31" s="132"/>
      <c r="D31" s="124"/>
    </row>
    <row r="32" spans="1:855" x14ac:dyDescent="0.25">
      <c r="A32" s="122" t="s">
        <v>106</v>
      </c>
      <c r="B32" s="132">
        <v>1541.3243243243244</v>
      </c>
      <c r="C32" s="132"/>
      <c r="D32" s="124">
        <v>1413.6216216216217</v>
      </c>
    </row>
    <row r="33" spans="1:855" x14ac:dyDescent="0.25">
      <c r="A33" s="122" t="s">
        <v>107</v>
      </c>
      <c r="B33" s="132">
        <v>12536.702702702703</v>
      </c>
      <c r="C33" s="132"/>
      <c r="D33" s="124">
        <v>13353.405405405405</v>
      </c>
    </row>
    <row r="34" spans="1:855" x14ac:dyDescent="0.25">
      <c r="A34" s="122" t="s">
        <v>108</v>
      </c>
      <c r="B34" s="132">
        <v>1634.918918918919</v>
      </c>
      <c r="C34" s="132"/>
      <c r="D34" s="124">
        <v>1212.2162162162163</v>
      </c>
    </row>
    <row r="35" spans="1:855" ht="15.6" x14ac:dyDescent="0.4">
      <c r="A35" s="122" t="s">
        <v>109</v>
      </c>
      <c r="B35" s="133">
        <v>16</v>
      </c>
      <c r="C35" s="132"/>
      <c r="D35" s="134">
        <v>230.32432432432432</v>
      </c>
    </row>
    <row r="36" spans="1:855" x14ac:dyDescent="0.25">
      <c r="A36" s="122" t="s">
        <v>110</v>
      </c>
      <c r="B36" s="132">
        <v>15728.945945945947</v>
      </c>
      <c r="C36" s="132"/>
      <c r="D36" s="124">
        <v>16209.567567567568</v>
      </c>
    </row>
    <row r="37" spans="1:855" x14ac:dyDescent="0.25">
      <c r="A37" s="122" t="s">
        <v>111</v>
      </c>
      <c r="B37" s="132">
        <v>467.43243243243245</v>
      </c>
      <c r="C37" s="132"/>
      <c r="D37" s="124">
        <v>757.02702702702697</v>
      </c>
    </row>
    <row r="38" spans="1:855" x14ac:dyDescent="0.25">
      <c r="A38" s="122" t="s">
        <v>22</v>
      </c>
      <c r="B38" s="132">
        <v>4201.0810810810808</v>
      </c>
      <c r="D38" s="124">
        <v>4729.864864864865</v>
      </c>
    </row>
    <row r="39" spans="1:855" x14ac:dyDescent="0.25">
      <c r="A39" s="122" t="s">
        <v>112</v>
      </c>
      <c r="B39" s="132">
        <v>296.56756756756755</v>
      </c>
      <c r="D39" s="124">
        <v>248.83783783783784</v>
      </c>
    </row>
    <row r="40" spans="1:855" x14ac:dyDescent="0.25">
      <c r="A40" s="122" t="s">
        <v>113</v>
      </c>
      <c r="B40" s="132">
        <v>35.918918918918919</v>
      </c>
      <c r="D40" s="124">
        <v>45.918918918918919</v>
      </c>
    </row>
    <row r="41" spans="1:855" x14ac:dyDescent="0.25">
      <c r="A41" s="122" t="s">
        <v>114</v>
      </c>
      <c r="B41" s="132">
        <v>13.135135135135135</v>
      </c>
      <c r="D41" s="124">
        <v>20.162162162162161</v>
      </c>
    </row>
    <row r="42" spans="1:855" x14ac:dyDescent="0.25">
      <c r="A42" s="122" t="s">
        <v>115</v>
      </c>
      <c r="B42" s="132">
        <v>4657.1891891891892</v>
      </c>
      <c r="D42" s="124">
        <v>4324.7567567567567</v>
      </c>
    </row>
    <row r="43" spans="1:855" x14ac:dyDescent="0.25">
      <c r="A43" s="122" t="s">
        <v>116</v>
      </c>
      <c r="B43" s="123">
        <v>172.24324324324326</v>
      </c>
      <c r="D43" s="124">
        <v>189.72972972972974</v>
      </c>
    </row>
    <row r="44" spans="1:855" s="149" customFormat="1" ht="14.4" thickBot="1" x14ac:dyDescent="0.3">
      <c r="A44" s="145" t="s">
        <v>117</v>
      </c>
      <c r="B44" s="146">
        <v>41235.810810810799</v>
      </c>
      <c r="C44" s="146"/>
      <c r="D44" s="147">
        <v>42202.810810810814</v>
      </c>
      <c r="E44" s="14"/>
      <c r="F44" s="148"/>
      <c r="G44" s="148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</row>
    <row r="45" spans="1:855" x14ac:dyDescent="0.25">
      <c r="A45" s="122" t="s">
        <v>118</v>
      </c>
      <c r="B45" s="123">
        <v>95.432432432432435</v>
      </c>
      <c r="D45" s="124">
        <v>95.432432432432435</v>
      </c>
    </row>
    <row r="46" spans="1:855" x14ac:dyDescent="0.25">
      <c r="A46" s="122" t="s">
        <v>119</v>
      </c>
      <c r="B46" s="123">
        <v>912.56756756756761</v>
      </c>
      <c r="D46" s="124">
        <v>907.35135135135135</v>
      </c>
    </row>
    <row r="47" spans="1:855" x14ac:dyDescent="0.25">
      <c r="A47" s="122" t="s">
        <v>120</v>
      </c>
      <c r="B47" s="123">
        <v>513.16216216216219</v>
      </c>
      <c r="D47" s="124">
        <v>572.48648648648646</v>
      </c>
    </row>
    <row r="48" spans="1:855" x14ac:dyDescent="0.25">
      <c r="A48" s="137" t="s">
        <v>121</v>
      </c>
      <c r="B48" s="150">
        <v>95.945945945945951</v>
      </c>
      <c r="C48" s="150"/>
      <c r="D48" s="151">
        <v>119.02702702702703</v>
      </c>
    </row>
    <row r="49" spans="1:855" s="149" customFormat="1" ht="14.4" thickBot="1" x14ac:dyDescent="0.3">
      <c r="A49" s="145" t="s">
        <v>122</v>
      </c>
      <c r="B49" s="146">
        <v>1617.1081081081081</v>
      </c>
      <c r="C49" s="146"/>
      <c r="D49" s="147">
        <v>1694.2972972972973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14"/>
      <c r="NI49" s="14"/>
      <c r="NJ49" s="14"/>
      <c r="NK49" s="14"/>
      <c r="NL49" s="14"/>
      <c r="NM49" s="14"/>
      <c r="NN49" s="14"/>
      <c r="NO49" s="14"/>
      <c r="NP49" s="14"/>
      <c r="NQ49" s="14"/>
      <c r="NR49" s="14"/>
      <c r="NS49" s="14"/>
      <c r="NT49" s="14"/>
      <c r="NU49" s="14"/>
      <c r="NV49" s="14"/>
      <c r="NW49" s="14"/>
      <c r="NX49" s="14"/>
      <c r="NY49" s="14"/>
      <c r="NZ49" s="14"/>
      <c r="OA49" s="14"/>
      <c r="OB49" s="14"/>
      <c r="OC49" s="14"/>
      <c r="OD49" s="14"/>
      <c r="OE49" s="14"/>
      <c r="OF49" s="14"/>
      <c r="OG49" s="14"/>
      <c r="OH49" s="14"/>
      <c r="OI49" s="14"/>
      <c r="OJ49" s="14"/>
      <c r="OK49" s="14"/>
      <c r="OL49" s="14"/>
      <c r="OM49" s="14"/>
      <c r="ON49" s="14"/>
      <c r="OO49" s="14"/>
      <c r="OP49" s="14"/>
      <c r="OQ49" s="14"/>
      <c r="OR49" s="14"/>
      <c r="OS49" s="14"/>
      <c r="OT49" s="14"/>
      <c r="OU49" s="14"/>
      <c r="OV49" s="14"/>
      <c r="OW49" s="14"/>
      <c r="OX49" s="14"/>
      <c r="OY49" s="14"/>
      <c r="OZ49" s="14"/>
      <c r="PA49" s="14"/>
      <c r="PB49" s="14"/>
      <c r="PC49" s="14"/>
      <c r="PD49" s="14"/>
      <c r="PE49" s="14"/>
      <c r="PF49" s="14"/>
      <c r="PG49" s="14"/>
      <c r="PH49" s="14"/>
      <c r="PI49" s="14"/>
      <c r="PJ49" s="14"/>
      <c r="PK49" s="14"/>
      <c r="PL49" s="14"/>
      <c r="PM49" s="14"/>
      <c r="PN49" s="14"/>
      <c r="PO49" s="14"/>
      <c r="PP49" s="14"/>
      <c r="PQ49" s="14"/>
      <c r="PR49" s="14"/>
      <c r="PS49" s="14"/>
      <c r="PT49" s="14"/>
      <c r="PU49" s="14"/>
      <c r="PV49" s="14"/>
      <c r="PW49" s="14"/>
      <c r="PX49" s="14"/>
      <c r="PY49" s="14"/>
      <c r="PZ49" s="14"/>
      <c r="QA49" s="14"/>
      <c r="QB49" s="14"/>
      <c r="QC49" s="14"/>
      <c r="QD49" s="14"/>
      <c r="QE49" s="14"/>
      <c r="QF49" s="14"/>
      <c r="QG49" s="14"/>
      <c r="QH49" s="14"/>
      <c r="QI49" s="14"/>
      <c r="QJ49" s="14"/>
      <c r="QK49" s="14"/>
      <c r="QL49" s="14"/>
      <c r="QM49" s="14"/>
      <c r="QN49" s="14"/>
      <c r="QO49" s="14"/>
      <c r="QP49" s="14"/>
      <c r="QQ49" s="14"/>
      <c r="QR49" s="14"/>
      <c r="QS49" s="14"/>
      <c r="QT49" s="14"/>
      <c r="QU49" s="14"/>
      <c r="QV49" s="14"/>
      <c r="QW49" s="14"/>
      <c r="QX49" s="14"/>
      <c r="QY49" s="14"/>
      <c r="QZ49" s="14"/>
      <c r="RA49" s="14"/>
      <c r="RB49" s="14"/>
      <c r="RC49" s="14"/>
      <c r="RD49" s="14"/>
      <c r="RE49" s="14"/>
      <c r="RF49" s="14"/>
      <c r="RG49" s="14"/>
      <c r="RH49" s="14"/>
      <c r="RI49" s="14"/>
      <c r="RJ49" s="14"/>
      <c r="RK49" s="14"/>
      <c r="RL49" s="14"/>
      <c r="RM49" s="14"/>
      <c r="RN49" s="14"/>
      <c r="RO49" s="14"/>
      <c r="RP49" s="14"/>
      <c r="RQ49" s="14"/>
      <c r="RR49" s="14"/>
      <c r="RS49" s="14"/>
      <c r="RT49" s="14"/>
      <c r="RU49" s="14"/>
      <c r="RV49" s="14"/>
      <c r="RW49" s="14"/>
      <c r="RX49" s="14"/>
      <c r="RY49" s="14"/>
      <c r="RZ49" s="14"/>
      <c r="SA49" s="14"/>
      <c r="SB49" s="14"/>
      <c r="SC49" s="14"/>
      <c r="SD49" s="14"/>
      <c r="SE49" s="14"/>
      <c r="SF49" s="14"/>
      <c r="SG49" s="14"/>
      <c r="SH49" s="14"/>
      <c r="SI49" s="14"/>
      <c r="SJ49" s="14"/>
      <c r="SK49" s="14"/>
      <c r="SL49" s="14"/>
      <c r="SM49" s="14"/>
      <c r="SN49" s="14"/>
      <c r="SO49" s="14"/>
      <c r="SP49" s="14"/>
      <c r="SQ49" s="14"/>
      <c r="SR49" s="14"/>
      <c r="SS49" s="14"/>
      <c r="ST49" s="14"/>
      <c r="SU49" s="14"/>
      <c r="SV49" s="14"/>
      <c r="SW49" s="14"/>
      <c r="SX49" s="14"/>
      <c r="SY49" s="14"/>
      <c r="SZ49" s="14"/>
      <c r="TA49" s="14"/>
      <c r="TB49" s="14"/>
      <c r="TC49" s="14"/>
      <c r="TD49" s="14"/>
      <c r="TE49" s="14"/>
      <c r="TF49" s="14"/>
      <c r="TG49" s="14"/>
      <c r="TH49" s="14"/>
      <c r="TI49" s="14"/>
      <c r="TJ49" s="14"/>
      <c r="TK49" s="14"/>
      <c r="TL49" s="14"/>
      <c r="TM49" s="14"/>
      <c r="TN49" s="14"/>
      <c r="TO49" s="14"/>
      <c r="TP49" s="14"/>
      <c r="TQ49" s="14"/>
      <c r="TR49" s="14"/>
      <c r="TS49" s="14"/>
      <c r="TT49" s="14"/>
      <c r="TU49" s="14"/>
      <c r="TV49" s="14"/>
      <c r="TW49" s="14"/>
      <c r="TX49" s="14"/>
      <c r="TY49" s="14"/>
      <c r="TZ49" s="14"/>
      <c r="UA49" s="14"/>
      <c r="UB49" s="14"/>
      <c r="UC49" s="14"/>
      <c r="UD49" s="14"/>
      <c r="UE49" s="14"/>
      <c r="UF49" s="14"/>
      <c r="UG49" s="14"/>
      <c r="UH49" s="14"/>
      <c r="UI49" s="14"/>
      <c r="UJ49" s="14"/>
      <c r="UK49" s="14"/>
      <c r="UL49" s="14"/>
      <c r="UM49" s="14"/>
      <c r="UN49" s="14"/>
      <c r="UO49" s="14"/>
      <c r="UP49" s="14"/>
      <c r="UQ49" s="14"/>
      <c r="UR49" s="14"/>
      <c r="US49" s="14"/>
      <c r="UT49" s="14"/>
      <c r="UU49" s="14"/>
      <c r="UV49" s="14"/>
      <c r="UW49" s="14"/>
      <c r="UX49" s="14"/>
      <c r="UY49" s="14"/>
      <c r="UZ49" s="14"/>
      <c r="VA49" s="14"/>
      <c r="VB49" s="14"/>
      <c r="VC49" s="14"/>
      <c r="VD49" s="14"/>
      <c r="VE49" s="14"/>
      <c r="VF49" s="14"/>
      <c r="VG49" s="14"/>
      <c r="VH49" s="14"/>
      <c r="VI49" s="14"/>
      <c r="VJ49" s="14"/>
      <c r="VK49" s="14"/>
      <c r="VL49" s="14"/>
      <c r="VM49" s="14"/>
      <c r="VN49" s="14"/>
      <c r="VO49" s="14"/>
      <c r="VP49" s="14"/>
      <c r="VQ49" s="14"/>
      <c r="VR49" s="14"/>
      <c r="VS49" s="14"/>
      <c r="VT49" s="14"/>
      <c r="VU49" s="14"/>
      <c r="VV49" s="14"/>
      <c r="VW49" s="14"/>
      <c r="VX49" s="14"/>
      <c r="VY49" s="14"/>
      <c r="VZ49" s="14"/>
      <c r="WA49" s="14"/>
      <c r="WB49" s="14"/>
      <c r="WC49" s="14"/>
      <c r="WD49" s="14"/>
      <c r="WE49" s="14"/>
      <c r="WF49" s="14"/>
      <c r="WG49" s="14"/>
      <c r="WH49" s="14"/>
      <c r="WI49" s="14"/>
      <c r="WJ49" s="14"/>
      <c r="WK49" s="14"/>
      <c r="WL49" s="14"/>
      <c r="WM49" s="14"/>
      <c r="WN49" s="14"/>
      <c r="WO49" s="14"/>
      <c r="WP49" s="14"/>
      <c r="WQ49" s="14"/>
      <c r="WR49" s="14"/>
      <c r="WS49" s="14"/>
      <c r="WT49" s="14"/>
      <c r="WU49" s="14"/>
      <c r="WV49" s="14"/>
      <c r="WW49" s="14"/>
      <c r="WX49" s="14"/>
      <c r="WY49" s="14"/>
      <c r="WZ49" s="14"/>
      <c r="XA49" s="14"/>
      <c r="XB49" s="14"/>
      <c r="XC49" s="14"/>
      <c r="XD49" s="14"/>
      <c r="XE49" s="14"/>
      <c r="XF49" s="14"/>
      <c r="XG49" s="14"/>
      <c r="XH49" s="14"/>
      <c r="XI49" s="14"/>
      <c r="XJ49" s="14"/>
      <c r="XK49" s="14"/>
      <c r="XL49" s="14"/>
      <c r="XM49" s="14"/>
      <c r="XN49" s="14"/>
      <c r="XO49" s="14"/>
      <c r="XP49" s="14"/>
      <c r="XQ49" s="14"/>
      <c r="XR49" s="14"/>
      <c r="XS49" s="14"/>
      <c r="XT49" s="14"/>
      <c r="XU49" s="14"/>
      <c r="XV49" s="14"/>
      <c r="XW49" s="14"/>
      <c r="XX49" s="14"/>
      <c r="XY49" s="14"/>
      <c r="XZ49" s="14"/>
      <c r="YA49" s="14"/>
      <c r="YB49" s="14"/>
      <c r="YC49" s="14"/>
      <c r="YD49" s="14"/>
      <c r="YE49" s="14"/>
      <c r="YF49" s="14"/>
      <c r="YG49" s="14"/>
      <c r="YH49" s="14"/>
      <c r="YI49" s="14"/>
      <c r="YJ49" s="14"/>
      <c r="YK49" s="14"/>
      <c r="YL49" s="14"/>
      <c r="YM49" s="14"/>
      <c r="YN49" s="14"/>
      <c r="YO49" s="14"/>
      <c r="YP49" s="14"/>
      <c r="YQ49" s="14"/>
      <c r="YR49" s="14"/>
      <c r="YS49" s="14"/>
      <c r="YT49" s="14"/>
      <c r="YU49" s="14"/>
      <c r="YV49" s="14"/>
      <c r="YW49" s="14"/>
      <c r="YX49" s="14"/>
      <c r="YY49" s="14"/>
      <c r="YZ49" s="14"/>
      <c r="ZA49" s="14"/>
      <c r="ZB49" s="14"/>
      <c r="ZC49" s="14"/>
      <c r="ZD49" s="14"/>
      <c r="ZE49" s="14"/>
      <c r="ZF49" s="14"/>
      <c r="ZG49" s="14"/>
      <c r="ZH49" s="14"/>
      <c r="ZI49" s="14"/>
      <c r="ZJ49" s="14"/>
      <c r="ZK49" s="14"/>
      <c r="ZL49" s="14"/>
      <c r="ZM49" s="14"/>
      <c r="ZN49" s="14"/>
      <c r="ZO49" s="14"/>
      <c r="ZP49" s="14"/>
      <c r="ZQ49" s="14"/>
      <c r="ZR49" s="14"/>
      <c r="ZS49" s="14"/>
      <c r="ZT49" s="14"/>
      <c r="ZU49" s="14"/>
      <c r="ZV49" s="14"/>
      <c r="ZW49" s="14"/>
      <c r="ZX49" s="14"/>
      <c r="ZY49" s="14"/>
      <c r="ZZ49" s="14"/>
      <c r="AAA49" s="14"/>
      <c r="AAB49" s="14"/>
      <c r="AAC49" s="14"/>
      <c r="AAD49" s="14"/>
      <c r="AAE49" s="14"/>
      <c r="AAF49" s="14"/>
      <c r="AAG49" s="14"/>
      <c r="AAH49" s="14"/>
      <c r="AAI49" s="14"/>
      <c r="AAJ49" s="14"/>
      <c r="AAK49" s="14"/>
      <c r="AAL49" s="14"/>
      <c r="AAM49" s="14"/>
      <c r="AAN49" s="14"/>
      <c r="AAO49" s="14"/>
      <c r="AAP49" s="14"/>
      <c r="AAQ49" s="14"/>
      <c r="AAR49" s="14"/>
      <c r="AAS49" s="14"/>
      <c r="AAT49" s="14"/>
      <c r="AAU49" s="14"/>
      <c r="AAV49" s="14"/>
      <c r="AAW49" s="14"/>
      <c r="AAX49" s="14"/>
      <c r="AAY49" s="14"/>
      <c r="AAZ49" s="14"/>
      <c r="ABA49" s="14"/>
      <c r="ABB49" s="14"/>
      <c r="ABC49" s="14"/>
      <c r="ABD49" s="14"/>
      <c r="ABE49" s="14"/>
      <c r="ABF49" s="14"/>
      <c r="ABG49" s="14"/>
      <c r="ABH49" s="14"/>
      <c r="ABI49" s="14"/>
      <c r="ABJ49" s="14"/>
      <c r="ABK49" s="14"/>
      <c r="ABL49" s="14"/>
      <c r="ABM49" s="14"/>
      <c r="ABN49" s="14"/>
      <c r="ABO49" s="14"/>
      <c r="ABP49" s="14"/>
      <c r="ABQ49" s="14"/>
      <c r="ABR49" s="14"/>
      <c r="ABS49" s="14"/>
      <c r="ABT49" s="14"/>
      <c r="ABU49" s="14"/>
      <c r="ABV49" s="14"/>
      <c r="ABW49" s="14"/>
      <c r="ABX49" s="14"/>
      <c r="ABY49" s="14"/>
      <c r="ABZ49" s="14"/>
      <c r="ACA49" s="14"/>
      <c r="ACB49" s="14"/>
      <c r="ACC49" s="14"/>
      <c r="ACD49" s="14"/>
      <c r="ACE49" s="14"/>
      <c r="ACF49" s="14"/>
      <c r="ACG49" s="14"/>
      <c r="ACH49" s="14"/>
      <c r="ACI49" s="14"/>
      <c r="ACJ49" s="14"/>
      <c r="ACK49" s="14"/>
      <c r="ACL49" s="14"/>
      <c r="ACM49" s="14"/>
      <c r="ACN49" s="14"/>
      <c r="ACO49" s="14"/>
      <c r="ACP49" s="14"/>
      <c r="ACQ49" s="14"/>
      <c r="ACR49" s="14"/>
      <c r="ACS49" s="14"/>
      <c r="ACT49" s="14"/>
      <c r="ACU49" s="14"/>
      <c r="ACV49" s="14"/>
      <c r="ACW49" s="14"/>
      <c r="ACX49" s="14"/>
      <c r="ACY49" s="14"/>
      <c r="ACZ49" s="14"/>
      <c r="ADA49" s="14"/>
      <c r="ADB49" s="14"/>
      <c r="ADC49" s="14"/>
      <c r="ADD49" s="14"/>
      <c r="ADE49" s="14"/>
      <c r="ADF49" s="14"/>
      <c r="ADG49" s="14"/>
      <c r="ADH49" s="14"/>
      <c r="ADI49" s="14"/>
      <c r="ADJ49" s="14"/>
      <c r="ADK49" s="14"/>
      <c r="ADL49" s="14"/>
      <c r="ADM49" s="14"/>
      <c r="ADN49" s="14"/>
      <c r="ADO49" s="14"/>
      <c r="ADP49" s="14"/>
      <c r="ADQ49" s="14"/>
      <c r="ADR49" s="14"/>
      <c r="ADS49" s="14"/>
      <c r="ADT49" s="14"/>
      <c r="ADU49" s="14"/>
      <c r="ADV49" s="14"/>
      <c r="ADW49" s="14"/>
      <c r="ADX49" s="14"/>
      <c r="ADY49" s="14"/>
      <c r="ADZ49" s="14"/>
      <c r="AEA49" s="14"/>
      <c r="AEB49" s="14"/>
      <c r="AEC49" s="14"/>
      <c r="AED49" s="14"/>
      <c r="AEE49" s="14"/>
      <c r="AEF49" s="14"/>
      <c r="AEG49" s="14"/>
      <c r="AEH49" s="14"/>
      <c r="AEI49" s="14"/>
      <c r="AEJ49" s="14"/>
      <c r="AEK49" s="14"/>
      <c r="AEL49" s="14"/>
      <c r="AEM49" s="14"/>
      <c r="AEN49" s="14"/>
      <c r="AEO49" s="14"/>
      <c r="AEP49" s="14"/>
      <c r="AEQ49" s="14"/>
      <c r="AER49" s="14"/>
      <c r="AES49" s="14"/>
      <c r="AET49" s="14"/>
      <c r="AEU49" s="14"/>
      <c r="AEV49" s="14"/>
      <c r="AEW49" s="14"/>
      <c r="AEX49" s="14"/>
      <c r="AEY49" s="14"/>
      <c r="AEZ49" s="14"/>
      <c r="AFA49" s="14"/>
      <c r="AFB49" s="14"/>
      <c r="AFC49" s="14"/>
      <c r="AFD49" s="14"/>
      <c r="AFE49" s="14"/>
      <c r="AFF49" s="14"/>
      <c r="AFG49" s="14"/>
      <c r="AFH49" s="14"/>
      <c r="AFI49" s="14"/>
      <c r="AFJ49" s="14"/>
      <c r="AFK49" s="14"/>
      <c r="AFL49" s="14"/>
      <c r="AFM49" s="14"/>
      <c r="AFN49" s="14"/>
      <c r="AFO49" s="14"/>
      <c r="AFP49" s="14"/>
      <c r="AFQ49" s="14"/>
      <c r="AFR49" s="14"/>
      <c r="AFS49" s="14"/>
      <c r="AFT49" s="14"/>
      <c r="AFU49" s="14"/>
      <c r="AFV49" s="14"/>
      <c r="AFW49" s="14"/>
    </row>
    <row r="50" spans="1:855" x14ac:dyDescent="0.25">
      <c r="A50" s="122" t="s">
        <v>123</v>
      </c>
      <c r="B50" s="123">
        <v>126.18918918918919</v>
      </c>
      <c r="D50" s="124">
        <v>126.35135135135135</v>
      </c>
    </row>
    <row r="51" spans="1:855" s="140" customFormat="1" ht="14.4" thickBot="1" x14ac:dyDescent="0.3">
      <c r="A51" s="152" t="s">
        <v>124</v>
      </c>
      <c r="B51" s="153">
        <v>8.5405405405405403</v>
      </c>
      <c r="C51" s="153"/>
      <c r="D51" s="154">
        <v>7.2972972972972974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/>
      <c r="KO51" s="17"/>
      <c r="KP51" s="17"/>
      <c r="KQ51" s="17"/>
      <c r="KR51" s="17"/>
      <c r="KS51" s="17"/>
      <c r="KT51" s="17"/>
      <c r="KU51" s="17"/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17"/>
      <c r="NG51" s="17"/>
      <c r="NH51" s="17"/>
      <c r="NI51" s="17"/>
      <c r="NJ51" s="17"/>
      <c r="NK51" s="17"/>
      <c r="NL51" s="17"/>
      <c r="NM51" s="17"/>
      <c r="NN51" s="17"/>
      <c r="NO51" s="17"/>
      <c r="NP51" s="17"/>
      <c r="NQ51" s="17"/>
      <c r="NR51" s="17"/>
      <c r="NS51" s="17"/>
      <c r="NT51" s="17"/>
      <c r="NU51" s="17"/>
      <c r="NV51" s="17"/>
      <c r="NW51" s="17"/>
      <c r="NX51" s="17"/>
      <c r="NY51" s="17"/>
      <c r="NZ51" s="17"/>
      <c r="OA51" s="17"/>
      <c r="OB51" s="17"/>
      <c r="OC51" s="17"/>
      <c r="OD51" s="17"/>
      <c r="OE51" s="17"/>
      <c r="OF51" s="17"/>
      <c r="OG51" s="17"/>
      <c r="OH51" s="17"/>
      <c r="OI51" s="17"/>
      <c r="OJ51" s="17"/>
      <c r="OK51" s="17"/>
      <c r="OL51" s="17"/>
      <c r="OM51" s="17"/>
      <c r="ON51" s="17"/>
      <c r="OO51" s="17"/>
      <c r="OP51" s="17"/>
      <c r="OQ51" s="17"/>
      <c r="OR51" s="17"/>
      <c r="OS51" s="17"/>
      <c r="OT51" s="17"/>
      <c r="OU51" s="17"/>
      <c r="OV51" s="17"/>
      <c r="OW51" s="17"/>
      <c r="OX51" s="17"/>
      <c r="OY51" s="17"/>
      <c r="OZ51" s="17"/>
      <c r="PA51" s="17"/>
      <c r="PB51" s="17"/>
      <c r="PC51" s="17"/>
      <c r="PD51" s="17"/>
      <c r="PE51" s="17"/>
      <c r="PF51" s="17"/>
      <c r="PG51" s="17"/>
      <c r="PH51" s="17"/>
      <c r="PI51" s="17"/>
      <c r="PJ51" s="17"/>
      <c r="PK51" s="17"/>
      <c r="PL51" s="17"/>
      <c r="PM51" s="17"/>
      <c r="PN51" s="17"/>
      <c r="PO51" s="17"/>
      <c r="PP51" s="17"/>
      <c r="PQ51" s="17"/>
      <c r="PR51" s="17"/>
      <c r="PS51" s="17"/>
      <c r="PT51" s="17"/>
      <c r="PU51" s="17"/>
      <c r="PV51" s="17"/>
      <c r="PW51" s="17"/>
      <c r="PX51" s="17"/>
      <c r="PY51" s="17"/>
      <c r="PZ51" s="17"/>
      <c r="QA51" s="17"/>
      <c r="QB51" s="17"/>
      <c r="QC51" s="17"/>
      <c r="QD51" s="17"/>
      <c r="QE51" s="17"/>
      <c r="QF51" s="17"/>
      <c r="QG51" s="17"/>
      <c r="QH51" s="17"/>
      <c r="QI51" s="17"/>
      <c r="QJ51" s="17"/>
      <c r="QK51" s="17"/>
      <c r="QL51" s="17"/>
      <c r="QM51" s="17"/>
      <c r="QN51" s="17"/>
      <c r="QO51" s="17"/>
      <c r="QP51" s="17"/>
      <c r="QQ51" s="17"/>
      <c r="QR51" s="17"/>
      <c r="QS51" s="17"/>
      <c r="QT51" s="17"/>
      <c r="QU51" s="17"/>
      <c r="QV51" s="17"/>
      <c r="QW51" s="17"/>
      <c r="QX51" s="17"/>
      <c r="QY51" s="17"/>
      <c r="QZ51" s="17"/>
      <c r="RA51" s="17"/>
      <c r="RB51" s="17"/>
      <c r="RC51" s="17"/>
      <c r="RD51" s="17"/>
      <c r="RE51" s="17"/>
      <c r="RF51" s="17"/>
      <c r="RG51" s="17"/>
      <c r="RH51" s="17"/>
      <c r="RI51" s="17"/>
      <c r="RJ51" s="17"/>
      <c r="RK51" s="17"/>
      <c r="RL51" s="17"/>
      <c r="RM51" s="17"/>
      <c r="RN51" s="17"/>
      <c r="RO51" s="17"/>
      <c r="RP51" s="17"/>
      <c r="RQ51" s="17"/>
      <c r="RR51" s="17"/>
      <c r="RS51" s="17"/>
      <c r="RT51" s="17"/>
      <c r="RU51" s="17"/>
      <c r="RV51" s="17"/>
      <c r="RW51" s="17"/>
      <c r="RX51" s="17"/>
      <c r="RY51" s="17"/>
      <c r="RZ51" s="17"/>
      <c r="SA51" s="17"/>
      <c r="SB51" s="17"/>
      <c r="SC51" s="17"/>
      <c r="SD51" s="17"/>
      <c r="SE51" s="17"/>
      <c r="SF51" s="17"/>
      <c r="SG51" s="17"/>
      <c r="SH51" s="17"/>
      <c r="SI51" s="17"/>
      <c r="SJ51" s="17"/>
      <c r="SK51" s="17"/>
      <c r="SL51" s="17"/>
      <c r="SM51" s="17"/>
      <c r="SN51" s="17"/>
      <c r="SO51" s="17"/>
      <c r="SP51" s="17"/>
      <c r="SQ51" s="17"/>
      <c r="SR51" s="17"/>
      <c r="SS51" s="17"/>
      <c r="ST51" s="17"/>
      <c r="SU51" s="17"/>
      <c r="SV51" s="17"/>
      <c r="SW51" s="17"/>
      <c r="SX51" s="17"/>
      <c r="SY51" s="17"/>
      <c r="SZ51" s="17"/>
      <c r="TA51" s="17"/>
      <c r="TB51" s="17"/>
      <c r="TC51" s="17"/>
      <c r="TD51" s="17"/>
      <c r="TE51" s="17"/>
      <c r="TF51" s="17"/>
      <c r="TG51" s="17"/>
      <c r="TH51" s="17"/>
      <c r="TI51" s="17"/>
      <c r="TJ51" s="17"/>
      <c r="TK51" s="17"/>
      <c r="TL51" s="17"/>
      <c r="TM51" s="17"/>
      <c r="TN51" s="17"/>
      <c r="TO51" s="17"/>
      <c r="TP51" s="17"/>
      <c r="TQ51" s="17"/>
      <c r="TR51" s="17"/>
      <c r="TS51" s="17"/>
      <c r="TT51" s="17"/>
      <c r="TU51" s="17"/>
      <c r="TV51" s="17"/>
      <c r="TW51" s="17"/>
      <c r="TX51" s="17"/>
      <c r="TY51" s="17"/>
      <c r="TZ51" s="17"/>
      <c r="UA51" s="17"/>
      <c r="UB51" s="17"/>
      <c r="UC51" s="17"/>
      <c r="UD51" s="17"/>
      <c r="UE51" s="17"/>
      <c r="UF51" s="17"/>
      <c r="UG51" s="17"/>
      <c r="UH51" s="17"/>
      <c r="UI51" s="17"/>
      <c r="UJ51" s="17"/>
      <c r="UK51" s="17"/>
      <c r="UL51" s="17"/>
      <c r="UM51" s="17"/>
      <c r="UN51" s="17"/>
      <c r="UO51" s="17"/>
      <c r="UP51" s="17"/>
      <c r="UQ51" s="17"/>
      <c r="UR51" s="17"/>
      <c r="US51" s="17"/>
      <c r="UT51" s="17"/>
      <c r="UU51" s="17"/>
      <c r="UV51" s="17"/>
      <c r="UW51" s="17"/>
      <c r="UX51" s="17"/>
      <c r="UY51" s="17"/>
      <c r="UZ51" s="17"/>
      <c r="VA51" s="17"/>
      <c r="VB51" s="17"/>
      <c r="VC51" s="17"/>
      <c r="VD51" s="17"/>
      <c r="VE51" s="17"/>
      <c r="VF51" s="17"/>
      <c r="VG51" s="17"/>
      <c r="VH51" s="17"/>
      <c r="VI51" s="17"/>
      <c r="VJ51" s="17"/>
      <c r="VK51" s="17"/>
      <c r="VL51" s="17"/>
      <c r="VM51" s="17"/>
      <c r="VN51" s="17"/>
      <c r="VO51" s="17"/>
      <c r="VP51" s="17"/>
      <c r="VQ51" s="17"/>
      <c r="VR51" s="17"/>
      <c r="VS51" s="17"/>
      <c r="VT51" s="17"/>
      <c r="VU51" s="17"/>
      <c r="VV51" s="17"/>
      <c r="VW51" s="17"/>
      <c r="VX51" s="17"/>
      <c r="VY51" s="17"/>
      <c r="VZ51" s="17"/>
      <c r="WA51" s="17"/>
      <c r="WB51" s="17"/>
      <c r="WC51" s="17"/>
      <c r="WD51" s="17"/>
      <c r="WE51" s="17"/>
      <c r="WF51" s="17"/>
      <c r="WG51" s="17"/>
      <c r="WH51" s="17"/>
      <c r="WI51" s="17"/>
      <c r="WJ51" s="17"/>
      <c r="WK51" s="17"/>
      <c r="WL51" s="17"/>
      <c r="WM51" s="17"/>
      <c r="WN51" s="17"/>
      <c r="WO51" s="17"/>
      <c r="WP51" s="17"/>
      <c r="WQ51" s="17"/>
      <c r="WR51" s="17"/>
      <c r="WS51" s="17"/>
      <c r="WT51" s="17"/>
      <c r="WU51" s="17"/>
      <c r="WV51" s="17"/>
      <c r="WW51" s="17"/>
      <c r="WX51" s="17"/>
      <c r="WY51" s="17"/>
      <c r="WZ51" s="17"/>
      <c r="XA51" s="17"/>
      <c r="XB51" s="17"/>
      <c r="XC51" s="17"/>
      <c r="XD51" s="17"/>
      <c r="XE51" s="17"/>
      <c r="XF51" s="17"/>
      <c r="XG51" s="17"/>
      <c r="XH51" s="17"/>
      <c r="XI51" s="17"/>
      <c r="XJ51" s="17"/>
      <c r="XK51" s="17"/>
      <c r="XL51" s="17"/>
      <c r="XM51" s="17"/>
      <c r="XN51" s="17"/>
      <c r="XO51" s="17"/>
      <c r="XP51" s="17"/>
      <c r="XQ51" s="17"/>
      <c r="XR51" s="17"/>
      <c r="XS51" s="17"/>
      <c r="XT51" s="17"/>
      <c r="XU51" s="17"/>
      <c r="XV51" s="17"/>
      <c r="XW51" s="17"/>
      <c r="XX51" s="17"/>
      <c r="XY51" s="17"/>
      <c r="XZ51" s="17"/>
      <c r="YA51" s="17"/>
      <c r="YB51" s="17"/>
      <c r="YC51" s="17"/>
      <c r="YD51" s="17"/>
      <c r="YE51" s="17"/>
      <c r="YF51" s="17"/>
      <c r="YG51" s="17"/>
      <c r="YH51" s="17"/>
      <c r="YI51" s="17"/>
      <c r="YJ51" s="17"/>
      <c r="YK51" s="17"/>
      <c r="YL51" s="17"/>
      <c r="YM51" s="17"/>
      <c r="YN51" s="17"/>
      <c r="YO51" s="17"/>
      <c r="YP51" s="17"/>
      <c r="YQ51" s="17"/>
      <c r="YR51" s="17"/>
      <c r="YS51" s="17"/>
      <c r="YT51" s="17"/>
      <c r="YU51" s="17"/>
      <c r="YV51" s="17"/>
      <c r="YW51" s="17"/>
      <c r="YX51" s="17"/>
      <c r="YY51" s="17"/>
      <c r="YZ51" s="17"/>
      <c r="ZA51" s="17"/>
      <c r="ZB51" s="17"/>
      <c r="ZC51" s="17"/>
      <c r="ZD51" s="17"/>
      <c r="ZE51" s="17"/>
      <c r="ZF51" s="17"/>
      <c r="ZG51" s="17"/>
      <c r="ZH51" s="17"/>
      <c r="ZI51" s="17"/>
      <c r="ZJ51" s="17"/>
      <c r="ZK51" s="17"/>
      <c r="ZL51" s="17"/>
      <c r="ZM51" s="17"/>
      <c r="ZN51" s="17"/>
      <c r="ZO51" s="17"/>
      <c r="ZP51" s="17"/>
      <c r="ZQ51" s="17"/>
      <c r="ZR51" s="17"/>
      <c r="ZS51" s="17"/>
      <c r="ZT51" s="17"/>
      <c r="ZU51" s="17"/>
      <c r="ZV51" s="17"/>
      <c r="ZW51" s="17"/>
      <c r="ZX51" s="17"/>
      <c r="ZY51" s="17"/>
      <c r="ZZ51" s="17"/>
      <c r="AAA51" s="17"/>
      <c r="AAB51" s="17"/>
      <c r="AAC51" s="17"/>
      <c r="AAD51" s="17"/>
      <c r="AAE51" s="17"/>
      <c r="AAF51" s="17"/>
      <c r="AAG51" s="17"/>
      <c r="AAH51" s="17"/>
      <c r="AAI51" s="17"/>
      <c r="AAJ51" s="17"/>
      <c r="AAK51" s="17"/>
      <c r="AAL51" s="17"/>
      <c r="AAM51" s="17"/>
      <c r="AAN51" s="17"/>
      <c r="AAO51" s="17"/>
      <c r="AAP51" s="17"/>
      <c r="AAQ51" s="17"/>
      <c r="AAR51" s="17"/>
      <c r="AAS51" s="17"/>
      <c r="AAT51" s="17"/>
      <c r="AAU51" s="17"/>
      <c r="AAV51" s="17"/>
      <c r="AAW51" s="17"/>
      <c r="AAX51" s="17"/>
      <c r="AAY51" s="17"/>
      <c r="AAZ51" s="17"/>
      <c r="ABA51" s="17"/>
      <c r="ABB51" s="17"/>
      <c r="ABC51" s="17"/>
      <c r="ABD51" s="17"/>
      <c r="ABE51" s="17"/>
      <c r="ABF51" s="17"/>
      <c r="ABG51" s="17"/>
      <c r="ABH51" s="17"/>
      <c r="ABI51" s="17"/>
      <c r="ABJ51" s="17"/>
      <c r="ABK51" s="17"/>
      <c r="ABL51" s="17"/>
      <c r="ABM51" s="17"/>
      <c r="ABN51" s="17"/>
      <c r="ABO51" s="17"/>
      <c r="ABP51" s="17"/>
      <c r="ABQ51" s="17"/>
      <c r="ABR51" s="17"/>
      <c r="ABS51" s="17"/>
      <c r="ABT51" s="17"/>
      <c r="ABU51" s="17"/>
      <c r="ABV51" s="17"/>
      <c r="ABW51" s="17"/>
      <c r="ABX51" s="17"/>
      <c r="ABY51" s="17"/>
      <c r="ABZ51" s="17"/>
      <c r="ACA51" s="17"/>
      <c r="ACB51" s="17"/>
      <c r="ACC51" s="17"/>
      <c r="ACD51" s="17"/>
      <c r="ACE51" s="17"/>
      <c r="ACF51" s="17"/>
      <c r="ACG51" s="17"/>
      <c r="ACH51" s="17"/>
      <c r="ACI51" s="17"/>
      <c r="ACJ51" s="17"/>
      <c r="ACK51" s="17"/>
      <c r="ACL51" s="17"/>
      <c r="ACM51" s="17"/>
      <c r="ACN51" s="17"/>
      <c r="ACO51" s="17"/>
      <c r="ACP51" s="17"/>
      <c r="ACQ51" s="17"/>
      <c r="ACR51" s="17"/>
      <c r="ACS51" s="17"/>
      <c r="ACT51" s="17"/>
      <c r="ACU51" s="17"/>
      <c r="ACV51" s="17"/>
      <c r="ACW51" s="17"/>
      <c r="ACX51" s="17"/>
      <c r="ACY51" s="17"/>
      <c r="ACZ51" s="17"/>
      <c r="ADA51" s="17"/>
      <c r="ADB51" s="17"/>
      <c r="ADC51" s="17"/>
      <c r="ADD51" s="17"/>
      <c r="ADE51" s="17"/>
      <c r="ADF51" s="17"/>
      <c r="ADG51" s="17"/>
      <c r="ADH51" s="17"/>
      <c r="ADI51" s="17"/>
      <c r="ADJ51" s="17"/>
      <c r="ADK51" s="17"/>
      <c r="ADL51" s="17"/>
      <c r="ADM51" s="17"/>
      <c r="ADN51" s="17"/>
      <c r="ADO51" s="17"/>
      <c r="ADP51" s="17"/>
      <c r="ADQ51" s="17"/>
      <c r="ADR51" s="17"/>
      <c r="ADS51" s="17"/>
      <c r="ADT51" s="17"/>
      <c r="ADU51" s="17"/>
      <c r="ADV51" s="17"/>
      <c r="ADW51" s="17"/>
      <c r="ADX51" s="17"/>
      <c r="ADY51" s="17"/>
      <c r="ADZ51" s="17"/>
      <c r="AEA51" s="17"/>
      <c r="AEB51" s="17"/>
      <c r="AEC51" s="17"/>
      <c r="AED51" s="17"/>
      <c r="AEE51" s="17"/>
      <c r="AEF51" s="17"/>
      <c r="AEG51" s="17"/>
      <c r="AEH51" s="17"/>
      <c r="AEI51" s="17"/>
      <c r="AEJ51" s="17"/>
      <c r="AEK51" s="17"/>
      <c r="AEL51" s="17"/>
      <c r="AEM51" s="17"/>
      <c r="AEN51" s="17"/>
      <c r="AEO51" s="17"/>
      <c r="AEP51" s="17"/>
      <c r="AEQ51" s="17"/>
      <c r="AER51" s="17"/>
      <c r="AES51" s="17"/>
      <c r="AET51" s="17"/>
      <c r="AEU51" s="17"/>
      <c r="AEV51" s="17"/>
      <c r="AEW51" s="17"/>
      <c r="AEX51" s="17"/>
      <c r="AEY51" s="17"/>
      <c r="AEZ51" s="17"/>
      <c r="AFA51" s="17"/>
      <c r="AFB51" s="17"/>
      <c r="AFC51" s="17"/>
      <c r="AFD51" s="17"/>
      <c r="AFE51" s="17"/>
      <c r="AFF51" s="17"/>
      <c r="AFG51" s="17"/>
      <c r="AFH51" s="17"/>
      <c r="AFI51" s="17"/>
      <c r="AFJ51" s="17"/>
      <c r="AFK51" s="17"/>
      <c r="AFL51" s="17"/>
      <c r="AFM51" s="17"/>
      <c r="AFN51" s="17"/>
      <c r="AFO51" s="17"/>
      <c r="AFP51" s="17"/>
      <c r="AFQ51" s="17"/>
      <c r="AFR51" s="17"/>
      <c r="AFS51" s="17"/>
      <c r="AFT51" s="17"/>
      <c r="AFU51" s="17"/>
      <c r="AFV51" s="17"/>
      <c r="AFW51" s="17"/>
    </row>
    <row r="52" spans="1:855" s="140" customFormat="1" ht="14.4" thickBot="1" x14ac:dyDescent="0.3">
      <c r="A52" s="155" t="s">
        <v>125</v>
      </c>
      <c r="B52" s="156">
        <v>1751.8378378378379</v>
      </c>
      <c r="C52" s="156"/>
      <c r="D52" s="157">
        <v>1827.9459459459461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17"/>
      <c r="NU52" s="17"/>
      <c r="NV52" s="17"/>
      <c r="NW52" s="17"/>
      <c r="NX52" s="17"/>
      <c r="NY52" s="17"/>
      <c r="NZ52" s="17"/>
      <c r="OA52" s="17"/>
      <c r="OB52" s="17"/>
      <c r="OC52" s="17"/>
      <c r="OD52" s="17"/>
      <c r="OE52" s="17"/>
      <c r="OF52" s="17"/>
      <c r="OG52" s="17"/>
      <c r="OH52" s="17"/>
      <c r="OI52" s="17"/>
      <c r="OJ52" s="17"/>
      <c r="OK52" s="17"/>
      <c r="OL52" s="17"/>
      <c r="OM52" s="17"/>
      <c r="ON52" s="17"/>
      <c r="OO52" s="17"/>
      <c r="OP52" s="17"/>
      <c r="OQ52" s="17"/>
      <c r="OR52" s="17"/>
      <c r="OS52" s="17"/>
      <c r="OT52" s="17"/>
      <c r="OU52" s="17"/>
      <c r="OV52" s="17"/>
      <c r="OW52" s="17"/>
      <c r="OX52" s="17"/>
      <c r="OY52" s="17"/>
      <c r="OZ52" s="17"/>
      <c r="PA52" s="17"/>
      <c r="PB52" s="17"/>
      <c r="PC52" s="17"/>
      <c r="PD52" s="17"/>
      <c r="PE52" s="17"/>
      <c r="PF52" s="17"/>
      <c r="PG52" s="17"/>
      <c r="PH52" s="17"/>
      <c r="PI52" s="17"/>
      <c r="PJ52" s="17"/>
      <c r="PK52" s="17"/>
      <c r="PL52" s="17"/>
      <c r="PM52" s="17"/>
      <c r="PN52" s="17"/>
      <c r="PO52" s="17"/>
      <c r="PP52" s="17"/>
      <c r="PQ52" s="17"/>
      <c r="PR52" s="17"/>
      <c r="PS52" s="17"/>
      <c r="PT52" s="17"/>
      <c r="PU52" s="17"/>
      <c r="PV52" s="17"/>
      <c r="PW52" s="17"/>
      <c r="PX52" s="17"/>
      <c r="PY52" s="17"/>
      <c r="PZ52" s="17"/>
      <c r="QA52" s="17"/>
      <c r="QB52" s="17"/>
      <c r="QC52" s="17"/>
      <c r="QD52" s="17"/>
      <c r="QE52" s="17"/>
      <c r="QF52" s="17"/>
      <c r="QG52" s="17"/>
      <c r="QH52" s="17"/>
      <c r="QI52" s="17"/>
      <c r="QJ52" s="17"/>
      <c r="QK52" s="17"/>
      <c r="QL52" s="17"/>
      <c r="QM52" s="17"/>
      <c r="QN52" s="17"/>
      <c r="QO52" s="17"/>
      <c r="QP52" s="17"/>
      <c r="QQ52" s="17"/>
      <c r="QR52" s="17"/>
      <c r="QS52" s="17"/>
      <c r="QT52" s="17"/>
      <c r="QU52" s="17"/>
      <c r="QV52" s="17"/>
      <c r="QW52" s="17"/>
      <c r="QX52" s="17"/>
      <c r="QY52" s="17"/>
      <c r="QZ52" s="17"/>
      <c r="RA52" s="17"/>
      <c r="RB52" s="17"/>
      <c r="RC52" s="17"/>
      <c r="RD52" s="17"/>
      <c r="RE52" s="17"/>
      <c r="RF52" s="17"/>
      <c r="RG52" s="17"/>
      <c r="RH52" s="17"/>
      <c r="RI52" s="17"/>
      <c r="RJ52" s="17"/>
      <c r="RK52" s="17"/>
      <c r="RL52" s="17"/>
      <c r="RM52" s="17"/>
      <c r="RN52" s="17"/>
      <c r="RO52" s="17"/>
      <c r="RP52" s="17"/>
      <c r="RQ52" s="17"/>
      <c r="RR52" s="17"/>
      <c r="RS52" s="17"/>
      <c r="RT52" s="17"/>
      <c r="RU52" s="17"/>
      <c r="RV52" s="17"/>
      <c r="RW52" s="17"/>
      <c r="RX52" s="17"/>
      <c r="RY52" s="17"/>
      <c r="RZ52" s="17"/>
      <c r="SA52" s="17"/>
      <c r="SB52" s="17"/>
      <c r="SC52" s="17"/>
      <c r="SD52" s="17"/>
      <c r="SE52" s="17"/>
      <c r="SF52" s="17"/>
      <c r="SG52" s="17"/>
      <c r="SH52" s="17"/>
      <c r="SI52" s="17"/>
      <c r="SJ52" s="17"/>
      <c r="SK52" s="17"/>
      <c r="SL52" s="17"/>
      <c r="SM52" s="17"/>
      <c r="SN52" s="17"/>
      <c r="SO52" s="17"/>
      <c r="SP52" s="17"/>
      <c r="SQ52" s="17"/>
      <c r="SR52" s="17"/>
      <c r="SS52" s="17"/>
      <c r="ST52" s="17"/>
      <c r="SU52" s="17"/>
      <c r="SV52" s="17"/>
      <c r="SW52" s="17"/>
      <c r="SX52" s="17"/>
      <c r="SY52" s="17"/>
      <c r="SZ52" s="17"/>
      <c r="TA52" s="17"/>
      <c r="TB52" s="17"/>
      <c r="TC52" s="17"/>
      <c r="TD52" s="17"/>
      <c r="TE52" s="17"/>
      <c r="TF52" s="17"/>
      <c r="TG52" s="17"/>
      <c r="TH52" s="17"/>
      <c r="TI52" s="17"/>
      <c r="TJ52" s="17"/>
      <c r="TK52" s="17"/>
      <c r="TL52" s="17"/>
      <c r="TM52" s="17"/>
      <c r="TN52" s="17"/>
      <c r="TO52" s="17"/>
      <c r="TP52" s="17"/>
      <c r="TQ52" s="17"/>
      <c r="TR52" s="17"/>
      <c r="TS52" s="17"/>
      <c r="TT52" s="17"/>
      <c r="TU52" s="17"/>
      <c r="TV52" s="17"/>
      <c r="TW52" s="17"/>
      <c r="TX52" s="17"/>
      <c r="TY52" s="17"/>
      <c r="TZ52" s="17"/>
      <c r="UA52" s="17"/>
      <c r="UB52" s="17"/>
      <c r="UC52" s="17"/>
      <c r="UD52" s="17"/>
      <c r="UE52" s="17"/>
      <c r="UF52" s="17"/>
      <c r="UG52" s="17"/>
      <c r="UH52" s="17"/>
      <c r="UI52" s="17"/>
      <c r="UJ52" s="17"/>
      <c r="UK52" s="17"/>
      <c r="UL52" s="17"/>
      <c r="UM52" s="17"/>
      <c r="UN52" s="17"/>
      <c r="UO52" s="17"/>
      <c r="UP52" s="17"/>
      <c r="UQ52" s="17"/>
      <c r="UR52" s="17"/>
      <c r="US52" s="17"/>
      <c r="UT52" s="17"/>
      <c r="UU52" s="17"/>
      <c r="UV52" s="17"/>
      <c r="UW52" s="17"/>
      <c r="UX52" s="17"/>
      <c r="UY52" s="17"/>
      <c r="UZ52" s="17"/>
      <c r="VA52" s="17"/>
      <c r="VB52" s="17"/>
      <c r="VC52" s="17"/>
      <c r="VD52" s="17"/>
      <c r="VE52" s="17"/>
      <c r="VF52" s="17"/>
      <c r="VG52" s="17"/>
      <c r="VH52" s="17"/>
      <c r="VI52" s="17"/>
      <c r="VJ52" s="17"/>
      <c r="VK52" s="17"/>
      <c r="VL52" s="17"/>
      <c r="VM52" s="17"/>
      <c r="VN52" s="17"/>
      <c r="VO52" s="17"/>
      <c r="VP52" s="17"/>
      <c r="VQ52" s="17"/>
      <c r="VR52" s="17"/>
      <c r="VS52" s="17"/>
      <c r="VT52" s="17"/>
      <c r="VU52" s="17"/>
      <c r="VV52" s="17"/>
      <c r="VW52" s="17"/>
      <c r="VX52" s="17"/>
      <c r="VY52" s="17"/>
      <c r="VZ52" s="17"/>
      <c r="WA52" s="17"/>
      <c r="WB52" s="17"/>
      <c r="WC52" s="17"/>
      <c r="WD52" s="17"/>
      <c r="WE52" s="17"/>
      <c r="WF52" s="17"/>
      <c r="WG52" s="17"/>
      <c r="WH52" s="17"/>
      <c r="WI52" s="17"/>
      <c r="WJ52" s="17"/>
      <c r="WK52" s="17"/>
      <c r="WL52" s="17"/>
      <c r="WM52" s="17"/>
      <c r="WN52" s="17"/>
      <c r="WO52" s="17"/>
      <c r="WP52" s="17"/>
      <c r="WQ52" s="17"/>
      <c r="WR52" s="17"/>
      <c r="WS52" s="17"/>
      <c r="WT52" s="17"/>
      <c r="WU52" s="17"/>
      <c r="WV52" s="17"/>
      <c r="WW52" s="17"/>
      <c r="WX52" s="17"/>
      <c r="WY52" s="17"/>
      <c r="WZ52" s="17"/>
      <c r="XA52" s="17"/>
      <c r="XB52" s="17"/>
      <c r="XC52" s="17"/>
      <c r="XD52" s="17"/>
      <c r="XE52" s="17"/>
      <c r="XF52" s="17"/>
      <c r="XG52" s="17"/>
      <c r="XH52" s="17"/>
      <c r="XI52" s="17"/>
      <c r="XJ52" s="17"/>
      <c r="XK52" s="17"/>
      <c r="XL52" s="17"/>
      <c r="XM52" s="17"/>
      <c r="XN52" s="17"/>
      <c r="XO52" s="17"/>
      <c r="XP52" s="17"/>
      <c r="XQ52" s="17"/>
      <c r="XR52" s="17"/>
      <c r="XS52" s="17"/>
      <c r="XT52" s="17"/>
      <c r="XU52" s="17"/>
      <c r="XV52" s="17"/>
      <c r="XW52" s="17"/>
      <c r="XX52" s="17"/>
      <c r="XY52" s="17"/>
      <c r="XZ52" s="17"/>
      <c r="YA52" s="17"/>
      <c r="YB52" s="17"/>
      <c r="YC52" s="17"/>
      <c r="YD52" s="17"/>
      <c r="YE52" s="17"/>
      <c r="YF52" s="17"/>
      <c r="YG52" s="17"/>
      <c r="YH52" s="17"/>
      <c r="YI52" s="17"/>
      <c r="YJ52" s="17"/>
      <c r="YK52" s="17"/>
      <c r="YL52" s="17"/>
      <c r="YM52" s="17"/>
      <c r="YN52" s="17"/>
      <c r="YO52" s="17"/>
      <c r="YP52" s="17"/>
      <c r="YQ52" s="17"/>
      <c r="YR52" s="17"/>
      <c r="YS52" s="17"/>
      <c r="YT52" s="17"/>
      <c r="YU52" s="17"/>
      <c r="YV52" s="17"/>
      <c r="YW52" s="17"/>
      <c r="YX52" s="17"/>
      <c r="YY52" s="17"/>
      <c r="YZ52" s="17"/>
      <c r="ZA52" s="17"/>
      <c r="ZB52" s="17"/>
      <c r="ZC52" s="17"/>
      <c r="ZD52" s="17"/>
      <c r="ZE52" s="17"/>
      <c r="ZF52" s="17"/>
      <c r="ZG52" s="17"/>
      <c r="ZH52" s="17"/>
      <c r="ZI52" s="17"/>
      <c r="ZJ52" s="17"/>
      <c r="ZK52" s="17"/>
      <c r="ZL52" s="17"/>
      <c r="ZM52" s="17"/>
      <c r="ZN52" s="17"/>
      <c r="ZO52" s="17"/>
      <c r="ZP52" s="17"/>
      <c r="ZQ52" s="17"/>
      <c r="ZR52" s="17"/>
      <c r="ZS52" s="17"/>
      <c r="ZT52" s="17"/>
      <c r="ZU52" s="17"/>
      <c r="ZV52" s="17"/>
      <c r="ZW52" s="17"/>
      <c r="ZX52" s="17"/>
      <c r="ZY52" s="17"/>
      <c r="ZZ52" s="17"/>
      <c r="AAA52" s="17"/>
      <c r="AAB52" s="17"/>
      <c r="AAC52" s="17"/>
      <c r="AAD52" s="17"/>
      <c r="AAE52" s="17"/>
      <c r="AAF52" s="17"/>
      <c r="AAG52" s="17"/>
      <c r="AAH52" s="17"/>
      <c r="AAI52" s="17"/>
      <c r="AAJ52" s="17"/>
      <c r="AAK52" s="17"/>
      <c r="AAL52" s="17"/>
      <c r="AAM52" s="17"/>
      <c r="AAN52" s="17"/>
      <c r="AAO52" s="17"/>
      <c r="AAP52" s="17"/>
      <c r="AAQ52" s="17"/>
      <c r="AAR52" s="17"/>
      <c r="AAS52" s="17"/>
      <c r="AAT52" s="17"/>
      <c r="AAU52" s="17"/>
      <c r="AAV52" s="17"/>
      <c r="AAW52" s="17"/>
      <c r="AAX52" s="17"/>
      <c r="AAY52" s="17"/>
      <c r="AAZ52" s="17"/>
      <c r="ABA52" s="17"/>
      <c r="ABB52" s="17"/>
      <c r="ABC52" s="17"/>
      <c r="ABD52" s="17"/>
      <c r="ABE52" s="17"/>
      <c r="ABF52" s="17"/>
      <c r="ABG52" s="17"/>
      <c r="ABH52" s="17"/>
      <c r="ABI52" s="17"/>
      <c r="ABJ52" s="17"/>
      <c r="ABK52" s="17"/>
      <c r="ABL52" s="17"/>
      <c r="ABM52" s="17"/>
      <c r="ABN52" s="17"/>
      <c r="ABO52" s="17"/>
      <c r="ABP52" s="17"/>
      <c r="ABQ52" s="17"/>
      <c r="ABR52" s="17"/>
      <c r="ABS52" s="17"/>
      <c r="ABT52" s="17"/>
      <c r="ABU52" s="17"/>
      <c r="ABV52" s="17"/>
      <c r="ABW52" s="17"/>
      <c r="ABX52" s="17"/>
      <c r="ABY52" s="17"/>
      <c r="ABZ52" s="17"/>
      <c r="ACA52" s="17"/>
      <c r="ACB52" s="17"/>
      <c r="ACC52" s="17"/>
      <c r="ACD52" s="17"/>
      <c r="ACE52" s="17"/>
      <c r="ACF52" s="17"/>
      <c r="ACG52" s="17"/>
      <c r="ACH52" s="17"/>
      <c r="ACI52" s="17"/>
      <c r="ACJ52" s="17"/>
      <c r="ACK52" s="17"/>
      <c r="ACL52" s="17"/>
      <c r="ACM52" s="17"/>
      <c r="ACN52" s="17"/>
      <c r="ACO52" s="17"/>
      <c r="ACP52" s="17"/>
      <c r="ACQ52" s="17"/>
      <c r="ACR52" s="17"/>
      <c r="ACS52" s="17"/>
      <c r="ACT52" s="17"/>
      <c r="ACU52" s="17"/>
      <c r="ACV52" s="17"/>
      <c r="ACW52" s="17"/>
      <c r="ACX52" s="17"/>
      <c r="ACY52" s="17"/>
      <c r="ACZ52" s="17"/>
      <c r="ADA52" s="17"/>
      <c r="ADB52" s="17"/>
      <c r="ADC52" s="17"/>
      <c r="ADD52" s="17"/>
      <c r="ADE52" s="17"/>
      <c r="ADF52" s="17"/>
      <c r="ADG52" s="17"/>
      <c r="ADH52" s="17"/>
      <c r="ADI52" s="17"/>
      <c r="ADJ52" s="17"/>
      <c r="ADK52" s="17"/>
      <c r="ADL52" s="17"/>
      <c r="ADM52" s="17"/>
      <c r="ADN52" s="17"/>
      <c r="ADO52" s="17"/>
      <c r="ADP52" s="17"/>
      <c r="ADQ52" s="17"/>
      <c r="ADR52" s="17"/>
      <c r="ADS52" s="17"/>
      <c r="ADT52" s="17"/>
      <c r="ADU52" s="17"/>
      <c r="ADV52" s="17"/>
      <c r="ADW52" s="17"/>
      <c r="ADX52" s="17"/>
      <c r="ADY52" s="17"/>
      <c r="ADZ52" s="17"/>
      <c r="AEA52" s="17"/>
      <c r="AEB52" s="17"/>
      <c r="AEC52" s="17"/>
      <c r="AED52" s="17"/>
      <c r="AEE52" s="17"/>
      <c r="AEF52" s="17"/>
      <c r="AEG52" s="17"/>
      <c r="AEH52" s="17"/>
      <c r="AEI52" s="17"/>
      <c r="AEJ52" s="17"/>
      <c r="AEK52" s="17"/>
      <c r="AEL52" s="17"/>
      <c r="AEM52" s="17"/>
      <c r="AEN52" s="17"/>
      <c r="AEO52" s="17"/>
      <c r="AEP52" s="17"/>
      <c r="AEQ52" s="17"/>
      <c r="AER52" s="17"/>
      <c r="AES52" s="17"/>
      <c r="AET52" s="17"/>
      <c r="AEU52" s="17"/>
      <c r="AEV52" s="17"/>
      <c r="AEW52" s="17"/>
      <c r="AEX52" s="17"/>
      <c r="AEY52" s="17"/>
      <c r="AEZ52" s="17"/>
      <c r="AFA52" s="17"/>
      <c r="AFB52" s="17"/>
      <c r="AFC52" s="17"/>
      <c r="AFD52" s="17"/>
      <c r="AFE52" s="17"/>
      <c r="AFF52" s="17"/>
      <c r="AFG52" s="17"/>
      <c r="AFH52" s="17"/>
      <c r="AFI52" s="17"/>
      <c r="AFJ52" s="17"/>
      <c r="AFK52" s="17"/>
      <c r="AFL52" s="17"/>
      <c r="AFM52" s="17"/>
      <c r="AFN52" s="17"/>
      <c r="AFO52" s="17"/>
      <c r="AFP52" s="17"/>
      <c r="AFQ52" s="17"/>
      <c r="AFR52" s="17"/>
      <c r="AFS52" s="17"/>
      <c r="AFT52" s="17"/>
      <c r="AFU52" s="17"/>
      <c r="AFV52" s="17"/>
      <c r="AFW52" s="17"/>
    </row>
    <row r="53" spans="1:855" s="140" customFormat="1" ht="14.4" thickBot="1" x14ac:dyDescent="0.3">
      <c r="A53" s="141" t="s">
        <v>126</v>
      </c>
      <c r="B53" s="156">
        <v>42987.648648648639</v>
      </c>
      <c r="C53" s="156"/>
      <c r="D53" s="157">
        <v>44030.75675675676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17"/>
      <c r="NU53" s="17"/>
      <c r="NV53" s="17"/>
      <c r="NW53" s="17"/>
      <c r="NX53" s="17"/>
      <c r="NY53" s="17"/>
      <c r="NZ53" s="17"/>
      <c r="OA53" s="17"/>
      <c r="OB53" s="17"/>
      <c r="OC53" s="17"/>
      <c r="OD53" s="17"/>
      <c r="OE53" s="17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7"/>
      <c r="SC53" s="17"/>
      <c r="SD53" s="17"/>
      <c r="SE53" s="17"/>
      <c r="SF53" s="17"/>
      <c r="SG53" s="17"/>
      <c r="SH53" s="17"/>
      <c r="SI53" s="17"/>
      <c r="SJ53" s="17"/>
      <c r="SK53" s="17"/>
      <c r="SL53" s="17"/>
      <c r="SM53" s="17"/>
      <c r="SN53" s="17"/>
      <c r="SO53" s="17"/>
      <c r="SP53" s="17"/>
      <c r="SQ53" s="17"/>
      <c r="SR53" s="17"/>
      <c r="SS53" s="17"/>
      <c r="ST53" s="17"/>
      <c r="SU53" s="17"/>
      <c r="SV53" s="17"/>
      <c r="SW53" s="17"/>
      <c r="SX53" s="17"/>
      <c r="SY53" s="17"/>
      <c r="SZ53" s="17"/>
      <c r="TA53" s="17"/>
      <c r="TB53" s="17"/>
      <c r="TC53" s="17"/>
      <c r="TD53" s="17"/>
      <c r="TE53" s="17"/>
      <c r="TF53" s="17"/>
      <c r="TG53" s="17"/>
      <c r="TH53" s="17"/>
      <c r="TI53" s="17"/>
      <c r="TJ53" s="17"/>
      <c r="TK53" s="17"/>
      <c r="TL53" s="17"/>
      <c r="TM53" s="17"/>
      <c r="TN53" s="17"/>
      <c r="TO53" s="17"/>
      <c r="TP53" s="17"/>
      <c r="TQ53" s="17"/>
      <c r="TR53" s="17"/>
      <c r="TS53" s="17"/>
      <c r="TT53" s="17"/>
      <c r="TU53" s="17"/>
      <c r="TV53" s="17"/>
      <c r="TW53" s="17"/>
      <c r="TX53" s="17"/>
      <c r="TY53" s="17"/>
      <c r="TZ53" s="17"/>
      <c r="UA53" s="17"/>
      <c r="UB53" s="17"/>
      <c r="UC53" s="17"/>
      <c r="UD53" s="17"/>
      <c r="UE53" s="17"/>
      <c r="UF53" s="17"/>
      <c r="UG53" s="17"/>
      <c r="UH53" s="17"/>
      <c r="UI53" s="17"/>
      <c r="UJ53" s="17"/>
      <c r="UK53" s="17"/>
      <c r="UL53" s="17"/>
      <c r="UM53" s="17"/>
      <c r="UN53" s="17"/>
      <c r="UO53" s="17"/>
      <c r="UP53" s="17"/>
      <c r="UQ53" s="17"/>
      <c r="UR53" s="17"/>
      <c r="US53" s="17"/>
      <c r="UT53" s="17"/>
      <c r="UU53" s="17"/>
      <c r="UV53" s="17"/>
      <c r="UW53" s="17"/>
      <c r="UX53" s="17"/>
      <c r="UY53" s="17"/>
      <c r="UZ53" s="17"/>
      <c r="VA53" s="17"/>
      <c r="VB53" s="17"/>
      <c r="VC53" s="17"/>
      <c r="VD53" s="17"/>
      <c r="VE53" s="17"/>
      <c r="VF53" s="17"/>
      <c r="VG53" s="17"/>
      <c r="VH53" s="17"/>
      <c r="VI53" s="17"/>
      <c r="VJ53" s="17"/>
      <c r="VK53" s="17"/>
      <c r="VL53" s="17"/>
      <c r="VM53" s="17"/>
      <c r="VN53" s="17"/>
      <c r="VO53" s="17"/>
      <c r="VP53" s="17"/>
      <c r="VQ53" s="17"/>
      <c r="VR53" s="17"/>
      <c r="VS53" s="17"/>
      <c r="VT53" s="17"/>
      <c r="VU53" s="17"/>
      <c r="VV53" s="17"/>
      <c r="VW53" s="17"/>
      <c r="VX53" s="17"/>
      <c r="VY53" s="17"/>
      <c r="VZ53" s="17"/>
      <c r="WA53" s="17"/>
      <c r="WB53" s="17"/>
      <c r="WC53" s="17"/>
      <c r="WD53" s="17"/>
      <c r="WE53" s="17"/>
      <c r="WF53" s="17"/>
      <c r="WG53" s="17"/>
      <c r="WH53" s="17"/>
      <c r="WI53" s="17"/>
      <c r="WJ53" s="17"/>
      <c r="WK53" s="17"/>
      <c r="WL53" s="17"/>
      <c r="WM53" s="17"/>
      <c r="WN53" s="17"/>
      <c r="WO53" s="17"/>
      <c r="WP53" s="17"/>
      <c r="WQ53" s="17"/>
      <c r="WR53" s="17"/>
      <c r="WS53" s="17"/>
      <c r="WT53" s="17"/>
      <c r="WU53" s="17"/>
      <c r="WV53" s="17"/>
      <c r="WW53" s="17"/>
      <c r="WX53" s="17"/>
      <c r="WY53" s="17"/>
      <c r="WZ53" s="17"/>
      <c r="XA53" s="17"/>
      <c r="XB53" s="17"/>
      <c r="XC53" s="17"/>
      <c r="XD53" s="17"/>
      <c r="XE53" s="17"/>
      <c r="XF53" s="17"/>
      <c r="XG53" s="17"/>
      <c r="XH53" s="17"/>
      <c r="XI53" s="17"/>
      <c r="XJ53" s="17"/>
      <c r="XK53" s="17"/>
      <c r="XL53" s="17"/>
      <c r="XM53" s="17"/>
      <c r="XN53" s="17"/>
      <c r="XO53" s="17"/>
      <c r="XP53" s="17"/>
      <c r="XQ53" s="17"/>
      <c r="XR53" s="17"/>
      <c r="XS53" s="17"/>
      <c r="XT53" s="17"/>
      <c r="XU53" s="17"/>
      <c r="XV53" s="17"/>
      <c r="XW53" s="17"/>
      <c r="XX53" s="17"/>
      <c r="XY53" s="17"/>
      <c r="XZ53" s="17"/>
      <c r="YA53" s="17"/>
      <c r="YB53" s="17"/>
      <c r="YC53" s="17"/>
      <c r="YD53" s="17"/>
      <c r="YE53" s="17"/>
      <c r="YF53" s="17"/>
      <c r="YG53" s="17"/>
      <c r="YH53" s="17"/>
      <c r="YI53" s="17"/>
      <c r="YJ53" s="17"/>
      <c r="YK53" s="17"/>
      <c r="YL53" s="17"/>
      <c r="YM53" s="17"/>
      <c r="YN53" s="17"/>
      <c r="YO53" s="17"/>
      <c r="YP53" s="17"/>
      <c r="YQ53" s="17"/>
      <c r="YR53" s="17"/>
      <c r="YS53" s="17"/>
      <c r="YT53" s="17"/>
      <c r="YU53" s="17"/>
      <c r="YV53" s="17"/>
      <c r="YW53" s="17"/>
      <c r="YX53" s="17"/>
      <c r="YY53" s="17"/>
      <c r="YZ53" s="17"/>
      <c r="ZA53" s="17"/>
      <c r="ZB53" s="17"/>
      <c r="ZC53" s="17"/>
      <c r="ZD53" s="17"/>
      <c r="ZE53" s="17"/>
      <c r="ZF53" s="17"/>
      <c r="ZG53" s="17"/>
      <c r="ZH53" s="17"/>
      <c r="ZI53" s="17"/>
      <c r="ZJ53" s="17"/>
      <c r="ZK53" s="17"/>
      <c r="ZL53" s="17"/>
      <c r="ZM53" s="17"/>
      <c r="ZN53" s="17"/>
      <c r="ZO53" s="17"/>
      <c r="ZP53" s="17"/>
      <c r="ZQ53" s="17"/>
      <c r="ZR53" s="17"/>
      <c r="ZS53" s="17"/>
      <c r="ZT53" s="17"/>
      <c r="ZU53" s="17"/>
      <c r="ZV53" s="17"/>
      <c r="ZW53" s="17"/>
      <c r="ZX53" s="17"/>
      <c r="ZY53" s="17"/>
      <c r="ZZ53" s="17"/>
      <c r="AAA53" s="17"/>
      <c r="AAB53" s="17"/>
      <c r="AAC53" s="17"/>
      <c r="AAD53" s="17"/>
      <c r="AAE53" s="17"/>
      <c r="AAF53" s="17"/>
      <c r="AAG53" s="17"/>
      <c r="AAH53" s="17"/>
      <c r="AAI53" s="17"/>
      <c r="AAJ53" s="17"/>
      <c r="AAK53" s="17"/>
      <c r="AAL53" s="17"/>
      <c r="AAM53" s="17"/>
      <c r="AAN53" s="17"/>
      <c r="AAO53" s="17"/>
      <c r="AAP53" s="17"/>
      <c r="AAQ53" s="17"/>
      <c r="AAR53" s="17"/>
      <c r="AAS53" s="17"/>
      <c r="AAT53" s="17"/>
      <c r="AAU53" s="17"/>
      <c r="AAV53" s="17"/>
      <c r="AAW53" s="17"/>
      <c r="AAX53" s="17"/>
      <c r="AAY53" s="17"/>
      <c r="AAZ53" s="17"/>
      <c r="ABA53" s="17"/>
      <c r="ABB53" s="17"/>
      <c r="ABC53" s="17"/>
      <c r="ABD53" s="17"/>
      <c r="ABE53" s="17"/>
      <c r="ABF53" s="17"/>
      <c r="ABG53" s="17"/>
      <c r="ABH53" s="17"/>
      <c r="ABI53" s="17"/>
      <c r="ABJ53" s="17"/>
      <c r="ABK53" s="17"/>
      <c r="ABL53" s="17"/>
      <c r="ABM53" s="17"/>
      <c r="ABN53" s="17"/>
      <c r="ABO53" s="17"/>
      <c r="ABP53" s="17"/>
      <c r="ABQ53" s="17"/>
      <c r="ABR53" s="17"/>
      <c r="ABS53" s="17"/>
      <c r="ABT53" s="17"/>
      <c r="ABU53" s="17"/>
      <c r="ABV53" s="17"/>
      <c r="ABW53" s="17"/>
      <c r="ABX53" s="17"/>
      <c r="ABY53" s="17"/>
      <c r="ABZ53" s="17"/>
      <c r="ACA53" s="17"/>
      <c r="ACB53" s="17"/>
      <c r="ACC53" s="17"/>
      <c r="ACD53" s="17"/>
      <c r="ACE53" s="17"/>
      <c r="ACF53" s="17"/>
      <c r="ACG53" s="17"/>
      <c r="ACH53" s="17"/>
      <c r="ACI53" s="17"/>
      <c r="ACJ53" s="17"/>
      <c r="ACK53" s="17"/>
      <c r="ACL53" s="17"/>
      <c r="ACM53" s="17"/>
      <c r="ACN53" s="17"/>
      <c r="ACO53" s="17"/>
      <c r="ACP53" s="17"/>
      <c r="ACQ53" s="17"/>
      <c r="ACR53" s="17"/>
      <c r="ACS53" s="17"/>
      <c r="ACT53" s="17"/>
      <c r="ACU53" s="17"/>
      <c r="ACV53" s="17"/>
      <c r="ACW53" s="17"/>
      <c r="ACX53" s="17"/>
      <c r="ACY53" s="17"/>
      <c r="ACZ53" s="17"/>
      <c r="ADA53" s="17"/>
      <c r="ADB53" s="17"/>
      <c r="ADC53" s="17"/>
      <c r="ADD53" s="17"/>
      <c r="ADE53" s="17"/>
      <c r="ADF53" s="17"/>
      <c r="ADG53" s="17"/>
      <c r="ADH53" s="17"/>
      <c r="ADI53" s="17"/>
      <c r="ADJ53" s="17"/>
      <c r="ADK53" s="17"/>
      <c r="ADL53" s="17"/>
      <c r="ADM53" s="17"/>
      <c r="ADN53" s="17"/>
      <c r="ADO53" s="17"/>
      <c r="ADP53" s="17"/>
      <c r="ADQ53" s="17"/>
      <c r="ADR53" s="17"/>
      <c r="ADS53" s="17"/>
      <c r="ADT53" s="17"/>
      <c r="ADU53" s="17"/>
      <c r="ADV53" s="17"/>
      <c r="ADW53" s="17"/>
      <c r="ADX53" s="17"/>
      <c r="ADY53" s="17"/>
      <c r="ADZ53" s="17"/>
      <c r="AEA53" s="17"/>
      <c r="AEB53" s="17"/>
      <c r="AEC53" s="17"/>
      <c r="AED53" s="17"/>
      <c r="AEE53" s="17"/>
      <c r="AEF53" s="17"/>
      <c r="AEG53" s="17"/>
      <c r="AEH53" s="17"/>
      <c r="AEI53" s="17"/>
      <c r="AEJ53" s="17"/>
      <c r="AEK53" s="17"/>
      <c r="AEL53" s="17"/>
      <c r="AEM53" s="17"/>
      <c r="AEN53" s="17"/>
      <c r="AEO53" s="17"/>
      <c r="AEP53" s="17"/>
      <c r="AEQ53" s="17"/>
      <c r="AER53" s="17"/>
      <c r="AES53" s="17"/>
      <c r="AET53" s="17"/>
      <c r="AEU53" s="17"/>
      <c r="AEV53" s="17"/>
      <c r="AEW53" s="17"/>
      <c r="AEX53" s="17"/>
      <c r="AEY53" s="17"/>
      <c r="AEZ53" s="17"/>
      <c r="AFA53" s="17"/>
      <c r="AFB53" s="17"/>
      <c r="AFC53" s="17"/>
      <c r="AFD53" s="17"/>
      <c r="AFE53" s="17"/>
      <c r="AFF53" s="17"/>
      <c r="AFG53" s="17"/>
      <c r="AFH53" s="17"/>
      <c r="AFI53" s="17"/>
      <c r="AFJ53" s="17"/>
      <c r="AFK53" s="17"/>
      <c r="AFL53" s="17"/>
      <c r="AFM53" s="17"/>
      <c r="AFN53" s="17"/>
      <c r="AFO53" s="17"/>
      <c r="AFP53" s="17"/>
      <c r="AFQ53" s="17"/>
      <c r="AFR53" s="17"/>
      <c r="AFS53" s="17"/>
      <c r="AFT53" s="17"/>
      <c r="AFU53" s="17"/>
      <c r="AFV53" s="17"/>
      <c r="AFW53" s="17"/>
    </row>
    <row r="65" spans="1:1" s="123" customFormat="1" x14ac:dyDescent="0.25">
      <c r="A65" s="158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6F68-4C4B-4099-A79D-5503E869D851}">
  <sheetPr>
    <tabColor rgb="FFFFC000"/>
  </sheetPr>
  <dimension ref="A1:I47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09375" defaultRowHeight="13.8" x14ac:dyDescent="0.25"/>
  <cols>
    <col min="1" max="1" width="45.44140625" style="1" customWidth="1"/>
    <col min="2" max="7" width="13.6640625" style="1" customWidth="1"/>
    <col min="8" max="16384" width="9.109375" style="1"/>
  </cols>
  <sheetData>
    <row r="1" spans="1:9" s="10" customFormat="1" ht="27.6" x14ac:dyDescent="0.25">
      <c r="A1" s="116" t="s">
        <v>131</v>
      </c>
      <c r="B1" s="117" t="s">
        <v>0</v>
      </c>
      <c r="C1" s="117" t="s">
        <v>1</v>
      </c>
      <c r="D1" s="117" t="s">
        <v>2</v>
      </c>
      <c r="E1" s="117" t="s">
        <v>3</v>
      </c>
      <c r="F1" s="118" t="s">
        <v>53</v>
      </c>
      <c r="G1" s="118" t="s">
        <v>52</v>
      </c>
      <c r="I1" s="1"/>
    </row>
    <row r="2" spans="1:9" x14ac:dyDescent="0.25">
      <c r="A2" s="115" t="s">
        <v>4</v>
      </c>
    </row>
    <row r="3" spans="1:9" x14ac:dyDescent="0.25">
      <c r="A3" s="1" t="s">
        <v>5</v>
      </c>
      <c r="B3" s="11">
        <v>952071</v>
      </c>
      <c r="C3" s="12">
        <v>6104047</v>
      </c>
      <c r="D3" s="11">
        <v>875810</v>
      </c>
      <c r="E3" s="11">
        <v>166675</v>
      </c>
      <c r="F3" s="11">
        <v>0</v>
      </c>
      <c r="G3" s="11">
        <v>8098603</v>
      </c>
    </row>
    <row r="4" spans="1:9" x14ac:dyDescent="0.25">
      <c r="A4" s="1" t="s">
        <v>6</v>
      </c>
      <c r="B4" s="11">
        <v>247921</v>
      </c>
      <c r="C4" s="11">
        <v>47601</v>
      </c>
      <c r="D4" s="11">
        <v>45890</v>
      </c>
      <c r="E4" s="11">
        <v>89947</v>
      </c>
      <c r="F4" s="11">
        <v>12341</v>
      </c>
      <c r="G4" s="11">
        <v>443700</v>
      </c>
    </row>
    <row r="5" spans="1:9" x14ac:dyDescent="0.25">
      <c r="A5" s="2" t="s">
        <v>7</v>
      </c>
      <c r="B5" s="13">
        <v>1199992</v>
      </c>
      <c r="C5" s="13">
        <v>6151648</v>
      </c>
      <c r="D5" s="13">
        <v>921700</v>
      </c>
      <c r="E5" s="13">
        <v>256622</v>
      </c>
      <c r="F5" s="13">
        <v>12341</v>
      </c>
      <c r="G5" s="13">
        <v>8542303</v>
      </c>
    </row>
    <row r="6" spans="1:9" x14ac:dyDescent="0.25">
      <c r="B6" s="11"/>
      <c r="C6" s="11"/>
      <c r="D6" s="11"/>
      <c r="E6" s="11"/>
      <c r="F6" s="11"/>
      <c r="G6" s="11"/>
    </row>
    <row r="7" spans="1:9" x14ac:dyDescent="0.25">
      <c r="A7" s="1" t="s">
        <v>8</v>
      </c>
      <c r="B7" s="11">
        <v>0</v>
      </c>
      <c r="C7" s="11">
        <v>0</v>
      </c>
      <c r="D7" s="11">
        <v>663278</v>
      </c>
      <c r="E7" s="11">
        <v>0</v>
      </c>
      <c r="F7" s="11">
        <v>0</v>
      </c>
      <c r="G7" s="11">
        <v>663278</v>
      </c>
    </row>
    <row r="8" spans="1:9" x14ac:dyDescent="0.25">
      <c r="A8" s="1" t="s">
        <v>9</v>
      </c>
      <c r="B8" s="11">
        <v>546957</v>
      </c>
      <c r="C8" s="11">
        <v>4970266</v>
      </c>
      <c r="D8" s="11">
        <v>0</v>
      </c>
      <c r="E8" s="11">
        <v>114655</v>
      </c>
      <c r="F8" s="11">
        <v>0</v>
      </c>
      <c r="G8" s="11">
        <v>5631878</v>
      </c>
    </row>
    <row r="9" spans="1:9" x14ac:dyDescent="0.25">
      <c r="A9" s="1" t="s">
        <v>10</v>
      </c>
      <c r="B9" s="11">
        <v>591813</v>
      </c>
      <c r="C9" s="11">
        <v>916488</v>
      </c>
      <c r="D9" s="11">
        <v>207568</v>
      </c>
      <c r="E9" s="11">
        <v>118026</v>
      </c>
      <c r="F9" s="11">
        <v>5281</v>
      </c>
      <c r="G9" s="11">
        <v>1839176</v>
      </c>
    </row>
    <row r="10" spans="1:9" x14ac:dyDescent="0.25">
      <c r="A10" s="2" t="s">
        <v>11</v>
      </c>
      <c r="B10" s="13">
        <v>1138770</v>
      </c>
      <c r="C10" s="13">
        <v>5886754</v>
      </c>
      <c r="D10" s="13">
        <v>870846</v>
      </c>
      <c r="E10" s="13">
        <v>232681</v>
      </c>
      <c r="F10" s="13">
        <v>5281</v>
      </c>
      <c r="G10" s="13">
        <v>8134332</v>
      </c>
    </row>
    <row r="11" spans="1:9" x14ac:dyDescent="0.25">
      <c r="B11" s="11"/>
      <c r="C11" s="11"/>
      <c r="D11" s="11"/>
      <c r="E11" s="11"/>
      <c r="F11" s="11"/>
      <c r="G11" s="11"/>
    </row>
    <row r="12" spans="1:9" x14ac:dyDescent="0.25">
      <c r="A12" s="14" t="s">
        <v>12</v>
      </c>
      <c r="B12" s="11">
        <v>61222</v>
      </c>
      <c r="C12" s="11">
        <v>264894</v>
      </c>
      <c r="D12" s="11">
        <v>50854</v>
      </c>
      <c r="E12" s="11">
        <v>23941</v>
      </c>
      <c r="F12" s="11">
        <v>7060</v>
      </c>
      <c r="G12" s="11">
        <v>407971</v>
      </c>
    </row>
    <row r="13" spans="1:9" x14ac:dyDescent="0.25">
      <c r="A13" s="14" t="s">
        <v>13</v>
      </c>
      <c r="B13" s="11">
        <v>17142</v>
      </c>
      <c r="C13" s="11">
        <v>74170</v>
      </c>
      <c r="D13" s="11">
        <v>12714</v>
      </c>
      <c r="E13" s="11">
        <v>5253</v>
      </c>
      <c r="F13" s="11">
        <v>1906</v>
      </c>
      <c r="G13" s="11">
        <v>111185</v>
      </c>
    </row>
    <row r="14" spans="1:9" x14ac:dyDescent="0.25">
      <c r="A14" s="14" t="s">
        <v>14</v>
      </c>
      <c r="B14" s="11">
        <v>44080</v>
      </c>
      <c r="C14" s="11">
        <v>190724</v>
      </c>
      <c r="D14" s="11">
        <v>38140</v>
      </c>
      <c r="E14" s="11">
        <v>18688</v>
      </c>
      <c r="F14" s="11">
        <v>5154</v>
      </c>
      <c r="G14" s="11">
        <v>296786</v>
      </c>
    </row>
    <row r="15" spans="1:9" x14ac:dyDescent="0.25">
      <c r="A15" s="14"/>
      <c r="B15" s="11"/>
      <c r="C15" s="11"/>
      <c r="D15" s="11"/>
      <c r="E15" s="11"/>
      <c r="F15" s="11"/>
      <c r="G15" s="11"/>
    </row>
    <row r="16" spans="1:9" x14ac:dyDescent="0.25">
      <c r="B16" s="11"/>
      <c r="C16" s="11"/>
      <c r="D16" s="11"/>
      <c r="E16" s="11"/>
      <c r="F16" s="11"/>
      <c r="G16" s="11"/>
    </row>
    <row r="17" spans="1:7" x14ac:dyDescent="0.25">
      <c r="A17" s="115" t="s">
        <v>15</v>
      </c>
      <c r="B17" s="11"/>
      <c r="C17" s="11"/>
      <c r="D17" s="11"/>
      <c r="E17" s="11"/>
      <c r="F17" s="11"/>
      <c r="G17" s="11"/>
    </row>
    <row r="18" spans="1:7" x14ac:dyDescent="0.25">
      <c r="A18" s="15" t="s">
        <v>16</v>
      </c>
      <c r="B18" s="11">
        <v>4750930</v>
      </c>
      <c r="C18" s="11">
        <v>2676133</v>
      </c>
      <c r="D18" s="11">
        <v>3268566</v>
      </c>
      <c r="E18" s="11">
        <v>1581999</v>
      </c>
      <c r="F18" s="11">
        <v>223861</v>
      </c>
      <c r="G18" s="11">
        <v>12501489</v>
      </c>
    </row>
    <row r="19" spans="1:7" x14ac:dyDescent="0.25">
      <c r="A19" s="15" t="s">
        <v>17</v>
      </c>
      <c r="B19" s="11">
        <v>1776396</v>
      </c>
      <c r="C19" s="11">
        <v>0</v>
      </c>
      <c r="D19" s="11">
        <v>0</v>
      </c>
      <c r="E19" s="11">
        <v>0</v>
      </c>
      <c r="F19" s="11">
        <v>0</v>
      </c>
      <c r="G19" s="11">
        <v>1776396</v>
      </c>
    </row>
    <row r="20" spans="1:7" x14ac:dyDescent="0.25">
      <c r="A20" s="16" t="s">
        <v>18</v>
      </c>
      <c r="B20" s="13">
        <v>6527326</v>
      </c>
      <c r="C20" s="13">
        <v>2676133</v>
      </c>
      <c r="D20" s="13">
        <v>3268566</v>
      </c>
      <c r="E20" s="13">
        <v>1581999</v>
      </c>
      <c r="F20" s="13">
        <v>223861</v>
      </c>
      <c r="G20" s="13">
        <v>14277885</v>
      </c>
    </row>
    <row r="21" spans="1:7" x14ac:dyDescent="0.25">
      <c r="B21" s="11"/>
      <c r="C21" s="11"/>
      <c r="D21" s="11"/>
      <c r="E21" s="11"/>
      <c r="F21" s="11"/>
      <c r="G21" s="11"/>
    </row>
    <row r="22" spans="1:7" x14ac:dyDescent="0.25">
      <c r="A22" s="15" t="s">
        <v>19</v>
      </c>
      <c r="B22" s="11">
        <v>0</v>
      </c>
      <c r="C22" s="11">
        <v>0</v>
      </c>
      <c r="D22" s="11">
        <v>2125125</v>
      </c>
      <c r="E22" s="11">
        <v>0</v>
      </c>
      <c r="F22" s="11">
        <v>0</v>
      </c>
      <c r="G22" s="11">
        <v>2125125</v>
      </c>
    </row>
    <row r="23" spans="1:7" x14ac:dyDescent="0.25">
      <c r="A23" s="15" t="s">
        <v>20</v>
      </c>
      <c r="B23" s="11">
        <v>1776396</v>
      </c>
      <c r="C23" s="11">
        <v>0</v>
      </c>
      <c r="D23" s="11">
        <v>0</v>
      </c>
      <c r="E23" s="11">
        <v>0</v>
      </c>
      <c r="F23" s="11">
        <v>0</v>
      </c>
      <c r="G23" s="11">
        <v>1776396</v>
      </c>
    </row>
    <row r="24" spans="1:7" x14ac:dyDescent="0.25">
      <c r="A24" s="17" t="s">
        <v>21</v>
      </c>
      <c r="B24" s="11">
        <v>4241142</v>
      </c>
      <c r="C24" s="11">
        <v>1019376</v>
      </c>
      <c r="D24" s="11">
        <v>0</v>
      </c>
      <c r="E24" s="11">
        <v>1397199</v>
      </c>
      <c r="F24" s="11">
        <v>0</v>
      </c>
      <c r="G24" s="11">
        <v>6657717</v>
      </c>
    </row>
    <row r="25" spans="1:7" x14ac:dyDescent="0.25">
      <c r="A25" s="17" t="s">
        <v>22</v>
      </c>
      <c r="B25" s="11">
        <v>0</v>
      </c>
      <c r="C25" s="11">
        <v>0</v>
      </c>
      <c r="D25" s="11">
        <v>0</v>
      </c>
      <c r="E25" s="11">
        <v>0</v>
      </c>
      <c r="F25" s="11">
        <v>52235</v>
      </c>
      <c r="G25" s="11">
        <v>52235</v>
      </c>
    </row>
    <row r="26" spans="1:7" x14ac:dyDescent="0.25">
      <c r="A26" s="2" t="s">
        <v>23</v>
      </c>
      <c r="B26" s="13">
        <v>6017538</v>
      </c>
      <c r="C26" s="13">
        <v>1019376</v>
      </c>
      <c r="D26" s="13">
        <v>2125125</v>
      </c>
      <c r="E26" s="13">
        <v>1397199</v>
      </c>
      <c r="F26" s="13">
        <v>52235</v>
      </c>
      <c r="G26" s="13">
        <v>10611473</v>
      </c>
    </row>
    <row r="27" spans="1:7" x14ac:dyDescent="0.25">
      <c r="A27" s="2"/>
      <c r="B27" s="11"/>
      <c r="C27" s="11"/>
      <c r="D27" s="11"/>
      <c r="E27" s="11"/>
      <c r="F27" s="11"/>
      <c r="G27" s="11"/>
    </row>
    <row r="28" spans="1:7" x14ac:dyDescent="0.25">
      <c r="A28" s="2" t="s">
        <v>24</v>
      </c>
      <c r="B28" s="13">
        <v>509788</v>
      </c>
      <c r="C28" s="13">
        <v>1656757</v>
      </c>
      <c r="D28" s="13">
        <v>1143441</v>
      </c>
      <c r="E28" s="13">
        <v>184799</v>
      </c>
      <c r="F28" s="13">
        <v>171626</v>
      </c>
      <c r="G28" s="13">
        <v>3666411</v>
      </c>
    </row>
    <row r="29" spans="1:7" x14ac:dyDescent="0.25">
      <c r="A29" s="2" t="s">
        <v>55</v>
      </c>
      <c r="B29" s="18">
        <v>4.0452225225660081</v>
      </c>
      <c r="C29" s="18">
        <v>6.475227402414335</v>
      </c>
      <c r="D29" s="18">
        <v>4.0000005366983613</v>
      </c>
      <c r="E29" s="18"/>
      <c r="F29" s="18"/>
      <c r="G29" s="18"/>
    </row>
    <row r="30" spans="1:7" x14ac:dyDescent="0.25">
      <c r="A30" s="16" t="s">
        <v>25</v>
      </c>
      <c r="B30" s="13">
        <v>6527326</v>
      </c>
      <c r="C30" s="13">
        <v>2676133</v>
      </c>
      <c r="D30" s="13">
        <v>3268566</v>
      </c>
      <c r="E30" s="13">
        <v>1581999</v>
      </c>
      <c r="F30" s="13">
        <v>223861</v>
      </c>
      <c r="G30" s="13">
        <v>14277885</v>
      </c>
    </row>
    <row r="31" spans="1:7" x14ac:dyDescent="0.25">
      <c r="A31" s="16"/>
      <c r="B31" s="13"/>
      <c r="C31" s="13"/>
      <c r="D31" s="13"/>
      <c r="E31" s="13"/>
      <c r="F31" s="13"/>
      <c r="G31" s="13"/>
    </row>
    <row r="32" spans="1:7" x14ac:dyDescent="0.25">
      <c r="A32" s="2" t="s">
        <v>26</v>
      </c>
      <c r="B32" s="13"/>
      <c r="C32" s="13"/>
      <c r="D32" s="13"/>
      <c r="E32" s="13"/>
      <c r="F32" s="13"/>
      <c r="G32" s="13"/>
    </row>
    <row r="33" spans="1:7" x14ac:dyDescent="0.25">
      <c r="A33" s="1" t="s">
        <v>27</v>
      </c>
      <c r="B33" s="11">
        <v>-5832</v>
      </c>
      <c r="C33" s="11">
        <v>0</v>
      </c>
      <c r="D33" s="11">
        <v>0</v>
      </c>
      <c r="E33" s="11">
        <v>0</v>
      </c>
      <c r="F33" s="11">
        <v>5832</v>
      </c>
      <c r="G33" s="11">
        <v>0</v>
      </c>
    </row>
    <row r="34" spans="1:7" x14ac:dyDescent="0.25">
      <c r="B34" s="11"/>
      <c r="C34" s="11"/>
      <c r="D34" s="11"/>
      <c r="E34" s="11"/>
      <c r="F34" s="11"/>
      <c r="G34" s="11"/>
    </row>
    <row r="35" spans="1:7" x14ac:dyDescent="0.25">
      <c r="A35" s="115" t="s">
        <v>28</v>
      </c>
      <c r="B35" s="11"/>
      <c r="C35" s="11"/>
      <c r="D35" s="11"/>
      <c r="E35" s="11"/>
      <c r="F35" s="11"/>
      <c r="G35" s="11"/>
    </row>
    <row r="36" spans="1:7" x14ac:dyDescent="0.25">
      <c r="A36" s="15" t="s">
        <v>50</v>
      </c>
      <c r="B36" s="11">
        <v>433338</v>
      </c>
      <c r="C36" s="11">
        <v>1740822</v>
      </c>
      <c r="D36" s="11">
        <v>973777</v>
      </c>
      <c r="E36" s="11">
        <v>170109</v>
      </c>
      <c r="F36" s="11">
        <v>18580</v>
      </c>
      <c r="G36" s="11">
        <v>3336626</v>
      </c>
    </row>
    <row r="37" spans="1:7" x14ac:dyDescent="0.25">
      <c r="A37" s="15" t="s">
        <v>54</v>
      </c>
      <c r="B37" s="11">
        <v>74238</v>
      </c>
      <c r="C37" s="11">
        <v>187299</v>
      </c>
      <c r="D37" s="11">
        <v>216439</v>
      </c>
      <c r="E37" s="11">
        <v>63810</v>
      </c>
      <c r="F37" s="11">
        <v>159567</v>
      </c>
      <c r="G37" s="11">
        <v>701353</v>
      </c>
    </row>
    <row r="38" spans="1:7" x14ac:dyDescent="0.25">
      <c r="A38" s="16" t="s">
        <v>224</v>
      </c>
      <c r="B38" s="13">
        <v>507576</v>
      </c>
      <c r="C38" s="13">
        <v>1928121</v>
      </c>
      <c r="D38" s="13">
        <v>1190216</v>
      </c>
      <c r="E38" s="13">
        <v>233919</v>
      </c>
      <c r="F38" s="13">
        <v>178147</v>
      </c>
      <c r="G38" s="13">
        <v>4037979</v>
      </c>
    </row>
    <row r="39" spans="1:7" x14ac:dyDescent="0.25">
      <c r="B39" s="19"/>
      <c r="C39" s="19"/>
      <c r="D39" s="19"/>
      <c r="E39" s="19"/>
      <c r="F39" s="19"/>
      <c r="G39" s="19"/>
    </row>
    <row r="41" spans="1:7" x14ac:dyDescent="0.25">
      <c r="A41" s="17" t="s">
        <v>29</v>
      </c>
    </row>
    <row r="42" spans="1:7" x14ac:dyDescent="0.25">
      <c r="A42" s="1" t="s">
        <v>56</v>
      </c>
    </row>
    <row r="43" spans="1:7" x14ac:dyDescent="0.25">
      <c r="A43" s="1" t="s">
        <v>130</v>
      </c>
    </row>
    <row r="46" spans="1:7" x14ac:dyDescent="0.25">
      <c r="A46" s="20"/>
    </row>
    <row r="47" spans="1:7" x14ac:dyDescent="0.25">
      <c r="A47" s="2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5AAC1-FB2D-46CD-958C-32E47B6AE8FC}">
  <sheetPr>
    <tabColor rgb="FFFFC000"/>
  </sheetPr>
  <dimension ref="A1:H45"/>
  <sheetViews>
    <sheetView zoomScaleNormal="100" workbookViewId="0"/>
  </sheetViews>
  <sheetFormatPr defaultColWidth="9.109375" defaultRowHeight="13.8" x14ac:dyDescent="0.25"/>
  <cols>
    <col min="1" max="1" width="36.6640625" style="1" customWidth="1"/>
    <col min="2" max="6" width="12.6640625" style="1" customWidth="1"/>
    <col min="7" max="16384" width="9.109375" style="1"/>
  </cols>
  <sheetData>
    <row r="1" spans="1:6" x14ac:dyDescent="0.25">
      <c r="A1" s="115" t="s">
        <v>30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</row>
    <row r="2" spans="1:6" x14ac:dyDescent="0.25">
      <c r="A2" s="115" t="s">
        <v>31</v>
      </c>
      <c r="B2" s="115"/>
    </row>
    <row r="3" spans="1:6" x14ac:dyDescent="0.25">
      <c r="A3" s="1" t="s">
        <v>5</v>
      </c>
      <c r="B3" s="11">
        <v>1410009</v>
      </c>
      <c r="C3" s="11">
        <v>1519039</v>
      </c>
      <c r="D3" s="11">
        <v>1643355</v>
      </c>
      <c r="E3" s="11">
        <v>1782693</v>
      </c>
      <c r="F3" s="11">
        <v>1938875</v>
      </c>
    </row>
    <row r="4" spans="1:6" x14ac:dyDescent="0.25">
      <c r="A4" s="1" t="s">
        <v>32</v>
      </c>
      <c r="B4" s="11">
        <v>-516395</v>
      </c>
      <c r="C4" s="11">
        <v>-566968</v>
      </c>
      <c r="D4" s="11">
        <v>-624848</v>
      </c>
      <c r="E4" s="11">
        <v>-691301</v>
      </c>
      <c r="F4" s="11">
        <v>-767773</v>
      </c>
    </row>
    <row r="5" spans="1:6" x14ac:dyDescent="0.25">
      <c r="A5" s="1" t="s">
        <v>33</v>
      </c>
      <c r="B5" s="11">
        <v>237607</v>
      </c>
      <c r="C5" s="11">
        <v>247921</v>
      </c>
      <c r="D5" s="11">
        <v>264597</v>
      </c>
      <c r="E5" s="11">
        <v>282251</v>
      </c>
      <c r="F5" s="11">
        <v>302470</v>
      </c>
    </row>
    <row r="6" spans="1:6" x14ac:dyDescent="0.25">
      <c r="A6" s="2" t="s">
        <v>34</v>
      </c>
      <c r="B6" s="27">
        <v>1131221</v>
      </c>
      <c r="C6" s="27">
        <v>1199992</v>
      </c>
      <c r="D6" s="27">
        <v>1283104</v>
      </c>
      <c r="E6" s="27">
        <v>1373643</v>
      </c>
      <c r="F6" s="27">
        <v>1473572</v>
      </c>
    </row>
    <row r="7" spans="1:6" x14ac:dyDescent="0.25">
      <c r="A7" s="2"/>
      <c r="B7" s="5"/>
      <c r="C7" s="5"/>
      <c r="D7" s="5"/>
      <c r="E7" s="5"/>
      <c r="F7" s="5"/>
    </row>
    <row r="8" spans="1:6" x14ac:dyDescent="0.25">
      <c r="A8" s="1" t="s">
        <v>35</v>
      </c>
      <c r="B8" s="11">
        <v>121968</v>
      </c>
      <c r="C8" s="11">
        <v>135447</v>
      </c>
      <c r="D8" s="11">
        <v>147960</v>
      </c>
      <c r="E8" s="11">
        <v>162258</v>
      </c>
      <c r="F8" s="11">
        <v>176378</v>
      </c>
    </row>
    <row r="9" spans="1:6" x14ac:dyDescent="0.25">
      <c r="A9" s="1" t="s">
        <v>36</v>
      </c>
      <c r="B9" s="11">
        <v>727881</v>
      </c>
      <c r="C9" s="11">
        <v>767088</v>
      </c>
      <c r="D9" s="11">
        <v>806143</v>
      </c>
      <c r="E9" s="11">
        <v>892444</v>
      </c>
      <c r="F9" s="11">
        <v>993694</v>
      </c>
    </row>
    <row r="10" spans="1:6" x14ac:dyDescent="0.25">
      <c r="A10" s="1" t="s">
        <v>37</v>
      </c>
      <c r="B10" s="11">
        <v>-333596</v>
      </c>
      <c r="C10" s="11">
        <v>-355578</v>
      </c>
      <c r="D10" s="11">
        <v>-377135</v>
      </c>
      <c r="E10" s="11">
        <v>-421948</v>
      </c>
      <c r="F10" s="11">
        <v>-473625</v>
      </c>
    </row>
    <row r="11" spans="1:6" x14ac:dyDescent="0.25">
      <c r="A11" s="1" t="s">
        <v>38</v>
      </c>
      <c r="B11" s="11">
        <v>284430</v>
      </c>
      <c r="C11" s="11">
        <v>313519</v>
      </c>
      <c r="D11" s="11">
        <v>342613</v>
      </c>
      <c r="E11" s="11">
        <v>369302</v>
      </c>
      <c r="F11" s="11">
        <v>397208</v>
      </c>
    </row>
    <row r="12" spans="1:6" x14ac:dyDescent="0.25">
      <c r="A12" s="1" t="s">
        <v>39</v>
      </c>
      <c r="B12" s="11">
        <v>164273</v>
      </c>
      <c r="C12" s="11">
        <v>176877</v>
      </c>
      <c r="D12" s="11">
        <v>190375</v>
      </c>
      <c r="E12" s="11">
        <v>205852</v>
      </c>
      <c r="F12" s="11">
        <v>223592</v>
      </c>
    </row>
    <row r="13" spans="1:6" x14ac:dyDescent="0.25">
      <c r="A13" s="1" t="s">
        <v>40</v>
      </c>
      <c r="B13" s="5">
        <v>117154</v>
      </c>
      <c r="C13" s="5">
        <v>101417</v>
      </c>
      <c r="D13" s="5">
        <v>92708</v>
      </c>
      <c r="E13" s="5">
        <v>83097</v>
      </c>
      <c r="F13" s="5">
        <v>72489</v>
      </c>
    </row>
    <row r="14" spans="1:6" x14ac:dyDescent="0.25">
      <c r="A14" s="2" t="s">
        <v>41</v>
      </c>
      <c r="B14" s="27">
        <v>1082110</v>
      </c>
      <c r="C14" s="27">
        <v>1138770</v>
      </c>
      <c r="D14" s="27">
        <v>1202664</v>
      </c>
      <c r="E14" s="27">
        <v>1291005</v>
      </c>
      <c r="F14" s="27">
        <v>1389736</v>
      </c>
    </row>
    <row r="15" spans="1:6" x14ac:dyDescent="0.25">
      <c r="A15" s="2"/>
      <c r="B15" s="5"/>
      <c r="C15" s="5"/>
      <c r="D15" s="5"/>
      <c r="E15" s="5"/>
      <c r="F15" s="5"/>
    </row>
    <row r="16" spans="1:6" x14ac:dyDescent="0.25">
      <c r="A16" s="1" t="s">
        <v>12</v>
      </c>
      <c r="B16" s="11">
        <v>49111</v>
      </c>
      <c r="C16" s="11">
        <v>61222</v>
      </c>
      <c r="D16" s="11">
        <v>80440</v>
      </c>
      <c r="E16" s="11">
        <v>82638</v>
      </c>
      <c r="F16" s="11">
        <v>83836</v>
      </c>
    </row>
    <row r="17" spans="1:6" x14ac:dyDescent="0.25">
      <c r="A17" s="1" t="s">
        <v>42</v>
      </c>
      <c r="B17" s="11">
        <v>13751</v>
      </c>
      <c r="C17" s="11">
        <v>17142</v>
      </c>
      <c r="D17" s="11">
        <v>22523</v>
      </c>
      <c r="E17" s="11">
        <v>23139</v>
      </c>
      <c r="F17" s="11">
        <v>23474</v>
      </c>
    </row>
    <row r="18" spans="1:6" x14ac:dyDescent="0.25">
      <c r="A18" s="2" t="s">
        <v>14</v>
      </c>
      <c r="B18" s="13">
        <v>35360</v>
      </c>
      <c r="C18" s="13">
        <v>44080</v>
      </c>
      <c r="D18" s="13">
        <v>57917</v>
      </c>
      <c r="E18" s="13">
        <v>59499</v>
      </c>
      <c r="F18" s="13">
        <v>60362</v>
      </c>
    </row>
    <row r="19" spans="1:6" x14ac:dyDescent="0.25">
      <c r="B19" s="5"/>
      <c r="C19" s="5"/>
      <c r="D19" s="5"/>
      <c r="E19" s="5"/>
      <c r="F19" s="5"/>
    </row>
    <row r="20" spans="1:6" x14ac:dyDescent="0.25">
      <c r="A20" s="115" t="s">
        <v>43</v>
      </c>
      <c r="B20" s="5"/>
      <c r="C20" s="5"/>
      <c r="D20" s="5"/>
      <c r="E20" s="5"/>
      <c r="F20" s="5"/>
    </row>
    <row r="21" spans="1:6" x14ac:dyDescent="0.25">
      <c r="A21" s="15" t="s">
        <v>16</v>
      </c>
      <c r="B21" s="11">
        <v>4399164</v>
      </c>
      <c r="C21" s="11">
        <v>4750930</v>
      </c>
      <c r="D21" s="11">
        <v>5120556</v>
      </c>
      <c r="E21" s="11">
        <v>5527967</v>
      </c>
      <c r="F21" s="11">
        <v>5952039</v>
      </c>
    </row>
    <row r="22" spans="1:6" x14ac:dyDescent="0.25">
      <c r="A22" s="15" t="s">
        <v>17</v>
      </c>
      <c r="B22" s="11">
        <v>1376883</v>
      </c>
      <c r="C22" s="11">
        <v>1776396</v>
      </c>
      <c r="D22" s="11">
        <v>2035331</v>
      </c>
      <c r="E22" s="11">
        <v>2306969</v>
      </c>
      <c r="F22" s="11">
        <v>2591399</v>
      </c>
    </row>
    <row r="23" spans="1:6" x14ac:dyDescent="0.25">
      <c r="A23" s="16" t="s">
        <v>18</v>
      </c>
      <c r="B23" s="13">
        <v>5776047</v>
      </c>
      <c r="C23" s="13">
        <v>6527326</v>
      </c>
      <c r="D23" s="13">
        <v>7155887</v>
      </c>
      <c r="E23" s="13">
        <v>7834936</v>
      </c>
      <c r="F23" s="13">
        <v>8543438</v>
      </c>
    </row>
    <row r="24" spans="1:6" x14ac:dyDescent="0.25">
      <c r="A24" s="115"/>
      <c r="B24" s="5"/>
      <c r="C24" s="5"/>
      <c r="D24" s="5"/>
      <c r="E24" s="5"/>
      <c r="F24" s="5"/>
    </row>
    <row r="25" spans="1:6" x14ac:dyDescent="0.25">
      <c r="A25" s="1" t="s">
        <v>44</v>
      </c>
      <c r="B25" s="11">
        <v>3927624</v>
      </c>
      <c r="C25" s="11">
        <v>4241142</v>
      </c>
      <c r="D25" s="11">
        <v>4583755</v>
      </c>
      <c r="E25" s="11">
        <v>4953059</v>
      </c>
      <c r="F25" s="11">
        <v>5350266</v>
      </c>
    </row>
    <row r="26" spans="1:6" x14ac:dyDescent="0.25">
      <c r="A26" s="1" t="s">
        <v>45</v>
      </c>
      <c r="B26" s="11">
        <v>1376883</v>
      </c>
      <c r="C26" s="11">
        <v>1776396</v>
      </c>
      <c r="D26" s="11">
        <v>2035331</v>
      </c>
      <c r="E26" s="11">
        <v>2306969</v>
      </c>
      <c r="F26" s="11">
        <v>2591399</v>
      </c>
    </row>
    <row r="27" spans="1:6" x14ac:dyDescent="0.25">
      <c r="A27" s="2" t="s">
        <v>23</v>
      </c>
      <c r="B27" s="13">
        <v>5304507</v>
      </c>
      <c r="C27" s="13">
        <v>6017538</v>
      </c>
      <c r="D27" s="13">
        <v>6619086</v>
      </c>
      <c r="E27" s="13">
        <v>7260028</v>
      </c>
      <c r="F27" s="13">
        <v>7941665</v>
      </c>
    </row>
    <row r="28" spans="1:6" x14ac:dyDescent="0.25">
      <c r="A28" s="2"/>
      <c r="B28" s="5"/>
      <c r="C28" s="5"/>
      <c r="D28" s="5"/>
      <c r="E28" s="5"/>
      <c r="F28" s="5"/>
    </row>
    <row r="29" spans="1:6" x14ac:dyDescent="0.25">
      <c r="A29" s="2" t="s">
        <v>24</v>
      </c>
      <c r="B29" s="13">
        <v>471540</v>
      </c>
      <c r="C29" s="13">
        <v>509788</v>
      </c>
      <c r="D29" s="13">
        <v>536801</v>
      </c>
      <c r="E29" s="13">
        <v>574908</v>
      </c>
      <c r="F29" s="13">
        <v>601773</v>
      </c>
    </row>
    <row r="30" spans="1:6" x14ac:dyDescent="0.25">
      <c r="A30" s="2" t="s">
        <v>57</v>
      </c>
      <c r="B30" s="18">
        <v>4.0920996475231215</v>
      </c>
      <c r="C30" s="18">
        <v>4.0452225225660081</v>
      </c>
      <c r="D30" s="18">
        <v>4.0924857982903502</v>
      </c>
      <c r="E30" s="18">
        <v>3.9999968336728342</v>
      </c>
      <c r="F30" s="18">
        <v>4</v>
      </c>
    </row>
    <row r="31" spans="1:6" x14ac:dyDescent="0.25">
      <c r="A31" s="2" t="s">
        <v>25</v>
      </c>
      <c r="B31" s="13">
        <v>5776047</v>
      </c>
      <c r="C31" s="13">
        <v>6527326</v>
      </c>
      <c r="D31" s="13">
        <v>7155887</v>
      </c>
      <c r="E31" s="13">
        <v>7834936</v>
      </c>
      <c r="F31" s="13">
        <v>8543438</v>
      </c>
    </row>
    <row r="32" spans="1:6" x14ac:dyDescent="0.25">
      <c r="A32" s="2"/>
      <c r="B32" s="13"/>
      <c r="C32" s="13"/>
      <c r="D32" s="13"/>
      <c r="E32" s="13"/>
      <c r="F32" s="13"/>
    </row>
    <row r="33" spans="1:8" x14ac:dyDescent="0.25">
      <c r="A33" s="2" t="s">
        <v>26</v>
      </c>
      <c r="B33" s="13"/>
      <c r="C33" s="13"/>
      <c r="D33" s="13"/>
      <c r="E33" s="13"/>
      <c r="F33" s="13"/>
    </row>
    <row r="34" spans="1:8" x14ac:dyDescent="0.25">
      <c r="A34" s="1" t="s">
        <v>46</v>
      </c>
      <c r="B34" s="11">
        <v>-18957</v>
      </c>
      <c r="C34" s="11">
        <v>-5832</v>
      </c>
      <c r="D34" s="11">
        <v>-30904</v>
      </c>
      <c r="E34" s="11">
        <v>-21392</v>
      </c>
      <c r="F34" s="11">
        <v>-33498</v>
      </c>
    </row>
    <row r="35" spans="1:8" x14ac:dyDescent="0.25">
      <c r="B35" s="5"/>
      <c r="C35" s="5"/>
      <c r="D35" s="5"/>
      <c r="E35" s="5"/>
      <c r="F35" s="5"/>
    </row>
    <row r="36" spans="1:8" x14ac:dyDescent="0.25">
      <c r="A36" s="115" t="s">
        <v>47</v>
      </c>
      <c r="B36" s="115"/>
      <c r="C36" s="115"/>
      <c r="D36" s="115"/>
      <c r="E36" s="115"/>
      <c r="F36" s="115"/>
    </row>
    <row r="37" spans="1:8" x14ac:dyDescent="0.25">
      <c r="A37" s="16" t="s">
        <v>48</v>
      </c>
      <c r="B37" s="13">
        <v>6018641</v>
      </c>
      <c r="C37" s="13">
        <v>6821056</v>
      </c>
      <c r="D37" s="13">
        <v>7463590</v>
      </c>
      <c r="E37" s="13">
        <v>8187508</v>
      </c>
      <c r="F37" s="13">
        <v>8927893</v>
      </c>
    </row>
    <row r="38" spans="1:8" x14ac:dyDescent="0.25">
      <c r="A38" s="16"/>
      <c r="B38" s="11"/>
      <c r="C38" s="11"/>
      <c r="D38" s="11"/>
      <c r="E38" s="11"/>
      <c r="F38" s="11"/>
    </row>
    <row r="39" spans="1:8" x14ac:dyDescent="0.25">
      <c r="A39" s="15" t="s">
        <v>49</v>
      </c>
      <c r="B39" s="11">
        <v>5553124</v>
      </c>
      <c r="C39" s="11">
        <v>6313480</v>
      </c>
      <c r="D39" s="11">
        <v>6934729</v>
      </c>
      <c r="E39" s="11">
        <v>7589921</v>
      </c>
      <c r="F39" s="11">
        <v>8284220</v>
      </c>
      <c r="H39" s="5"/>
    </row>
    <row r="40" spans="1:8" x14ac:dyDescent="0.25">
      <c r="A40" s="15" t="s">
        <v>50</v>
      </c>
      <c r="B40" s="11">
        <v>417895</v>
      </c>
      <c r="C40" s="11">
        <v>433338</v>
      </c>
      <c r="D40" s="11">
        <v>461336</v>
      </c>
      <c r="E40" s="11">
        <v>496045</v>
      </c>
      <c r="F40" s="11">
        <v>533012</v>
      </c>
    </row>
    <row r="41" spans="1:8" x14ac:dyDescent="0.25">
      <c r="A41" s="15" t="s">
        <v>54</v>
      </c>
      <c r="B41" s="11">
        <v>47622</v>
      </c>
      <c r="C41" s="11">
        <v>74238</v>
      </c>
      <c r="D41" s="11">
        <v>67525</v>
      </c>
      <c r="E41" s="11">
        <v>101542</v>
      </c>
      <c r="F41" s="11">
        <v>110661</v>
      </c>
    </row>
    <row r="42" spans="1:8" x14ac:dyDescent="0.25">
      <c r="A42" s="16" t="s">
        <v>25</v>
      </c>
      <c r="B42" s="13">
        <v>6018641</v>
      </c>
      <c r="C42" s="13">
        <v>6821056</v>
      </c>
      <c r="D42" s="13">
        <v>7463590</v>
      </c>
      <c r="E42" s="13">
        <v>8187508</v>
      </c>
      <c r="F42" s="13">
        <v>8927893</v>
      </c>
    </row>
    <row r="45" spans="1:8" x14ac:dyDescent="0.25">
      <c r="A45" s="1" t="s">
        <v>132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7BB0-722D-413E-9BDF-EB1C5B1B6D4F}">
  <sheetPr>
    <tabColor rgb="FFFFC000"/>
  </sheetPr>
  <dimension ref="A1:H48"/>
  <sheetViews>
    <sheetView zoomScaleNormal="100" workbookViewId="0"/>
  </sheetViews>
  <sheetFormatPr defaultColWidth="9.109375" defaultRowHeight="13.8" x14ac:dyDescent="0.25"/>
  <cols>
    <col min="1" max="1" width="30.33203125" style="1" customWidth="1"/>
    <col min="2" max="6" width="11.6640625" style="1" customWidth="1"/>
    <col min="7" max="16384" width="9.109375" style="1"/>
  </cols>
  <sheetData>
    <row r="1" spans="1:6" x14ac:dyDescent="0.25">
      <c r="A1" s="115" t="s">
        <v>30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</row>
    <row r="2" spans="1:6" x14ac:dyDescent="0.25">
      <c r="A2" s="115" t="s">
        <v>31</v>
      </c>
      <c r="B2" s="115"/>
      <c r="C2" s="6"/>
      <c r="D2" s="6"/>
      <c r="E2" s="6"/>
      <c r="F2" s="6"/>
    </row>
    <row r="3" spans="1:6" x14ac:dyDescent="0.25">
      <c r="A3" s="1" t="s">
        <v>140</v>
      </c>
      <c r="B3" s="6">
        <v>5616813</v>
      </c>
      <c r="C3" s="6">
        <v>6104047</v>
      </c>
      <c r="D3" s="6">
        <v>6715611</v>
      </c>
      <c r="E3" s="6">
        <v>7309356</v>
      </c>
      <c r="F3" s="6">
        <v>7843476</v>
      </c>
    </row>
    <row r="4" spans="1:6" x14ac:dyDescent="0.25">
      <c r="A4" s="17"/>
      <c r="B4" s="6"/>
      <c r="C4" s="6"/>
      <c r="D4" s="6"/>
      <c r="E4" s="6"/>
      <c r="F4" s="6"/>
    </row>
    <row r="5" spans="1:6" x14ac:dyDescent="0.25">
      <c r="A5" s="17" t="s">
        <v>141</v>
      </c>
      <c r="B5" s="6">
        <v>4601193</v>
      </c>
      <c r="C5" s="6">
        <v>4970266</v>
      </c>
      <c r="D5" s="6">
        <v>5496722</v>
      </c>
      <c r="E5" s="6">
        <v>5959568</v>
      </c>
      <c r="F5" s="6">
        <v>6374099</v>
      </c>
    </row>
    <row r="6" spans="1:6" x14ac:dyDescent="0.25">
      <c r="A6" s="17" t="s">
        <v>142</v>
      </c>
      <c r="B6" s="6">
        <v>846715</v>
      </c>
      <c r="C6" s="6">
        <v>916488</v>
      </c>
      <c r="D6" s="6">
        <v>943245</v>
      </c>
      <c r="E6" s="6">
        <v>871095</v>
      </c>
      <c r="F6" s="6">
        <v>896511</v>
      </c>
    </row>
    <row r="7" spans="1:6" x14ac:dyDescent="0.25">
      <c r="A7" s="14" t="s">
        <v>143</v>
      </c>
      <c r="B7" s="8">
        <v>5447908</v>
      </c>
      <c r="C7" s="8">
        <v>5886754</v>
      </c>
      <c r="D7" s="8">
        <v>6439967</v>
      </c>
      <c r="E7" s="8">
        <v>6830663</v>
      </c>
      <c r="F7" s="8">
        <v>7270610</v>
      </c>
    </row>
    <row r="8" spans="1:6" x14ac:dyDescent="0.25">
      <c r="A8" s="14"/>
      <c r="B8" s="8"/>
      <c r="C8" s="8"/>
      <c r="D8" s="8"/>
      <c r="E8" s="8"/>
      <c r="F8" s="8"/>
    </row>
    <row r="9" spans="1:6" x14ac:dyDescent="0.25">
      <c r="A9" s="14" t="s">
        <v>6</v>
      </c>
      <c r="B9" s="8">
        <v>38757</v>
      </c>
      <c r="C9" s="8">
        <v>47601</v>
      </c>
      <c r="D9" s="8">
        <v>52748</v>
      </c>
      <c r="E9" s="8">
        <v>59420</v>
      </c>
      <c r="F9" s="8">
        <v>69010</v>
      </c>
    </row>
    <row r="10" spans="1:6" x14ac:dyDescent="0.25">
      <c r="A10" s="14"/>
      <c r="B10" s="8"/>
      <c r="C10" s="8"/>
      <c r="D10" s="8"/>
      <c r="E10" s="8"/>
      <c r="F10" s="8"/>
    </row>
    <row r="11" spans="1:6" x14ac:dyDescent="0.25">
      <c r="A11" s="14" t="s">
        <v>12</v>
      </c>
      <c r="B11" s="8">
        <v>207662</v>
      </c>
      <c r="C11" s="8">
        <v>264894</v>
      </c>
      <c r="D11" s="8">
        <v>328392</v>
      </c>
      <c r="E11" s="8">
        <v>538113</v>
      </c>
      <c r="F11" s="8">
        <v>641876</v>
      </c>
    </row>
    <row r="12" spans="1:6" x14ac:dyDescent="0.25">
      <c r="A12" s="14" t="s">
        <v>42</v>
      </c>
      <c r="B12" s="8">
        <v>58145</v>
      </c>
      <c r="C12" s="8">
        <v>74170</v>
      </c>
      <c r="D12" s="8">
        <v>91950</v>
      </c>
      <c r="E12" s="8">
        <v>150672</v>
      </c>
      <c r="F12" s="8">
        <v>179725</v>
      </c>
    </row>
    <row r="13" spans="1:6" x14ac:dyDescent="0.25">
      <c r="A13" s="14" t="s">
        <v>14</v>
      </c>
      <c r="B13" s="8">
        <v>149517</v>
      </c>
      <c r="C13" s="8">
        <v>190724</v>
      </c>
      <c r="D13" s="8">
        <v>236442</v>
      </c>
      <c r="E13" s="8">
        <v>387441</v>
      </c>
      <c r="F13" s="8">
        <v>462151</v>
      </c>
    </row>
    <row r="14" spans="1:6" x14ac:dyDescent="0.25">
      <c r="A14" s="14"/>
      <c r="B14" s="6"/>
      <c r="C14" s="6"/>
      <c r="D14" s="6"/>
      <c r="E14" s="6"/>
      <c r="F14" s="6"/>
    </row>
    <row r="15" spans="1:6" x14ac:dyDescent="0.25">
      <c r="A15" s="115" t="s">
        <v>43</v>
      </c>
      <c r="B15" s="6"/>
      <c r="C15" s="6"/>
      <c r="D15" s="6"/>
      <c r="E15" s="6"/>
      <c r="F15" s="6"/>
    </row>
    <row r="16" spans="1:6" x14ac:dyDescent="0.25">
      <c r="A16" s="7" t="s">
        <v>18</v>
      </c>
      <c r="B16" s="8">
        <v>2395617</v>
      </c>
      <c r="C16" s="8">
        <v>2676133</v>
      </c>
      <c r="D16" s="8">
        <v>3014708</v>
      </c>
      <c r="E16" s="8">
        <v>3501303</v>
      </c>
      <c r="F16" s="8">
        <v>3940930</v>
      </c>
    </row>
    <row r="17" spans="1:6" x14ac:dyDescent="0.25">
      <c r="B17" s="6"/>
      <c r="C17" s="6"/>
      <c r="D17" s="6"/>
      <c r="E17" s="6"/>
      <c r="F17" s="6"/>
    </row>
    <row r="18" spans="1:6" ht="27.6" x14ac:dyDescent="0.25">
      <c r="A18" s="25" t="s">
        <v>144</v>
      </c>
      <c r="B18" s="6">
        <v>603808</v>
      </c>
      <c r="C18" s="6">
        <v>671445</v>
      </c>
      <c r="D18" s="6">
        <v>738717</v>
      </c>
      <c r="E18" s="6">
        <v>804028</v>
      </c>
      <c r="F18" s="6">
        <v>862783</v>
      </c>
    </row>
    <row r="19" spans="1:6" x14ac:dyDescent="0.25">
      <c r="A19" s="17" t="s">
        <v>145</v>
      </c>
      <c r="B19" s="6">
        <v>325775</v>
      </c>
      <c r="C19" s="6">
        <v>347931</v>
      </c>
      <c r="D19" s="6">
        <v>382791</v>
      </c>
      <c r="E19" s="6">
        <v>416634</v>
      </c>
      <c r="F19" s="6">
        <v>447078</v>
      </c>
    </row>
    <row r="20" spans="1:6" x14ac:dyDescent="0.25">
      <c r="A20" s="7" t="s">
        <v>23</v>
      </c>
      <c r="B20" s="8">
        <v>929583</v>
      </c>
      <c r="C20" s="8">
        <v>1019376</v>
      </c>
      <c r="D20" s="8">
        <v>1121508</v>
      </c>
      <c r="E20" s="8">
        <v>1220662</v>
      </c>
      <c r="F20" s="8">
        <v>1309861</v>
      </c>
    </row>
    <row r="21" spans="1:6" x14ac:dyDescent="0.25">
      <c r="A21" s="7"/>
      <c r="B21" s="6"/>
      <c r="C21" s="6"/>
      <c r="D21" s="6"/>
      <c r="E21" s="6"/>
      <c r="F21" s="6"/>
    </row>
    <row r="22" spans="1:6" x14ac:dyDescent="0.25">
      <c r="A22" s="7" t="s">
        <v>24</v>
      </c>
      <c r="B22" s="8">
        <v>1466034</v>
      </c>
      <c r="C22" s="8">
        <v>1656757</v>
      </c>
      <c r="D22" s="8">
        <v>1893200</v>
      </c>
      <c r="E22" s="8">
        <v>2280641</v>
      </c>
      <c r="F22" s="8">
        <v>2631069</v>
      </c>
    </row>
    <row r="23" spans="1:6" x14ac:dyDescent="0.25">
      <c r="A23" s="17" t="s">
        <v>57</v>
      </c>
      <c r="B23" s="26">
        <v>6.2449443818102814</v>
      </c>
      <c r="C23" s="26">
        <v>6.475227402414335</v>
      </c>
      <c r="D23" s="26">
        <v>6.7059259001253313</v>
      </c>
      <c r="E23" s="26">
        <v>6.9999973104817519</v>
      </c>
      <c r="F23" s="26">
        <v>7</v>
      </c>
    </row>
    <row r="24" spans="1:6" x14ac:dyDescent="0.25">
      <c r="A24" s="7" t="s">
        <v>25</v>
      </c>
      <c r="B24" s="8">
        <v>2395617</v>
      </c>
      <c r="C24" s="8">
        <v>2676133</v>
      </c>
      <c r="D24" s="8">
        <v>3014708</v>
      </c>
      <c r="E24" s="8">
        <v>3501303</v>
      </c>
      <c r="F24" s="8">
        <v>3940930</v>
      </c>
    </row>
    <row r="25" spans="1:6" x14ac:dyDescent="0.25">
      <c r="B25" s="6"/>
      <c r="C25" s="6"/>
      <c r="D25" s="6"/>
      <c r="E25" s="6"/>
      <c r="F25" s="6"/>
    </row>
    <row r="26" spans="1:6" x14ac:dyDescent="0.25">
      <c r="A26" s="7" t="s">
        <v>26</v>
      </c>
      <c r="B26" s="6"/>
      <c r="C26" s="6"/>
      <c r="D26" s="6"/>
      <c r="E26" s="6"/>
      <c r="F26" s="6"/>
    </row>
    <row r="27" spans="1:6" x14ac:dyDescent="0.25">
      <c r="A27" s="1" t="s">
        <v>51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ht="27.6" x14ac:dyDescent="0.25">
      <c r="A28" s="24" t="s">
        <v>46</v>
      </c>
      <c r="B28" s="6">
        <v>0</v>
      </c>
      <c r="C28" s="6">
        <v>0</v>
      </c>
      <c r="D28" s="6">
        <v>0</v>
      </c>
      <c r="E28" s="6">
        <v>0</v>
      </c>
      <c r="F28" s="6">
        <v>-111723</v>
      </c>
    </row>
    <row r="29" spans="1:6" x14ac:dyDescent="0.25">
      <c r="B29" s="6"/>
      <c r="C29" s="6"/>
      <c r="D29" s="6"/>
      <c r="E29" s="6"/>
      <c r="F29" s="6"/>
    </row>
    <row r="30" spans="1:6" x14ac:dyDescent="0.25">
      <c r="A30" s="115" t="s">
        <v>47</v>
      </c>
      <c r="B30" s="115"/>
      <c r="C30" s="6"/>
      <c r="D30" s="6"/>
      <c r="E30" s="6"/>
      <c r="F30" s="6"/>
    </row>
    <row r="31" spans="1:6" x14ac:dyDescent="0.25">
      <c r="A31" s="7" t="s">
        <v>48</v>
      </c>
      <c r="B31" s="8">
        <v>2904226</v>
      </c>
      <c r="C31" s="8">
        <v>3242145</v>
      </c>
      <c r="D31" s="8">
        <v>3652198</v>
      </c>
      <c r="E31" s="8">
        <v>4222212</v>
      </c>
      <c r="F31" s="8">
        <v>4737265</v>
      </c>
    </row>
    <row r="32" spans="1:6" x14ac:dyDescent="0.25">
      <c r="A32" s="7"/>
      <c r="B32" s="6"/>
      <c r="C32" s="6"/>
      <c r="D32" s="6"/>
      <c r="E32" s="6"/>
      <c r="F32" s="6"/>
    </row>
    <row r="33" spans="1:8" x14ac:dyDescent="0.25">
      <c r="A33" s="9" t="s">
        <v>49</v>
      </c>
      <c r="B33" s="6">
        <v>1194800</v>
      </c>
      <c r="C33" s="6">
        <v>1314025</v>
      </c>
      <c r="D33" s="6">
        <v>1450116</v>
      </c>
      <c r="E33" s="6">
        <v>1582674</v>
      </c>
      <c r="F33" s="6">
        <v>1703080</v>
      </c>
      <c r="H33" s="5"/>
    </row>
    <row r="34" spans="1:8" x14ac:dyDescent="0.25">
      <c r="A34" s="9" t="s">
        <v>50</v>
      </c>
      <c r="B34" s="6">
        <v>1540985</v>
      </c>
      <c r="C34" s="6">
        <v>1740822</v>
      </c>
      <c r="D34" s="6">
        <v>1991265</v>
      </c>
      <c r="E34" s="6">
        <v>2390936</v>
      </c>
      <c r="F34" s="6">
        <v>2752797</v>
      </c>
    </row>
    <row r="35" spans="1:8" x14ac:dyDescent="0.25">
      <c r="A35" s="9" t="s">
        <v>54</v>
      </c>
      <c r="B35" s="6">
        <v>168442</v>
      </c>
      <c r="C35" s="6">
        <v>187299</v>
      </c>
      <c r="D35" s="6">
        <v>210818</v>
      </c>
      <c r="E35" s="6">
        <v>248601</v>
      </c>
      <c r="F35" s="6">
        <v>281388</v>
      </c>
    </row>
    <row r="36" spans="1:8" x14ac:dyDescent="0.25">
      <c r="A36" s="7" t="s">
        <v>25</v>
      </c>
      <c r="B36" s="8">
        <v>2904227</v>
      </c>
      <c r="C36" s="8">
        <v>3242146</v>
      </c>
      <c r="D36" s="8">
        <v>3652199</v>
      </c>
      <c r="E36" s="8">
        <v>4222211</v>
      </c>
      <c r="F36" s="8">
        <v>4737265</v>
      </c>
    </row>
    <row r="37" spans="1:8" x14ac:dyDescent="0.25">
      <c r="B37" s="6"/>
      <c r="C37" s="6"/>
      <c r="D37" s="6"/>
      <c r="E37" s="6"/>
      <c r="F37" s="6"/>
    </row>
    <row r="38" spans="1:8" x14ac:dyDescent="0.25">
      <c r="A38" s="115" t="s">
        <v>146</v>
      </c>
      <c r="B38" s="6"/>
      <c r="C38" s="6"/>
      <c r="D38" s="6"/>
      <c r="E38" s="6"/>
      <c r="F38" s="6"/>
    </row>
    <row r="39" spans="1:8" x14ac:dyDescent="0.25">
      <c r="A39" s="1" t="s">
        <v>147</v>
      </c>
      <c r="B39" s="6"/>
      <c r="C39" s="6"/>
      <c r="D39" s="6"/>
      <c r="E39" s="6"/>
      <c r="F39" s="6"/>
    </row>
    <row r="40" spans="1:8" x14ac:dyDescent="0.25">
      <c r="A40" s="1" t="s">
        <v>148</v>
      </c>
      <c r="B40" s="6">
        <v>6113.4631600268822</v>
      </c>
      <c r="C40" s="6">
        <v>6343.7182891386492</v>
      </c>
      <c r="D40" s="6">
        <v>6670.582166489613</v>
      </c>
      <c r="E40" s="6">
        <v>6973.9181788882661</v>
      </c>
      <c r="F40" s="6">
        <v>7181.2380929335786</v>
      </c>
    </row>
    <row r="41" spans="1:8" x14ac:dyDescent="0.25">
      <c r="A41" s="1" t="s">
        <v>149</v>
      </c>
      <c r="B41" s="6">
        <v>15634.568203603532</v>
      </c>
      <c r="C41" s="6">
        <v>16461.049453690903</v>
      </c>
      <c r="D41" s="6">
        <v>17010.210774259103</v>
      </c>
      <c r="E41" s="6">
        <v>17628.626787611604</v>
      </c>
      <c r="F41" s="6">
        <v>18212.631829364527</v>
      </c>
    </row>
    <row r="42" spans="1:8" x14ac:dyDescent="0.25">
      <c r="B42" s="6"/>
      <c r="C42" s="6"/>
      <c r="D42" s="6"/>
      <c r="E42" s="6"/>
      <c r="F42" s="6"/>
    </row>
    <row r="43" spans="1:8" x14ac:dyDescent="0.25">
      <c r="A43" s="1" t="s">
        <v>150</v>
      </c>
      <c r="B43" s="6"/>
      <c r="C43" s="6"/>
      <c r="D43" s="6"/>
      <c r="E43" s="6"/>
      <c r="F43" s="6"/>
    </row>
    <row r="44" spans="1:8" x14ac:dyDescent="0.25">
      <c r="A44" s="1" t="s">
        <v>151</v>
      </c>
      <c r="B44" s="6">
        <v>4758.9935256987319</v>
      </c>
      <c r="C44" s="6">
        <v>4502.389095589333</v>
      </c>
      <c r="D44" s="6">
        <v>4515.5862537883359</v>
      </c>
      <c r="E44" s="6">
        <v>4520.2349736674087</v>
      </c>
      <c r="F44" s="6">
        <v>4519.9982115970324</v>
      </c>
    </row>
    <row r="45" spans="1:8" x14ac:dyDescent="0.25">
      <c r="A45" s="1" t="s">
        <v>152</v>
      </c>
      <c r="B45" s="6">
        <v>428.3094173128859</v>
      </c>
      <c r="C45" s="6">
        <v>391.70785131627196</v>
      </c>
      <c r="D45" s="6">
        <v>388.34041782579686</v>
      </c>
      <c r="E45" s="6">
        <v>388.74020773539712</v>
      </c>
      <c r="F45" s="6">
        <v>388.71984619734468</v>
      </c>
    </row>
    <row r="48" spans="1:8" x14ac:dyDescent="0.25">
      <c r="A48" s="1" t="s">
        <v>132</v>
      </c>
    </row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149ED-1C98-4ABE-8CCE-9B3B863C22E1}">
  <sheetPr>
    <tabColor rgb="FFFFC000"/>
  </sheetPr>
  <dimension ref="A1:H42"/>
  <sheetViews>
    <sheetView zoomScaleNormal="100" workbookViewId="0"/>
  </sheetViews>
  <sheetFormatPr defaultColWidth="9.109375" defaultRowHeight="13.8" x14ac:dyDescent="0.25"/>
  <cols>
    <col min="1" max="1" width="31.6640625" style="1" customWidth="1"/>
    <col min="2" max="6" width="11.6640625" style="1" customWidth="1"/>
    <col min="7" max="16384" width="9.109375" style="1"/>
  </cols>
  <sheetData>
    <row r="1" spans="1:6" x14ac:dyDescent="0.25">
      <c r="A1" s="115" t="s">
        <v>30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</row>
    <row r="2" spans="1:6" x14ac:dyDescent="0.25">
      <c r="A2" s="115" t="s">
        <v>31</v>
      </c>
      <c r="B2" s="115"/>
      <c r="C2" s="5"/>
      <c r="D2" s="5"/>
      <c r="E2" s="5"/>
      <c r="F2" s="5"/>
    </row>
    <row r="3" spans="1:6" x14ac:dyDescent="0.25">
      <c r="A3" s="14" t="s">
        <v>153</v>
      </c>
      <c r="B3" s="5"/>
      <c r="C3" s="5"/>
      <c r="D3" s="5"/>
      <c r="E3" s="5"/>
      <c r="F3" s="5"/>
    </row>
    <row r="4" spans="1:6" x14ac:dyDescent="0.25">
      <c r="A4" s="1" t="s">
        <v>154</v>
      </c>
      <c r="B4" s="6">
        <v>951566</v>
      </c>
      <c r="C4" s="6">
        <v>875810</v>
      </c>
      <c r="D4" s="6">
        <v>834179</v>
      </c>
      <c r="E4" s="6">
        <v>856423</v>
      </c>
      <c r="F4" s="6">
        <v>879265</v>
      </c>
    </row>
    <row r="5" spans="1:6" ht="27.6" x14ac:dyDescent="0.25">
      <c r="A5" s="22" t="s">
        <v>155</v>
      </c>
      <c r="B5" s="6">
        <v>629122</v>
      </c>
      <c r="C5" s="6">
        <v>663278</v>
      </c>
      <c r="D5" s="6">
        <v>601501</v>
      </c>
      <c r="E5" s="6">
        <v>619498</v>
      </c>
      <c r="F5" s="6">
        <v>641395</v>
      </c>
    </row>
    <row r="6" spans="1:6" x14ac:dyDescent="0.25">
      <c r="A6" s="17"/>
      <c r="B6" s="6"/>
      <c r="C6" s="6"/>
      <c r="D6" s="6"/>
      <c r="E6" s="6"/>
      <c r="F6" s="6"/>
    </row>
    <row r="7" spans="1:6" x14ac:dyDescent="0.25">
      <c r="A7" s="14" t="s">
        <v>39</v>
      </c>
      <c r="B7" s="8">
        <v>237596</v>
      </c>
      <c r="C7" s="8">
        <v>207568</v>
      </c>
      <c r="D7" s="8">
        <v>209049</v>
      </c>
      <c r="E7" s="8">
        <v>209433</v>
      </c>
      <c r="F7" s="8">
        <v>210518</v>
      </c>
    </row>
    <row r="8" spans="1:6" x14ac:dyDescent="0.25">
      <c r="A8" s="14"/>
      <c r="B8" s="6"/>
      <c r="C8" s="6"/>
      <c r="D8" s="6"/>
      <c r="E8" s="6"/>
      <c r="F8" s="6"/>
    </row>
    <row r="9" spans="1:6" x14ac:dyDescent="0.25">
      <c r="A9" s="14" t="s">
        <v>156</v>
      </c>
      <c r="B9" s="8">
        <v>84848</v>
      </c>
      <c r="C9" s="8">
        <v>4964</v>
      </c>
      <c r="D9" s="8">
        <v>23629</v>
      </c>
      <c r="E9" s="8">
        <v>27492</v>
      </c>
      <c r="F9" s="8">
        <v>27352</v>
      </c>
    </row>
    <row r="10" spans="1:6" x14ac:dyDescent="0.25">
      <c r="A10" s="17"/>
      <c r="B10" s="6"/>
      <c r="C10" s="6"/>
      <c r="D10" s="6"/>
      <c r="E10" s="6"/>
      <c r="F10" s="6"/>
    </row>
    <row r="11" spans="1:6" x14ac:dyDescent="0.25">
      <c r="A11" s="14" t="s">
        <v>6</v>
      </c>
      <c r="B11" s="8">
        <v>47569</v>
      </c>
      <c r="C11" s="8">
        <v>45890</v>
      </c>
      <c r="D11" s="8">
        <v>48036</v>
      </c>
      <c r="E11" s="8">
        <v>49029</v>
      </c>
      <c r="F11" s="8">
        <v>49847</v>
      </c>
    </row>
    <row r="12" spans="1:6" x14ac:dyDescent="0.25">
      <c r="A12" s="14"/>
      <c r="B12" s="8"/>
      <c r="C12" s="8"/>
      <c r="D12" s="8"/>
      <c r="E12" s="8"/>
      <c r="F12" s="8"/>
    </row>
    <row r="13" spans="1:6" x14ac:dyDescent="0.25">
      <c r="A13" s="14" t="s">
        <v>12</v>
      </c>
      <c r="B13" s="8">
        <v>132417</v>
      </c>
      <c r="C13" s="8">
        <v>50854</v>
      </c>
      <c r="D13" s="8">
        <v>71665</v>
      </c>
      <c r="E13" s="8">
        <v>76521</v>
      </c>
      <c r="F13" s="8">
        <v>77199</v>
      </c>
    </row>
    <row r="14" spans="1:6" x14ac:dyDescent="0.25">
      <c r="A14" s="14" t="s">
        <v>42</v>
      </c>
      <c r="B14" s="8">
        <v>33104</v>
      </c>
      <c r="C14" s="8">
        <v>12714</v>
      </c>
      <c r="D14" s="8">
        <v>17916</v>
      </c>
      <c r="E14" s="8">
        <v>19130</v>
      </c>
      <c r="F14" s="8">
        <v>19300</v>
      </c>
    </row>
    <row r="15" spans="1:6" x14ac:dyDescent="0.25">
      <c r="A15" s="14" t="s">
        <v>14</v>
      </c>
      <c r="B15" s="8">
        <v>99313</v>
      </c>
      <c r="C15" s="8">
        <v>38141</v>
      </c>
      <c r="D15" s="8">
        <v>53749</v>
      </c>
      <c r="E15" s="8">
        <v>57391</v>
      </c>
      <c r="F15" s="8">
        <v>57899</v>
      </c>
    </row>
    <row r="16" spans="1:6" x14ac:dyDescent="0.25">
      <c r="A16" s="14"/>
      <c r="B16" s="6"/>
      <c r="C16" s="6"/>
      <c r="D16" s="6"/>
      <c r="E16" s="6"/>
      <c r="F16" s="6"/>
    </row>
    <row r="17" spans="1:6" x14ac:dyDescent="0.25">
      <c r="A17" s="115" t="s">
        <v>43</v>
      </c>
      <c r="B17" s="6"/>
      <c r="C17" s="6"/>
      <c r="D17" s="6"/>
      <c r="E17" s="6"/>
      <c r="F17" s="6"/>
    </row>
    <row r="18" spans="1:6" x14ac:dyDescent="0.25">
      <c r="A18" s="7" t="s">
        <v>18</v>
      </c>
      <c r="B18" s="8">
        <v>3224866</v>
      </c>
      <c r="C18" s="8">
        <v>3268566</v>
      </c>
      <c r="D18" s="8">
        <v>3318208</v>
      </c>
      <c r="E18" s="8">
        <v>3364294</v>
      </c>
      <c r="F18" s="8">
        <v>3467486</v>
      </c>
    </row>
    <row r="19" spans="1:6" x14ac:dyDescent="0.25">
      <c r="B19" s="6"/>
      <c r="C19" s="6"/>
      <c r="D19" s="6"/>
      <c r="E19" s="6"/>
      <c r="F19" s="6"/>
    </row>
    <row r="20" spans="1:6" x14ac:dyDescent="0.25">
      <c r="A20" s="9" t="s">
        <v>157</v>
      </c>
      <c r="B20" s="6">
        <v>1391689</v>
      </c>
      <c r="C20" s="6">
        <v>1482202</v>
      </c>
      <c r="D20" s="6">
        <v>1536299</v>
      </c>
      <c r="E20" s="6">
        <v>1586024</v>
      </c>
      <c r="F20" s="6">
        <v>1646908</v>
      </c>
    </row>
    <row r="21" spans="1:6" x14ac:dyDescent="0.25">
      <c r="A21" s="17" t="s">
        <v>158</v>
      </c>
      <c r="B21" s="6">
        <v>464207</v>
      </c>
      <c r="C21" s="6">
        <v>411602</v>
      </c>
      <c r="D21" s="6">
        <v>422577</v>
      </c>
      <c r="E21" s="6">
        <v>433847</v>
      </c>
      <c r="F21" s="6">
        <v>445418</v>
      </c>
    </row>
    <row r="22" spans="1:6" x14ac:dyDescent="0.25">
      <c r="A22" s="17" t="s">
        <v>145</v>
      </c>
      <c r="B22" s="6">
        <v>263670</v>
      </c>
      <c r="C22" s="6">
        <v>231321</v>
      </c>
      <c r="D22" s="6">
        <v>240869</v>
      </c>
      <c r="E22" s="6">
        <v>247293</v>
      </c>
      <c r="F22" s="6">
        <v>253889</v>
      </c>
    </row>
    <row r="23" spans="1:6" x14ac:dyDescent="0.25">
      <c r="A23" s="7" t="s">
        <v>23</v>
      </c>
      <c r="B23" s="8">
        <v>2119566</v>
      </c>
      <c r="C23" s="8">
        <v>2125125</v>
      </c>
      <c r="D23" s="8">
        <v>2199745</v>
      </c>
      <c r="E23" s="8">
        <v>2267164</v>
      </c>
      <c r="F23" s="8">
        <v>2346215</v>
      </c>
    </row>
    <row r="24" spans="1:6" x14ac:dyDescent="0.25">
      <c r="A24" s="7"/>
      <c r="B24" s="6"/>
      <c r="C24" s="6"/>
      <c r="D24" s="6"/>
      <c r="E24" s="6"/>
      <c r="F24" s="6"/>
    </row>
    <row r="25" spans="1:6" x14ac:dyDescent="0.25">
      <c r="A25" s="7" t="s">
        <v>24</v>
      </c>
      <c r="B25" s="8">
        <v>1105300</v>
      </c>
      <c r="C25" s="8">
        <v>1143441</v>
      </c>
      <c r="D25" s="8">
        <v>1118463</v>
      </c>
      <c r="E25" s="8">
        <v>1097130</v>
      </c>
      <c r="F25" s="8">
        <v>1121271</v>
      </c>
    </row>
    <row r="26" spans="1:6" x14ac:dyDescent="0.25">
      <c r="A26" s="7" t="s">
        <v>57</v>
      </c>
      <c r="B26" s="23">
        <v>3.8230638326468336</v>
      </c>
      <c r="C26" s="23">
        <v>4.0000005366983613</v>
      </c>
      <c r="D26" s="23">
        <v>3.9999994504105434</v>
      </c>
      <c r="E26" s="23">
        <v>3.9999989252500674</v>
      </c>
      <c r="F26" s="23">
        <v>4</v>
      </c>
    </row>
    <row r="27" spans="1:6" x14ac:dyDescent="0.25">
      <c r="A27" s="7" t="s">
        <v>25</v>
      </c>
      <c r="B27" s="8">
        <v>3224866</v>
      </c>
      <c r="C27" s="8">
        <v>3268566</v>
      </c>
      <c r="D27" s="8">
        <v>3318208</v>
      </c>
      <c r="E27" s="8">
        <v>3364294</v>
      </c>
      <c r="F27" s="8">
        <v>3467486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7" t="s">
        <v>26</v>
      </c>
      <c r="B29" s="6"/>
      <c r="C29" s="6"/>
      <c r="D29" s="6"/>
      <c r="E29" s="6"/>
      <c r="F29" s="6"/>
    </row>
    <row r="30" spans="1:6" x14ac:dyDescent="0.25">
      <c r="A30" s="1" t="s">
        <v>51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ht="27.6" x14ac:dyDescent="0.25">
      <c r="A31" s="24" t="s">
        <v>46</v>
      </c>
      <c r="B31" s="6">
        <v>0</v>
      </c>
      <c r="C31" s="6">
        <v>0</v>
      </c>
      <c r="D31" s="6">
        <v>-78726</v>
      </c>
      <c r="E31" s="6">
        <v>-78724</v>
      </c>
      <c r="F31" s="6">
        <v>-33759</v>
      </c>
    </row>
    <row r="32" spans="1:6" x14ac:dyDescent="0.25">
      <c r="B32" s="6"/>
      <c r="C32" s="6"/>
      <c r="D32" s="6"/>
      <c r="E32" s="6"/>
      <c r="F32" s="6"/>
    </row>
    <row r="33" spans="1:8" x14ac:dyDescent="0.25">
      <c r="A33" s="115" t="s">
        <v>47</v>
      </c>
      <c r="B33" s="115"/>
      <c r="C33" s="6"/>
      <c r="D33" s="6"/>
      <c r="E33" s="6"/>
      <c r="F33" s="6"/>
    </row>
    <row r="34" spans="1:8" x14ac:dyDescent="0.25">
      <c r="A34" s="7" t="s">
        <v>48</v>
      </c>
      <c r="B34" s="8">
        <v>3239281</v>
      </c>
      <c r="C34" s="8">
        <v>3225673</v>
      </c>
      <c r="D34" s="8">
        <v>3281230</v>
      </c>
      <c r="E34" s="8">
        <v>3357977</v>
      </c>
      <c r="F34" s="8">
        <v>3472568</v>
      </c>
    </row>
    <row r="35" spans="1:8" x14ac:dyDescent="0.25">
      <c r="A35" s="7"/>
      <c r="B35" s="6"/>
      <c r="C35" s="6"/>
      <c r="D35" s="6"/>
      <c r="E35" s="6"/>
      <c r="F35" s="6"/>
    </row>
    <row r="36" spans="1:8" x14ac:dyDescent="0.25">
      <c r="A36" s="9" t="s">
        <v>49</v>
      </c>
      <c r="B36" s="6">
        <v>2021433</v>
      </c>
      <c r="C36" s="6">
        <v>2035457</v>
      </c>
      <c r="D36" s="6">
        <v>2115642</v>
      </c>
      <c r="E36" s="6">
        <v>2189556</v>
      </c>
      <c r="F36" s="6">
        <v>2275326</v>
      </c>
      <c r="H36" s="5"/>
    </row>
    <row r="37" spans="1:8" x14ac:dyDescent="0.25">
      <c r="A37" s="9" t="s">
        <v>50</v>
      </c>
      <c r="B37" s="6">
        <v>1053656</v>
      </c>
      <c r="C37" s="6">
        <v>973777</v>
      </c>
      <c r="D37" s="6">
        <v>954680</v>
      </c>
      <c r="E37" s="6">
        <v>978746</v>
      </c>
      <c r="F37" s="6">
        <v>1006720</v>
      </c>
    </row>
    <row r="38" spans="1:8" x14ac:dyDescent="0.25">
      <c r="A38" s="9" t="s">
        <v>54</v>
      </c>
      <c r="B38" s="6">
        <v>164192</v>
      </c>
      <c r="C38" s="6">
        <v>216439</v>
      </c>
      <c r="D38" s="6">
        <v>210908</v>
      </c>
      <c r="E38" s="6">
        <v>189675</v>
      </c>
      <c r="F38" s="6">
        <v>190522</v>
      </c>
    </row>
    <row r="39" spans="1:8" x14ac:dyDescent="0.25">
      <c r="A39" s="7" t="s">
        <v>25</v>
      </c>
      <c r="B39" s="8">
        <v>3239281</v>
      </c>
      <c r="C39" s="8">
        <v>3225673</v>
      </c>
      <c r="D39" s="8">
        <v>3281230</v>
      </c>
      <c r="E39" s="8">
        <v>3357977</v>
      </c>
      <c r="F39" s="8">
        <v>3472568</v>
      </c>
    </row>
    <row r="42" spans="1:8" x14ac:dyDescent="0.25">
      <c r="A42" s="1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9CF3-89BB-4329-9075-2CAF4D5EE6FF}">
  <sheetPr>
    <tabColor rgb="FF0000FF"/>
  </sheetPr>
  <dimension ref="A1:P99"/>
  <sheetViews>
    <sheetView showGridLines="0" zoomScaleNormal="100" workbookViewId="0"/>
  </sheetViews>
  <sheetFormatPr defaultColWidth="9.109375" defaultRowHeight="13.8" x14ac:dyDescent="0.25"/>
  <cols>
    <col min="1" max="1" width="22.33203125" style="1" customWidth="1"/>
    <col min="2" max="2" width="15" style="1" customWidth="1"/>
    <col min="3" max="3" width="13.33203125" style="1" customWidth="1"/>
    <col min="4" max="4" width="9.88671875" style="1" customWidth="1"/>
    <col min="5" max="5" width="13.5546875" style="1" bestFit="1" customWidth="1"/>
    <col min="6" max="6" width="12.33203125" style="1" customWidth="1"/>
    <col min="7" max="7" width="11.109375" style="1" customWidth="1"/>
    <col min="8" max="8" width="12.88671875" style="1" customWidth="1"/>
    <col min="9" max="9" width="15" style="1" customWidth="1"/>
    <col min="10" max="10" width="16.6640625" style="1" customWidth="1"/>
    <col min="11" max="11" width="18.6640625" style="1" customWidth="1"/>
    <col min="12" max="12" width="14.109375" style="1" customWidth="1"/>
    <col min="13" max="13" width="17.109375" style="1" customWidth="1"/>
    <col min="14" max="14" width="19.6640625" style="1" customWidth="1"/>
    <col min="15" max="15" width="17.6640625" style="1" customWidth="1"/>
    <col min="16" max="16" width="19.5546875" style="1" customWidth="1"/>
    <col min="17" max="16384" width="9.109375" style="1"/>
  </cols>
  <sheetData>
    <row r="1" spans="1:15" x14ac:dyDescent="0.25">
      <c r="A1" s="28" t="s">
        <v>133</v>
      </c>
    </row>
    <row r="2" spans="1:15" x14ac:dyDescent="0.25">
      <c r="A2" s="28" t="s">
        <v>134</v>
      </c>
    </row>
    <row r="3" spans="1:15" x14ac:dyDescent="0.25">
      <c r="A3" s="28" t="s">
        <v>135</v>
      </c>
    </row>
    <row r="4" spans="1:15" x14ac:dyDescent="0.25">
      <c r="A4" s="28" t="s">
        <v>136</v>
      </c>
    </row>
    <row r="5" spans="1:15" x14ac:dyDescent="0.25">
      <c r="A5" s="28" t="s">
        <v>137</v>
      </c>
    </row>
    <row r="6" spans="1:15" x14ac:dyDescent="0.25">
      <c r="A6" s="28" t="s">
        <v>138</v>
      </c>
    </row>
    <row r="7" spans="1:15" x14ac:dyDescent="0.25">
      <c r="A7" s="2"/>
      <c r="C7" s="29"/>
    </row>
    <row r="8" spans="1:15" x14ac:dyDescent="0.25">
      <c r="A8" s="30" t="s">
        <v>159</v>
      </c>
      <c r="B8" s="31">
        <v>0.03</v>
      </c>
    </row>
    <row r="9" spans="1:15" x14ac:dyDescent="0.25">
      <c r="A9" s="30" t="s">
        <v>139</v>
      </c>
      <c r="B9" s="31">
        <v>0.3</v>
      </c>
    </row>
    <row r="10" spans="1:15" x14ac:dyDescent="0.25">
      <c r="A10" s="30" t="s">
        <v>160</v>
      </c>
      <c r="B10" s="32">
        <v>1</v>
      </c>
    </row>
    <row r="11" spans="1:15" x14ac:dyDescent="0.25">
      <c r="A11" s="30" t="s">
        <v>161</v>
      </c>
      <c r="B11" s="33">
        <v>30000000</v>
      </c>
    </row>
    <row r="12" spans="1:15" x14ac:dyDescent="0.25">
      <c r="A12" s="30" t="s">
        <v>162</v>
      </c>
      <c r="B12" s="31">
        <v>0.03</v>
      </c>
    </row>
    <row r="13" spans="1:15" x14ac:dyDescent="0.25">
      <c r="A13" s="30" t="s">
        <v>163</v>
      </c>
      <c r="B13" s="159">
        <v>200</v>
      </c>
      <c r="C13" s="1" t="s">
        <v>164</v>
      </c>
    </row>
    <row r="14" spans="1:15" x14ac:dyDescent="0.25">
      <c r="A14" s="30" t="s">
        <v>165</v>
      </c>
      <c r="B14" s="32">
        <v>1E-3</v>
      </c>
    </row>
    <row r="16" spans="1:15" x14ac:dyDescent="0.25">
      <c r="N16" s="34"/>
      <c r="O16" s="34"/>
    </row>
    <row r="17" spans="1:16" x14ac:dyDescent="0.25">
      <c r="A17" s="190" t="s">
        <v>166</v>
      </c>
      <c r="B17" s="190"/>
      <c r="N17" s="34"/>
      <c r="O17" s="34"/>
    </row>
    <row r="18" spans="1:16" ht="41.4" x14ac:dyDescent="0.25">
      <c r="A18" s="35" t="s">
        <v>167</v>
      </c>
      <c r="B18" s="35" t="s">
        <v>168</v>
      </c>
      <c r="C18" s="35" t="s">
        <v>169</v>
      </c>
      <c r="D18" s="35" t="s">
        <v>170</v>
      </c>
      <c r="E18" s="35" t="s">
        <v>171</v>
      </c>
      <c r="F18" s="35" t="s">
        <v>172</v>
      </c>
      <c r="G18" s="35" t="s">
        <v>173</v>
      </c>
      <c r="H18" s="35" t="s">
        <v>174</v>
      </c>
      <c r="I18" s="35" t="s">
        <v>175</v>
      </c>
      <c r="J18" s="35" t="s">
        <v>176</v>
      </c>
      <c r="K18" s="35" t="s">
        <v>177</v>
      </c>
      <c r="L18" s="35" t="s">
        <v>178</v>
      </c>
      <c r="M18" s="35" t="s">
        <v>179</v>
      </c>
      <c r="N18" s="35" t="s">
        <v>180</v>
      </c>
      <c r="O18" s="35" t="s">
        <v>181</v>
      </c>
      <c r="P18" s="35" t="s">
        <v>182</v>
      </c>
    </row>
    <row r="19" spans="1:16" x14ac:dyDescent="0.25">
      <c r="A19" s="36">
        <v>0</v>
      </c>
      <c r="B19" s="37"/>
      <c r="C19" s="37"/>
      <c r="D19" s="38">
        <v>1</v>
      </c>
      <c r="E19" s="39">
        <f>$B$11</f>
        <v>30000000</v>
      </c>
      <c r="F19" s="37"/>
      <c r="G19" s="37"/>
      <c r="H19" s="40">
        <v>1</v>
      </c>
      <c r="I19" s="37"/>
      <c r="J19" s="33">
        <f>$E19*($B$13/10000)</f>
        <v>600000</v>
      </c>
      <c r="K19" s="37"/>
      <c r="L19" s="37"/>
      <c r="M19" s="41">
        <v>1</v>
      </c>
      <c r="N19" s="33">
        <f>J19*M19*H19</f>
        <v>600000</v>
      </c>
      <c r="O19" s="37"/>
      <c r="P19" s="37"/>
    </row>
    <row r="20" spans="1:16" x14ac:dyDescent="0.25">
      <c r="A20" s="36">
        <v>1</v>
      </c>
      <c r="B20" s="42">
        <v>0.21913191736106019</v>
      </c>
      <c r="C20" s="43">
        <f>_xlfn.NORM.INV(B20, 0, 1)</f>
        <v>-0.77512832676338872</v>
      </c>
      <c r="D20" s="44">
        <f>$D$19*EXP(($B$8-($B$9^2)/2)*$A20+$B$9*$C20*SQRT($A20))</f>
        <v>0.78072016404483702</v>
      </c>
      <c r="E20" s="33">
        <f>(E19-J19)*(D20/D19)</f>
        <v>22953172.822918206</v>
      </c>
      <c r="F20" s="45">
        <f>$B$14</f>
        <v>1E-3</v>
      </c>
      <c r="G20" s="41">
        <f>1-F20</f>
        <v>0.999</v>
      </c>
      <c r="H20" s="43">
        <f>H19*G20</f>
        <v>0.999</v>
      </c>
      <c r="I20" s="46">
        <f>H19*F20</f>
        <v>1E-3</v>
      </c>
      <c r="J20" s="33">
        <f t="shared" ref="J20:J28" si="0">$E20*($B$13/10000)</f>
        <v>459063.45645836415</v>
      </c>
      <c r="K20" s="33">
        <f>MIN(0, E20-$B$11)</f>
        <v>-7046827.1770817935</v>
      </c>
      <c r="L20" s="37"/>
      <c r="M20" s="43">
        <f>(1+$B$12)^-A20</f>
        <v>0.970873786407767</v>
      </c>
      <c r="N20" s="33">
        <f t="shared" ref="N20:N29" si="1">J20*M20*H20</f>
        <v>445246.98349699593</v>
      </c>
      <c r="O20" s="33">
        <f>K20*M20*I20</f>
        <v>-6841.579783574557</v>
      </c>
      <c r="P20" s="37"/>
    </row>
    <row r="21" spans="1:16" x14ac:dyDescent="0.25">
      <c r="A21" s="36">
        <f>A20+1</f>
        <v>2</v>
      </c>
      <c r="B21" s="42">
        <v>0.58400707816921804</v>
      </c>
      <c r="C21" s="43">
        <f t="shared" ref="C21:C29" si="2">_xlfn.NORM.INV(B21, 0, 1)</f>
        <v>0.21215534443895664</v>
      </c>
      <c r="D21" s="44">
        <f t="shared" ref="D21:D29" si="3">$D$19*EXP(($B$8-($B$9^2)/2)*$A21+$B$9*$C21*SQRT($A21))</f>
        <v>1.0618470477685447</v>
      </c>
      <c r="E21" s="33">
        <f t="shared" ref="E21:E29" si="4">(E20-J20)*(D21/D20)</f>
        <v>30593937.140307307</v>
      </c>
      <c r="F21" s="45">
        <f t="shared" ref="F21:F29" si="5">$B$14</f>
        <v>1E-3</v>
      </c>
      <c r="G21" s="41">
        <f t="shared" ref="G21:G29" si="6">1-F21</f>
        <v>0.999</v>
      </c>
      <c r="H21" s="43">
        <f t="shared" ref="H21:H29" si="7">H20*G21</f>
        <v>0.99800100000000003</v>
      </c>
      <c r="I21" s="46">
        <f t="shared" ref="I21:I29" si="8">H20*F21</f>
        <v>9.990000000000001E-4</v>
      </c>
      <c r="J21" s="33">
        <f t="shared" si="0"/>
        <v>611878.74280614615</v>
      </c>
      <c r="K21" s="33">
        <f t="shared" ref="K21:K29" si="9">MIN(0, E21-$B$11)</f>
        <v>0</v>
      </c>
      <c r="L21" s="37"/>
      <c r="M21" s="43">
        <f t="shared" ref="M21:M29" si="10">(1+$B$12)^-A21</f>
        <v>0.94259590913375435</v>
      </c>
      <c r="N21" s="33">
        <f t="shared" si="1"/>
        <v>575601.46780966793</v>
      </c>
      <c r="O21" s="33">
        <f t="shared" ref="O21:O29" si="11">K21*M21*I21</f>
        <v>0</v>
      </c>
      <c r="P21" s="37"/>
    </row>
    <row r="22" spans="1:16" x14ac:dyDescent="0.25">
      <c r="A22" s="36">
        <f t="shared" ref="A22:A29" si="12">A21+1</f>
        <v>3</v>
      </c>
      <c r="B22" s="42">
        <v>0.95167887491592751</v>
      </c>
      <c r="C22" s="43">
        <f t="shared" si="2"/>
        <v>1.6613546000794448</v>
      </c>
      <c r="D22" s="44">
        <f t="shared" si="3"/>
        <v>2.2665643278523109</v>
      </c>
      <c r="E22" s="33">
        <f t="shared" si="4"/>
        <v>63998166.385799155</v>
      </c>
      <c r="F22" s="45">
        <f t="shared" si="5"/>
        <v>1E-3</v>
      </c>
      <c r="G22" s="41">
        <f t="shared" si="6"/>
        <v>0.999</v>
      </c>
      <c r="H22" s="43">
        <f t="shared" si="7"/>
        <v>0.997002999</v>
      </c>
      <c r="I22" s="46">
        <f t="shared" si="8"/>
        <v>9.980010000000001E-4</v>
      </c>
      <c r="J22" s="33">
        <f t="shared" si="0"/>
        <v>1279963.3277159831</v>
      </c>
      <c r="K22" s="33">
        <f t="shared" si="9"/>
        <v>0</v>
      </c>
      <c r="L22" s="37"/>
      <c r="M22" s="43">
        <f t="shared" si="10"/>
        <v>0.91514165935315961</v>
      </c>
      <c r="N22" s="33">
        <f t="shared" si="1"/>
        <v>1167837.2332182282</v>
      </c>
      <c r="O22" s="33">
        <f t="shared" si="11"/>
        <v>0</v>
      </c>
      <c r="P22" s="37"/>
    </row>
    <row r="23" spans="1:16" x14ac:dyDescent="0.25">
      <c r="A23" s="36">
        <f t="shared" si="12"/>
        <v>4</v>
      </c>
      <c r="B23" s="42">
        <v>0.39613730759020682</v>
      </c>
      <c r="C23" s="43">
        <f t="shared" si="2"/>
        <v>-0.26335805734076023</v>
      </c>
      <c r="D23" s="44">
        <f t="shared" si="3"/>
        <v>0.80411351303300183</v>
      </c>
      <c r="E23" s="33">
        <f t="shared" si="4"/>
        <v>22250661.043421574</v>
      </c>
      <c r="F23" s="45">
        <f t="shared" si="5"/>
        <v>1E-3</v>
      </c>
      <c r="G23" s="41">
        <f t="shared" si="6"/>
        <v>0.999</v>
      </c>
      <c r="H23" s="43">
        <f t="shared" si="7"/>
        <v>0.99600599600100004</v>
      </c>
      <c r="I23" s="46">
        <f t="shared" si="8"/>
        <v>9.97002999E-4</v>
      </c>
      <c r="J23" s="33">
        <f t="shared" si="0"/>
        <v>445013.2208684315</v>
      </c>
      <c r="K23" s="33">
        <f t="shared" si="9"/>
        <v>-7749338.9565784261</v>
      </c>
      <c r="L23" s="37"/>
      <c r="M23" s="43">
        <f t="shared" si="10"/>
        <v>0.888487047915689</v>
      </c>
      <c r="N23" s="33">
        <f t="shared" si="1"/>
        <v>393809.29971101263</v>
      </c>
      <c r="O23" s="33">
        <f t="shared" si="11"/>
        <v>-6864.5523796266179</v>
      </c>
      <c r="P23" s="37"/>
    </row>
    <row r="24" spans="1:16" x14ac:dyDescent="0.25">
      <c r="A24" s="36">
        <f t="shared" si="12"/>
        <v>5</v>
      </c>
      <c r="B24" s="42">
        <v>0.56172177162554748</v>
      </c>
      <c r="C24" s="43">
        <f t="shared" si="2"/>
        <v>0.155335973872092</v>
      </c>
      <c r="D24" s="44">
        <f t="shared" si="3"/>
        <v>1.0296331143001205</v>
      </c>
      <c r="E24" s="33">
        <f t="shared" si="4"/>
        <v>27921203.552694909</v>
      </c>
      <c r="F24" s="45">
        <f t="shared" si="5"/>
        <v>1E-3</v>
      </c>
      <c r="G24" s="41">
        <f t="shared" si="6"/>
        <v>0.999</v>
      </c>
      <c r="H24" s="43">
        <f t="shared" si="7"/>
        <v>0.99500999000499901</v>
      </c>
      <c r="I24" s="46">
        <f t="shared" si="8"/>
        <v>9.960059960010001E-4</v>
      </c>
      <c r="J24" s="33">
        <f t="shared" si="0"/>
        <v>558424.07105389819</v>
      </c>
      <c r="K24" s="33">
        <f t="shared" si="9"/>
        <v>-2078796.4473050907</v>
      </c>
      <c r="L24" s="37"/>
      <c r="M24" s="43">
        <f t="shared" si="10"/>
        <v>0.86260878438416411</v>
      </c>
      <c r="N24" s="33">
        <f t="shared" si="1"/>
        <v>479297.81375762983</v>
      </c>
      <c r="O24" s="33">
        <f t="shared" si="11"/>
        <v>-1786.0260760438948</v>
      </c>
      <c r="P24" s="37"/>
    </row>
    <row r="25" spans="1:16" x14ac:dyDescent="0.25">
      <c r="A25" s="36">
        <f t="shared" si="12"/>
        <v>6</v>
      </c>
      <c r="B25" s="42">
        <v>0.31889801649771665</v>
      </c>
      <c r="C25" s="43">
        <f t="shared" si="2"/>
        <v>-0.47078254170310541</v>
      </c>
      <c r="D25" s="44">
        <f t="shared" si="3"/>
        <v>0.64664805166325834</v>
      </c>
      <c r="E25" s="33">
        <f t="shared" si="4"/>
        <v>17184847.489993427</v>
      </c>
      <c r="F25" s="45">
        <f t="shared" si="5"/>
        <v>1E-3</v>
      </c>
      <c r="G25" s="41">
        <f t="shared" si="6"/>
        <v>0.999</v>
      </c>
      <c r="H25" s="43">
        <f t="shared" si="7"/>
        <v>0.994014980014994</v>
      </c>
      <c r="I25" s="46">
        <f t="shared" si="8"/>
        <v>9.9500999000499903E-4</v>
      </c>
      <c r="J25" s="33">
        <f t="shared" si="0"/>
        <v>343696.94979986857</v>
      </c>
      <c r="K25" s="33">
        <f t="shared" si="9"/>
        <v>-12815152.510006573</v>
      </c>
      <c r="L25" s="37"/>
      <c r="M25" s="43">
        <f t="shared" si="10"/>
        <v>0.83748425668365445</v>
      </c>
      <c r="N25" s="33">
        <f t="shared" si="1"/>
        <v>286118.05167968484</v>
      </c>
      <c r="O25" s="33">
        <f t="shared" si="11"/>
        <v>-10678.93324937338</v>
      </c>
      <c r="P25" s="37"/>
    </row>
    <row r="26" spans="1:16" x14ac:dyDescent="0.25">
      <c r="A26" s="36">
        <f t="shared" si="12"/>
        <v>7</v>
      </c>
      <c r="B26" s="42">
        <v>0.2384155808504439</v>
      </c>
      <c r="C26" s="43">
        <f t="shared" si="2"/>
        <v>-0.71140845405157016</v>
      </c>
      <c r="D26" s="44">
        <f t="shared" si="3"/>
        <v>0.51188107567084484</v>
      </c>
      <c r="E26" s="33">
        <f t="shared" si="4"/>
        <v>13331310.953269701</v>
      </c>
      <c r="F26" s="45">
        <f t="shared" si="5"/>
        <v>1E-3</v>
      </c>
      <c r="G26" s="41">
        <f t="shared" si="6"/>
        <v>0.999</v>
      </c>
      <c r="H26" s="43">
        <f t="shared" si="7"/>
        <v>0.99302096503497905</v>
      </c>
      <c r="I26" s="46">
        <f t="shared" si="8"/>
        <v>9.9401498001499395E-4</v>
      </c>
      <c r="J26" s="33">
        <f t="shared" si="0"/>
        <v>266626.21906539402</v>
      </c>
      <c r="K26" s="33">
        <f t="shared" si="9"/>
        <v>-16668689.046730299</v>
      </c>
      <c r="L26" s="37"/>
      <c r="M26" s="43">
        <f t="shared" si="10"/>
        <v>0.81309151134335378</v>
      </c>
      <c r="N26" s="33">
        <f t="shared" si="1"/>
        <v>215278.51985738386</v>
      </c>
      <c r="O26" s="33">
        <f t="shared" si="11"/>
        <v>-13472.053578386996</v>
      </c>
      <c r="P26" s="37"/>
    </row>
    <row r="27" spans="1:16" x14ac:dyDescent="0.25">
      <c r="A27" s="36">
        <f t="shared" si="12"/>
        <v>8</v>
      </c>
      <c r="B27" s="42">
        <v>0.2004465665745776</v>
      </c>
      <c r="C27" s="43">
        <f t="shared" si="2"/>
        <v>-0.84002720507006734</v>
      </c>
      <c r="D27" s="44">
        <f t="shared" si="3"/>
        <v>0.43483583074922288</v>
      </c>
      <c r="E27" s="33">
        <f t="shared" si="4"/>
        <v>11098267.370852116</v>
      </c>
      <c r="F27" s="45">
        <f t="shared" si="5"/>
        <v>1E-3</v>
      </c>
      <c r="G27" s="41">
        <f t="shared" si="6"/>
        <v>0.999</v>
      </c>
      <c r="H27" s="43">
        <f t="shared" si="7"/>
        <v>0.9920279440699441</v>
      </c>
      <c r="I27" s="46">
        <f t="shared" si="8"/>
        <v>9.9302096503497907E-4</v>
      </c>
      <c r="J27" s="33">
        <f t="shared" si="0"/>
        <v>221965.34741704233</v>
      </c>
      <c r="K27" s="33">
        <f t="shared" si="9"/>
        <v>-18901732.629147884</v>
      </c>
      <c r="L27" s="37"/>
      <c r="M27" s="43">
        <f t="shared" si="10"/>
        <v>0.78940923431393573</v>
      </c>
      <c r="N27" s="33">
        <f t="shared" si="1"/>
        <v>173824.61939083497</v>
      </c>
      <c r="O27" s="33">
        <f t="shared" si="11"/>
        <v>-14817.066689536261</v>
      </c>
      <c r="P27" s="37"/>
    </row>
    <row r="28" spans="1:16" x14ac:dyDescent="0.25">
      <c r="A28" s="36">
        <f t="shared" si="12"/>
        <v>9</v>
      </c>
      <c r="B28" s="42">
        <v>0.64262652524099306</v>
      </c>
      <c r="C28" s="43">
        <f t="shared" si="2"/>
        <v>0.36548828577144649</v>
      </c>
      <c r="D28" s="44">
        <f t="shared" si="3"/>
        <v>1.2140227803859236</v>
      </c>
      <c r="E28" s="33">
        <f t="shared" si="4"/>
        <v>30365663.289653584</v>
      </c>
      <c r="F28" s="45">
        <f t="shared" si="5"/>
        <v>1E-3</v>
      </c>
      <c r="G28" s="41">
        <f t="shared" si="6"/>
        <v>0.999</v>
      </c>
      <c r="H28" s="43">
        <f t="shared" si="7"/>
        <v>0.99103591612587416</v>
      </c>
      <c r="I28" s="46">
        <f t="shared" si="8"/>
        <v>9.9202794406994411E-4</v>
      </c>
      <c r="J28" s="33">
        <f t="shared" si="0"/>
        <v>607313.26579307171</v>
      </c>
      <c r="K28" s="33">
        <f t="shared" si="9"/>
        <v>0</v>
      </c>
      <c r="L28" s="37"/>
      <c r="M28" s="43">
        <f t="shared" si="10"/>
        <v>0.76641673234362695</v>
      </c>
      <c r="N28" s="33">
        <f t="shared" si="1"/>
        <v>461282.67058207712</v>
      </c>
      <c r="O28" s="33">
        <f t="shared" si="11"/>
        <v>0</v>
      </c>
      <c r="P28" s="37"/>
    </row>
    <row r="29" spans="1:16" x14ac:dyDescent="0.25">
      <c r="A29" s="36">
        <f t="shared" si="12"/>
        <v>10</v>
      </c>
      <c r="B29" s="42">
        <v>6.1450360936032844E-4</v>
      </c>
      <c r="C29" s="43">
        <f t="shared" si="2"/>
        <v>-3.2320612216927156</v>
      </c>
      <c r="D29" s="44">
        <f t="shared" si="3"/>
        <v>4.0107076083709864E-2</v>
      </c>
      <c r="E29" s="33">
        <f t="shared" si="4"/>
        <v>983112.03695307649</v>
      </c>
      <c r="F29" s="45">
        <f t="shared" si="5"/>
        <v>1E-3</v>
      </c>
      <c r="G29" s="41">
        <f t="shared" si="6"/>
        <v>0.999</v>
      </c>
      <c r="H29" s="43">
        <f t="shared" si="7"/>
        <v>0.99004488020974823</v>
      </c>
      <c r="I29" s="46">
        <f t="shared" si="8"/>
        <v>9.9103591612587408E-4</v>
      </c>
      <c r="J29" s="37"/>
      <c r="K29" s="33">
        <f t="shared" si="9"/>
        <v>-29016887.963046923</v>
      </c>
      <c r="L29" s="33">
        <f>MIN(0, E29-$B$11)</f>
        <v>-29016887.963046923</v>
      </c>
      <c r="M29" s="43">
        <f t="shared" si="10"/>
        <v>0.74409391489672516</v>
      </c>
      <c r="N29" s="33">
        <f t="shared" si="1"/>
        <v>0</v>
      </c>
      <c r="O29" s="33">
        <f t="shared" si="11"/>
        <v>-21397.743630161251</v>
      </c>
      <c r="P29" s="33">
        <f>L29*M29*H29</f>
        <v>-21376345.886531092</v>
      </c>
    </row>
    <row r="31" spans="1:16" x14ac:dyDescent="0.25">
      <c r="A31" s="30" t="s">
        <v>183</v>
      </c>
      <c r="B31" s="47">
        <f>-SUM(N19:N29)-SUM(O20:O29)-P29</f>
        <v>16653907.18241428</v>
      </c>
    </row>
    <row r="32" spans="1:16" x14ac:dyDescent="0.25">
      <c r="A32" s="2"/>
      <c r="B32" s="34"/>
    </row>
    <row r="34" spans="1:16" x14ac:dyDescent="0.25">
      <c r="A34" s="190" t="s">
        <v>184</v>
      </c>
      <c r="B34" s="190"/>
      <c r="N34" s="34"/>
      <c r="O34" s="34"/>
    </row>
    <row r="35" spans="1:16" ht="41.4" x14ac:dyDescent="0.25">
      <c r="A35" s="35" t="s">
        <v>167</v>
      </c>
      <c r="B35" s="35" t="s">
        <v>168</v>
      </c>
      <c r="C35" s="35" t="s">
        <v>169</v>
      </c>
      <c r="D35" s="35" t="s">
        <v>170</v>
      </c>
      <c r="E35" s="35" t="s">
        <v>171</v>
      </c>
      <c r="F35" s="35" t="s">
        <v>172</v>
      </c>
      <c r="G35" s="35" t="s">
        <v>173</v>
      </c>
      <c r="H35" s="35" t="s">
        <v>174</v>
      </c>
      <c r="I35" s="35" t="s">
        <v>175</v>
      </c>
      <c r="J35" s="35" t="s">
        <v>176</v>
      </c>
      <c r="K35" s="35" t="s">
        <v>177</v>
      </c>
      <c r="L35" s="35" t="s">
        <v>178</v>
      </c>
      <c r="M35" s="35" t="s">
        <v>179</v>
      </c>
      <c r="N35" s="35" t="s">
        <v>180</v>
      </c>
      <c r="O35" s="35" t="s">
        <v>181</v>
      </c>
      <c r="P35" s="35" t="s">
        <v>182</v>
      </c>
    </row>
    <row r="36" spans="1:16" x14ac:dyDescent="0.25">
      <c r="A36" s="36">
        <v>0</v>
      </c>
      <c r="B36" s="37"/>
      <c r="C36" s="37"/>
      <c r="D36" s="38">
        <v>1</v>
      </c>
      <c r="E36" s="39">
        <f>$B$11</f>
        <v>30000000</v>
      </c>
      <c r="F36" s="37"/>
      <c r="G36" s="37"/>
      <c r="H36" s="40">
        <v>1</v>
      </c>
      <c r="I36" s="37"/>
      <c r="J36" s="33">
        <f>$E36*($B$13/10000)</f>
        <v>600000</v>
      </c>
      <c r="K36" s="37"/>
      <c r="L36" s="37"/>
      <c r="M36" s="41">
        <v>1</v>
      </c>
      <c r="N36" s="33">
        <f>J36*M36*H36</f>
        <v>600000</v>
      </c>
      <c r="O36" s="37"/>
      <c r="P36" s="37"/>
    </row>
    <row r="37" spans="1:16" x14ac:dyDescent="0.25">
      <c r="A37" s="36">
        <v>1</v>
      </c>
      <c r="B37" s="42">
        <v>0.60307613820588812</v>
      </c>
      <c r="C37" s="43">
        <f>_xlfn.NORM.INV(B37, 0, 1)</f>
        <v>0.26131743342917652</v>
      </c>
      <c r="D37" s="44">
        <f>$D$19*EXP(($B$8-($B$9^2)/2)*$A37+$B$9*$C37*SQRT($A37))</f>
        <v>1.0654478530127616</v>
      </c>
      <c r="E37" s="33">
        <f>(E36-J36)*(D37/D36)</f>
        <v>31324166.878575191</v>
      </c>
      <c r="F37" s="45">
        <f>$B$14</f>
        <v>1E-3</v>
      </c>
      <c r="G37" s="41">
        <f>1-F37</f>
        <v>0.999</v>
      </c>
      <c r="H37" s="43">
        <f>H36*G37</f>
        <v>0.999</v>
      </c>
      <c r="I37" s="46">
        <f>H36*F37</f>
        <v>1E-3</v>
      </c>
      <c r="J37" s="33">
        <f t="shared" ref="J37:J45" si="13">$E37*($B$13/10000)</f>
        <v>626483.33757150383</v>
      </c>
      <c r="K37" s="33">
        <f>MIN(0, E37-$B$11)</f>
        <v>0</v>
      </c>
      <c r="L37" s="37"/>
      <c r="M37" s="43">
        <f>(1+$B$12)^-A37</f>
        <v>0.970873786407767</v>
      </c>
      <c r="N37" s="33">
        <f t="shared" ref="N37:N46" si="14">J37*M37*H37</f>
        <v>607628.01381935179</v>
      </c>
      <c r="O37" s="33">
        <f>K37*M37*I37</f>
        <v>0</v>
      </c>
      <c r="P37" s="37"/>
    </row>
    <row r="38" spans="1:16" x14ac:dyDescent="0.25">
      <c r="A38" s="36">
        <f>A37+1</f>
        <v>2</v>
      </c>
      <c r="B38" s="42">
        <v>0.125612</v>
      </c>
      <c r="C38" s="43">
        <f t="shared" ref="C38:C46" si="15">_xlfn.NORM.INV(B38, 0, 1)</f>
        <v>-1.1473814605963528</v>
      </c>
      <c r="D38" s="44">
        <f t="shared" ref="D38:D46" si="16">$D$19*EXP(($B$8-($B$9^2)/2)*$A38+$B$9*$C38*SQRT($A38))</f>
        <v>0.59643039883796678</v>
      </c>
      <c r="E38" s="33">
        <f t="shared" ref="E38:E46" si="17">(E37-J37)*(D38/D37)</f>
        <v>17184352.651319496</v>
      </c>
      <c r="F38" s="45">
        <f t="shared" ref="F38:F46" si="18">$B$14</f>
        <v>1E-3</v>
      </c>
      <c r="G38" s="41">
        <f t="shared" ref="G38:G46" si="19">1-F38</f>
        <v>0.999</v>
      </c>
      <c r="H38" s="43">
        <f t="shared" ref="H38:H46" si="20">H37*G38</f>
        <v>0.99800100000000003</v>
      </c>
      <c r="I38" s="46">
        <f t="shared" ref="I38:I46" si="21">H37*F38</f>
        <v>9.990000000000001E-4</v>
      </c>
      <c r="J38" s="33">
        <f t="shared" si="13"/>
        <v>343687.05302638991</v>
      </c>
      <c r="K38" s="33">
        <f t="shared" ref="K38:K46" si="22">MIN(0, E38-$B$11)</f>
        <v>-12815647.348680504</v>
      </c>
      <c r="L38" s="37"/>
      <c r="M38" s="43">
        <f t="shared" ref="M38:M46" si="23">(1+$B$12)^-A38</f>
        <v>0.94259590913375435</v>
      </c>
      <c r="N38" s="33">
        <f t="shared" si="14"/>
        <v>323310.41814251122</v>
      </c>
      <c r="O38" s="33">
        <f t="shared" ref="O38:O46" si="24">K38*M38*I38</f>
        <v>-12067.896787003321</v>
      </c>
      <c r="P38" s="37"/>
    </row>
    <row r="39" spans="1:16" x14ac:dyDescent="0.25">
      <c r="A39" s="36">
        <f t="shared" ref="A39:A46" si="25">A38+1</f>
        <v>3</v>
      </c>
      <c r="B39" s="42">
        <v>0.55626149999999996</v>
      </c>
      <c r="C39" s="43">
        <f t="shared" si="15"/>
        <v>0.14149741756899981</v>
      </c>
      <c r="D39" s="44">
        <f t="shared" si="16"/>
        <v>1.0289349261003053</v>
      </c>
      <c r="E39" s="33">
        <f t="shared" si="17"/>
        <v>29052759.628985953</v>
      </c>
      <c r="F39" s="45">
        <f t="shared" si="18"/>
        <v>1E-3</v>
      </c>
      <c r="G39" s="41">
        <f t="shared" si="19"/>
        <v>0.999</v>
      </c>
      <c r="H39" s="43">
        <f t="shared" si="20"/>
        <v>0.997002999</v>
      </c>
      <c r="I39" s="46">
        <f t="shared" si="21"/>
        <v>9.980010000000001E-4</v>
      </c>
      <c r="J39" s="33">
        <f t="shared" si="13"/>
        <v>581055.19257971912</v>
      </c>
      <c r="K39" s="33">
        <f t="shared" si="22"/>
        <v>-947240.37101404741</v>
      </c>
      <c r="L39" s="37"/>
      <c r="M39" s="43">
        <f t="shared" si="23"/>
        <v>0.91514165935315961</v>
      </c>
      <c r="N39" s="33">
        <f t="shared" si="14"/>
        <v>530154.16438552586</v>
      </c>
      <c r="O39" s="33">
        <f t="shared" si="24"/>
        <v>-865.12627354535073</v>
      </c>
      <c r="P39" s="37"/>
    </row>
    <row r="40" spans="1:16" x14ac:dyDescent="0.25">
      <c r="A40" s="36">
        <f t="shared" si="25"/>
        <v>4</v>
      </c>
      <c r="B40" s="42">
        <v>0.16918758478035878</v>
      </c>
      <c r="C40" s="43">
        <f t="shared" si="15"/>
        <v>-0.95738063400908457</v>
      </c>
      <c r="D40" s="44">
        <f t="shared" si="16"/>
        <v>0.53023849642097187</v>
      </c>
      <c r="E40" s="33">
        <f t="shared" si="17"/>
        <v>14672253.189149348</v>
      </c>
      <c r="F40" s="45">
        <f t="shared" si="18"/>
        <v>1E-3</v>
      </c>
      <c r="G40" s="41">
        <f t="shared" si="19"/>
        <v>0.999</v>
      </c>
      <c r="H40" s="43">
        <f t="shared" si="20"/>
        <v>0.99600599600100004</v>
      </c>
      <c r="I40" s="46">
        <f t="shared" si="21"/>
        <v>9.97002999E-4</v>
      </c>
      <c r="J40" s="33">
        <f t="shared" si="13"/>
        <v>293445.06378298695</v>
      </c>
      <c r="K40" s="33">
        <f t="shared" si="22"/>
        <v>-15327746.810850652</v>
      </c>
      <c r="L40" s="37"/>
      <c r="M40" s="43">
        <f t="shared" si="23"/>
        <v>0.888487047915689</v>
      </c>
      <c r="N40" s="33">
        <f t="shared" si="14"/>
        <v>259680.81318239609</v>
      </c>
      <c r="O40" s="33">
        <f t="shared" si="24"/>
        <v>-13577.689843521339</v>
      </c>
      <c r="P40" s="37"/>
    </row>
    <row r="41" spans="1:16" x14ac:dyDescent="0.25">
      <c r="A41" s="36">
        <f t="shared" si="25"/>
        <v>5</v>
      </c>
      <c r="B41" s="42">
        <v>7.6269041182611574E-2</v>
      </c>
      <c r="C41" s="43">
        <f t="shared" si="15"/>
        <v>-1.4306237312024623</v>
      </c>
      <c r="D41" s="44">
        <f t="shared" si="16"/>
        <v>0.35533595888914005</v>
      </c>
      <c r="E41" s="33">
        <f t="shared" si="17"/>
        <v>9635866.8927229028</v>
      </c>
      <c r="F41" s="45">
        <f t="shared" si="18"/>
        <v>1E-3</v>
      </c>
      <c r="G41" s="41">
        <f t="shared" si="19"/>
        <v>0.999</v>
      </c>
      <c r="H41" s="43">
        <f t="shared" si="20"/>
        <v>0.99500999000499901</v>
      </c>
      <c r="I41" s="46">
        <f t="shared" si="21"/>
        <v>9.960059960010001E-4</v>
      </c>
      <c r="J41" s="33">
        <f t="shared" si="13"/>
        <v>192717.33785445805</v>
      </c>
      <c r="K41" s="33">
        <f t="shared" si="22"/>
        <v>-20364133.107277095</v>
      </c>
      <c r="L41" s="37"/>
      <c r="M41" s="43">
        <f t="shared" si="23"/>
        <v>0.86260878438416411</v>
      </c>
      <c r="N41" s="33">
        <f t="shared" si="14"/>
        <v>165410.13092882407</v>
      </c>
      <c r="O41" s="33">
        <f t="shared" si="24"/>
        <v>-17496.12031171986</v>
      </c>
      <c r="P41" s="37"/>
    </row>
    <row r="42" spans="1:16" x14ac:dyDescent="0.25">
      <c r="A42" s="36">
        <f t="shared" si="25"/>
        <v>6</v>
      </c>
      <c r="B42" s="42">
        <v>0.71598687464788546</v>
      </c>
      <c r="C42" s="43">
        <f t="shared" si="15"/>
        <v>0.57096074780604777</v>
      </c>
      <c r="D42" s="44">
        <f t="shared" si="16"/>
        <v>1.3903684008159003</v>
      </c>
      <c r="E42" s="33">
        <f t="shared" si="17"/>
        <v>36949417.633704871</v>
      </c>
      <c r="F42" s="45">
        <f t="shared" si="18"/>
        <v>1E-3</v>
      </c>
      <c r="G42" s="41">
        <f t="shared" si="19"/>
        <v>0.999</v>
      </c>
      <c r="H42" s="43">
        <f t="shared" si="20"/>
        <v>0.994014980014994</v>
      </c>
      <c r="I42" s="46">
        <f t="shared" si="21"/>
        <v>9.9500999000499903E-4</v>
      </c>
      <c r="J42" s="33">
        <f t="shared" si="13"/>
        <v>738988.3526740974</v>
      </c>
      <c r="K42" s="33">
        <f t="shared" si="22"/>
        <v>0</v>
      </c>
      <c r="L42" s="37"/>
      <c r="M42" s="43">
        <f t="shared" si="23"/>
        <v>0.83748425668365445</v>
      </c>
      <c r="N42" s="33">
        <f t="shared" si="14"/>
        <v>615187.0355678479</v>
      </c>
      <c r="O42" s="33">
        <f t="shared" si="24"/>
        <v>0</v>
      </c>
      <c r="P42" s="37"/>
    </row>
    <row r="43" spans="1:16" x14ac:dyDescent="0.25">
      <c r="A43" s="36">
        <f t="shared" si="25"/>
        <v>7</v>
      </c>
      <c r="B43" s="42">
        <v>0.92553680098994839</v>
      </c>
      <c r="C43" s="43">
        <f t="shared" si="15"/>
        <v>1.4433340297882917</v>
      </c>
      <c r="D43" s="44">
        <f t="shared" si="16"/>
        <v>2.8309458275078598</v>
      </c>
      <c r="E43" s="33">
        <f t="shared" si="17"/>
        <v>73728490.682935119</v>
      </c>
      <c r="F43" s="45">
        <f t="shared" si="18"/>
        <v>1E-3</v>
      </c>
      <c r="G43" s="41">
        <f t="shared" si="19"/>
        <v>0.999</v>
      </c>
      <c r="H43" s="43">
        <f t="shared" si="20"/>
        <v>0.99302096503497905</v>
      </c>
      <c r="I43" s="46">
        <f t="shared" si="21"/>
        <v>9.9401498001499395E-4</v>
      </c>
      <c r="J43" s="33">
        <f t="shared" si="13"/>
        <v>1474569.8136587024</v>
      </c>
      <c r="K43" s="33">
        <f t="shared" si="22"/>
        <v>0</v>
      </c>
      <c r="L43" s="37"/>
      <c r="M43" s="43">
        <f t="shared" si="23"/>
        <v>0.81309151134335378</v>
      </c>
      <c r="N43" s="33">
        <f t="shared" si="14"/>
        <v>1190592.613222956</v>
      </c>
      <c r="O43" s="33">
        <f t="shared" si="24"/>
        <v>0</v>
      </c>
      <c r="P43" s="37"/>
    </row>
    <row r="44" spans="1:16" x14ac:dyDescent="0.25">
      <c r="A44" s="36">
        <f t="shared" si="25"/>
        <v>8</v>
      </c>
      <c r="B44" s="42">
        <v>0.12633238608826791</v>
      </c>
      <c r="C44" s="43">
        <f t="shared" si="15"/>
        <v>-1.1439008170355722</v>
      </c>
      <c r="D44" s="44">
        <f t="shared" si="16"/>
        <v>0.33600406204350269</v>
      </c>
      <c r="E44" s="33">
        <f t="shared" si="17"/>
        <v>8575794.9427166432</v>
      </c>
      <c r="F44" s="45">
        <f t="shared" si="18"/>
        <v>1E-3</v>
      </c>
      <c r="G44" s="41">
        <f t="shared" si="19"/>
        <v>0.999</v>
      </c>
      <c r="H44" s="43">
        <f t="shared" si="20"/>
        <v>0.9920279440699441</v>
      </c>
      <c r="I44" s="46">
        <f t="shared" si="21"/>
        <v>9.9302096503497907E-4</v>
      </c>
      <c r="J44" s="33">
        <f t="shared" si="13"/>
        <v>171515.89885433286</v>
      </c>
      <c r="K44" s="33">
        <f t="shared" si="22"/>
        <v>-21424205.057283357</v>
      </c>
      <c r="L44" s="37"/>
      <c r="M44" s="43">
        <f t="shared" si="23"/>
        <v>0.78940923431393573</v>
      </c>
      <c r="N44" s="33">
        <f t="shared" si="14"/>
        <v>134316.84803401111</v>
      </c>
      <c r="O44" s="33">
        <f t="shared" si="24"/>
        <v>-16794.43262331123</v>
      </c>
      <c r="P44" s="37"/>
    </row>
    <row r="45" spans="1:16" x14ac:dyDescent="0.25">
      <c r="A45" s="36">
        <f t="shared" si="25"/>
        <v>9</v>
      </c>
      <c r="B45" s="42">
        <v>0.87627135677578372</v>
      </c>
      <c r="C45" s="43">
        <f t="shared" si="15"/>
        <v>1.1565474897635575</v>
      </c>
      <c r="D45" s="44">
        <f t="shared" si="16"/>
        <v>2.4741397028492749</v>
      </c>
      <c r="E45" s="33">
        <f t="shared" si="17"/>
        <v>61884253.213438094</v>
      </c>
      <c r="F45" s="45">
        <f t="shared" si="18"/>
        <v>1E-3</v>
      </c>
      <c r="G45" s="41">
        <f t="shared" si="19"/>
        <v>0.999</v>
      </c>
      <c r="H45" s="43">
        <f t="shared" si="20"/>
        <v>0.99103591612587416</v>
      </c>
      <c r="I45" s="46">
        <f t="shared" si="21"/>
        <v>9.9202794406994411E-4</v>
      </c>
      <c r="J45" s="33">
        <f t="shared" si="13"/>
        <v>1237685.064268762</v>
      </c>
      <c r="K45" s="33">
        <f t="shared" si="22"/>
        <v>0</v>
      </c>
      <c r="L45" s="37"/>
      <c r="M45" s="43">
        <f t="shared" si="23"/>
        <v>0.76641673234362695</v>
      </c>
      <c r="N45" s="33">
        <f t="shared" si="14"/>
        <v>940079.36915373313</v>
      </c>
      <c r="O45" s="33">
        <f t="shared" si="24"/>
        <v>0</v>
      </c>
      <c r="P45" s="37"/>
    </row>
    <row r="46" spans="1:16" x14ac:dyDescent="0.25">
      <c r="A46" s="36">
        <f t="shared" si="25"/>
        <v>10</v>
      </c>
      <c r="B46" s="42">
        <v>0.60134734956617675</v>
      </c>
      <c r="C46" s="43">
        <f t="shared" si="15"/>
        <v>0.25683609994742645</v>
      </c>
      <c r="D46" s="44">
        <f t="shared" si="16"/>
        <v>1.0981820363337444</v>
      </c>
      <c r="E46" s="33">
        <f t="shared" si="17"/>
        <v>26918840.367020831</v>
      </c>
      <c r="F46" s="45">
        <f t="shared" si="18"/>
        <v>1E-3</v>
      </c>
      <c r="G46" s="41">
        <f t="shared" si="19"/>
        <v>0.999</v>
      </c>
      <c r="H46" s="43">
        <f t="shared" si="20"/>
        <v>0.99004488020974823</v>
      </c>
      <c r="I46" s="46">
        <f t="shared" si="21"/>
        <v>9.9103591612587408E-4</v>
      </c>
      <c r="J46" s="37"/>
      <c r="K46" s="33">
        <f t="shared" si="22"/>
        <v>-3081159.6329791695</v>
      </c>
      <c r="L46" s="33">
        <f>MIN(0, E46-$B$11)</f>
        <v>-3081159.6329791695</v>
      </c>
      <c r="M46" s="43">
        <f t="shared" si="23"/>
        <v>0.74409391489672516</v>
      </c>
      <c r="N46" s="33">
        <f t="shared" si="14"/>
        <v>0</v>
      </c>
      <c r="O46" s="33">
        <f t="shared" si="24"/>
        <v>-2272.1204284226428</v>
      </c>
      <c r="P46" s="33">
        <f>L46*M46*H46</f>
        <v>-2269848.3079942199</v>
      </c>
    </row>
    <row r="48" spans="1:16" x14ac:dyDescent="0.25">
      <c r="A48" s="30" t="s">
        <v>183</v>
      </c>
      <c r="B48" s="47">
        <f>-SUM(N36:N46)-SUM(O37:O46)-P46</f>
        <v>-3033437.7121754144</v>
      </c>
    </row>
    <row r="51" spans="1:16" x14ac:dyDescent="0.25">
      <c r="A51" s="190" t="s">
        <v>185</v>
      </c>
      <c r="B51" s="190"/>
      <c r="N51" s="34"/>
      <c r="O51" s="34"/>
    </row>
    <row r="52" spans="1:16" ht="41.4" x14ac:dyDescent="0.25">
      <c r="A52" s="35" t="s">
        <v>167</v>
      </c>
      <c r="B52" s="35" t="s">
        <v>168</v>
      </c>
      <c r="C52" s="35" t="s">
        <v>169</v>
      </c>
      <c r="D52" s="35" t="s">
        <v>170</v>
      </c>
      <c r="E52" s="35" t="s">
        <v>171</v>
      </c>
      <c r="F52" s="35" t="s">
        <v>172</v>
      </c>
      <c r="G52" s="35" t="s">
        <v>173</v>
      </c>
      <c r="H52" s="35" t="s">
        <v>174</v>
      </c>
      <c r="I52" s="35" t="s">
        <v>175</v>
      </c>
      <c r="J52" s="35" t="s">
        <v>176</v>
      </c>
      <c r="K52" s="35" t="s">
        <v>177</v>
      </c>
      <c r="L52" s="35" t="s">
        <v>178</v>
      </c>
      <c r="M52" s="35" t="s">
        <v>179</v>
      </c>
      <c r="N52" s="35" t="s">
        <v>180</v>
      </c>
      <c r="O52" s="35" t="s">
        <v>181</v>
      </c>
      <c r="P52" s="35" t="s">
        <v>182</v>
      </c>
    </row>
    <row r="53" spans="1:16" x14ac:dyDescent="0.25">
      <c r="A53" s="36">
        <v>0</v>
      </c>
      <c r="B53" s="37"/>
      <c r="C53" s="37"/>
      <c r="D53" s="38">
        <v>1</v>
      </c>
      <c r="E53" s="39">
        <f>$B$11</f>
        <v>30000000</v>
      </c>
      <c r="F53" s="37"/>
      <c r="G53" s="37"/>
      <c r="H53" s="40">
        <v>1</v>
      </c>
      <c r="I53" s="37"/>
      <c r="J53" s="33">
        <f>$E53*($B$13/10000)</f>
        <v>600000</v>
      </c>
      <c r="K53" s="37"/>
      <c r="L53" s="37"/>
      <c r="M53" s="41">
        <v>1</v>
      </c>
      <c r="N53" s="33">
        <f>J53*M53*H53</f>
        <v>600000</v>
      </c>
      <c r="O53" s="37"/>
      <c r="P53" s="37"/>
    </row>
    <row r="54" spans="1:16" x14ac:dyDescent="0.25">
      <c r="A54" s="36">
        <v>1</v>
      </c>
      <c r="B54" s="42">
        <v>0.32675884366408703</v>
      </c>
      <c r="C54" s="43">
        <f>_xlfn.NORM.INV(B54, 0, 1)</f>
        <v>-0.44888074439504494</v>
      </c>
      <c r="D54" s="44">
        <f>$D$19*EXP(($B$8-($B$9^2)/2)*$A54+$B$9*$C54*SQRT($A54))</f>
        <v>0.86099703061922406</v>
      </c>
      <c r="E54" s="33">
        <f>(E53-J53)*(D54/D53)</f>
        <v>25313312.700205188</v>
      </c>
      <c r="F54" s="45">
        <f>$B$14</f>
        <v>1E-3</v>
      </c>
      <c r="G54" s="41">
        <f>1-F54</f>
        <v>0.999</v>
      </c>
      <c r="H54" s="43">
        <f>H53*G54</f>
        <v>0.999</v>
      </c>
      <c r="I54" s="46">
        <f>H53*F54</f>
        <v>1E-3</v>
      </c>
      <c r="J54" s="33">
        <f t="shared" ref="J54:J62" si="26">$E54*($B$13/10000)</f>
        <v>506266.25400410377</v>
      </c>
      <c r="K54" s="33">
        <f>MIN(0, E54-$B$11)</f>
        <v>-4686687.2997948118</v>
      </c>
      <c r="L54" s="37"/>
      <c r="M54" s="43">
        <f>(1+$B$12)^-A54</f>
        <v>0.970873786407767</v>
      </c>
      <c r="N54" s="33">
        <f t="shared" ref="N54:N63" si="27">J54*M54*H54</f>
        <v>491029.11432048515</v>
      </c>
      <c r="O54" s="33">
        <f>K54*M54*I54</f>
        <v>-4550.1818444609817</v>
      </c>
      <c r="P54" s="37"/>
    </row>
    <row r="55" spans="1:16" x14ac:dyDescent="0.25">
      <c r="A55" s="36">
        <f>A54+1</f>
        <v>2</v>
      </c>
      <c r="B55" s="42">
        <v>0.52446832202340377</v>
      </c>
      <c r="C55" s="43">
        <f t="shared" ref="C55:C63" si="28">_xlfn.NORM.INV(B55, 0, 1)</f>
        <v>6.1371491605184153E-2</v>
      </c>
      <c r="D55" s="44">
        <f t="shared" ref="D55:D63" si="29">$D$19*EXP(($B$8-($B$9^2)/2)*$A55+$B$9*$C55*SQRT($A55))</f>
        <v>0.99604555821026997</v>
      </c>
      <c r="E55" s="33">
        <f t="shared" ref="E55:E63" si="30">(E54-J54)*(D55/D54)</f>
        <v>28698064.623154301</v>
      </c>
      <c r="F55" s="45">
        <f t="shared" ref="F55:F63" si="31">$B$14</f>
        <v>1E-3</v>
      </c>
      <c r="G55" s="41">
        <f t="shared" ref="G55:G63" si="32">1-F55</f>
        <v>0.999</v>
      </c>
      <c r="H55" s="43">
        <f t="shared" ref="H55:H63" si="33">H54*G55</f>
        <v>0.99800100000000003</v>
      </c>
      <c r="I55" s="46">
        <f t="shared" ref="I55:I63" si="34">H54*F55</f>
        <v>9.990000000000001E-4</v>
      </c>
      <c r="J55" s="33">
        <f t="shared" si="26"/>
        <v>573961.29246308608</v>
      </c>
      <c r="K55" s="33">
        <f t="shared" ref="K55:K63" si="35">MIN(0, E55-$B$11)</f>
        <v>-1301935.3768456988</v>
      </c>
      <c r="L55" s="37"/>
      <c r="M55" s="43">
        <f t="shared" ref="M55:M63" si="36">(1+$B$12)^-A55</f>
        <v>0.94259590913375435</v>
      </c>
      <c r="N55" s="33">
        <f t="shared" si="27"/>
        <v>539932.08015783993</v>
      </c>
      <c r="O55" s="33">
        <f t="shared" ref="O55:O63" si="37">K55*M55*I55</f>
        <v>-1225.9717612110974</v>
      </c>
      <c r="P55" s="37"/>
    </row>
    <row r="56" spans="1:16" x14ac:dyDescent="0.25">
      <c r="A56" s="36">
        <f t="shared" ref="A56:A63" si="38">A55+1</f>
        <v>3</v>
      </c>
      <c r="B56" s="42">
        <v>0.96150861201037574</v>
      </c>
      <c r="C56" s="43">
        <f t="shared" si="28"/>
        <v>1.7684675288559475</v>
      </c>
      <c r="D56" s="44">
        <f t="shared" si="29"/>
        <v>2.3962923375024832</v>
      </c>
      <c r="E56" s="33">
        <f t="shared" si="30"/>
        <v>67661135.331559122</v>
      </c>
      <c r="F56" s="45">
        <f t="shared" si="31"/>
        <v>1E-3</v>
      </c>
      <c r="G56" s="41">
        <f t="shared" si="32"/>
        <v>0.999</v>
      </c>
      <c r="H56" s="43">
        <f t="shared" si="33"/>
        <v>0.997002999</v>
      </c>
      <c r="I56" s="46">
        <f t="shared" si="34"/>
        <v>9.980010000000001E-4</v>
      </c>
      <c r="J56" s="33">
        <f t="shared" si="26"/>
        <v>1353222.7066311825</v>
      </c>
      <c r="K56" s="33">
        <f t="shared" si="35"/>
        <v>0</v>
      </c>
      <c r="L56" s="37"/>
      <c r="M56" s="43">
        <f t="shared" si="36"/>
        <v>0.91514165935315961</v>
      </c>
      <c r="N56" s="33">
        <f t="shared" si="27"/>
        <v>1234679.0157342011</v>
      </c>
      <c r="O56" s="33">
        <f t="shared" si="37"/>
        <v>0</v>
      </c>
      <c r="P56" s="37"/>
    </row>
    <row r="57" spans="1:16" x14ac:dyDescent="0.25">
      <c r="A57" s="36">
        <f t="shared" si="38"/>
        <v>4</v>
      </c>
      <c r="B57" s="42">
        <v>0.91376456108351245</v>
      </c>
      <c r="C57" s="43">
        <f t="shared" si="28"/>
        <v>1.3643072729777905</v>
      </c>
      <c r="D57" s="44">
        <f t="shared" si="29"/>
        <v>2.1352513408147611</v>
      </c>
      <c r="E57" s="33">
        <f t="shared" si="30"/>
        <v>59084635.510945328</v>
      </c>
      <c r="F57" s="45">
        <f t="shared" si="31"/>
        <v>1E-3</v>
      </c>
      <c r="G57" s="41">
        <f t="shared" si="32"/>
        <v>0.999</v>
      </c>
      <c r="H57" s="43">
        <f t="shared" si="33"/>
        <v>0.99600599600100004</v>
      </c>
      <c r="I57" s="46">
        <f t="shared" si="34"/>
        <v>9.97002999E-4</v>
      </c>
      <c r="J57" s="33">
        <f t="shared" si="26"/>
        <v>1181692.7102189066</v>
      </c>
      <c r="K57" s="33">
        <f t="shared" si="35"/>
        <v>0</v>
      </c>
      <c r="L57" s="37"/>
      <c r="M57" s="43">
        <f t="shared" si="36"/>
        <v>0.888487047915689</v>
      </c>
      <c r="N57" s="33">
        <f t="shared" si="27"/>
        <v>1045725.2882886837</v>
      </c>
      <c r="O57" s="33">
        <f t="shared" si="37"/>
        <v>0</v>
      </c>
      <c r="P57" s="37"/>
    </row>
    <row r="58" spans="1:16" x14ac:dyDescent="0.25">
      <c r="A58" s="36">
        <f t="shared" si="38"/>
        <v>5</v>
      </c>
      <c r="B58" s="42">
        <v>0.91710192469551111</v>
      </c>
      <c r="C58" s="43">
        <f t="shared" si="28"/>
        <v>1.3858387383072091</v>
      </c>
      <c r="D58" s="44">
        <f t="shared" si="29"/>
        <v>2.3505489283531551</v>
      </c>
      <c r="E58" s="33">
        <f t="shared" si="30"/>
        <v>63741301.80703111</v>
      </c>
      <c r="F58" s="45">
        <f t="shared" si="31"/>
        <v>1E-3</v>
      </c>
      <c r="G58" s="41">
        <f t="shared" si="32"/>
        <v>0.999</v>
      </c>
      <c r="H58" s="43">
        <f t="shared" si="33"/>
        <v>0.99500999000499901</v>
      </c>
      <c r="I58" s="46">
        <f t="shared" si="34"/>
        <v>9.960059960010001E-4</v>
      </c>
      <c r="J58" s="33">
        <f t="shared" si="26"/>
        <v>1274826.0361406223</v>
      </c>
      <c r="K58" s="33">
        <f t="shared" si="35"/>
        <v>0</v>
      </c>
      <c r="L58" s="37"/>
      <c r="M58" s="43">
        <f t="shared" si="36"/>
        <v>0.86260878438416411</v>
      </c>
      <c r="N58" s="33">
        <f t="shared" si="27"/>
        <v>1094188.7424199712</v>
      </c>
      <c r="O58" s="33">
        <f t="shared" si="37"/>
        <v>0</v>
      </c>
      <c r="P58" s="37"/>
    </row>
    <row r="59" spans="1:16" x14ac:dyDescent="0.25">
      <c r="A59" s="36">
        <f t="shared" si="38"/>
        <v>6</v>
      </c>
      <c r="B59" s="42">
        <v>0.81511346916180294</v>
      </c>
      <c r="C59" s="43">
        <f t="shared" si="28"/>
        <v>0.89689853544314979</v>
      </c>
      <c r="D59" s="44">
        <f t="shared" si="29"/>
        <v>1.7666465214384333</v>
      </c>
      <c r="E59" s="33">
        <f t="shared" si="30"/>
        <v>46949110.820883773</v>
      </c>
      <c r="F59" s="45">
        <f t="shared" si="31"/>
        <v>1E-3</v>
      </c>
      <c r="G59" s="41">
        <f t="shared" si="32"/>
        <v>0.999</v>
      </c>
      <c r="H59" s="43">
        <f t="shared" si="33"/>
        <v>0.994014980014994</v>
      </c>
      <c r="I59" s="46">
        <f t="shared" si="34"/>
        <v>9.9500999000499903E-4</v>
      </c>
      <c r="J59" s="33">
        <f t="shared" si="26"/>
        <v>938982.21641767549</v>
      </c>
      <c r="K59" s="33">
        <f t="shared" si="35"/>
        <v>0</v>
      </c>
      <c r="L59" s="37"/>
      <c r="M59" s="43">
        <f t="shared" si="36"/>
        <v>0.83748425668365445</v>
      </c>
      <c r="N59" s="33">
        <f t="shared" si="27"/>
        <v>781676.30664088076</v>
      </c>
      <c r="O59" s="33">
        <f t="shared" si="37"/>
        <v>0</v>
      </c>
      <c r="P59" s="37"/>
    </row>
    <row r="60" spans="1:16" x14ac:dyDescent="0.25">
      <c r="A60" s="36">
        <f t="shared" si="38"/>
        <v>7</v>
      </c>
      <c r="B60" s="42">
        <v>0.57402186024259994</v>
      </c>
      <c r="C60" s="43">
        <f t="shared" si="28"/>
        <v>0.18662293961763901</v>
      </c>
      <c r="D60" s="44">
        <f t="shared" si="29"/>
        <v>1.0440708656693776</v>
      </c>
      <c r="E60" s="33">
        <f t="shared" si="30"/>
        <v>27191537.310197793</v>
      </c>
      <c r="F60" s="45">
        <f t="shared" si="31"/>
        <v>1E-3</v>
      </c>
      <c r="G60" s="41">
        <f t="shared" si="32"/>
        <v>0.999</v>
      </c>
      <c r="H60" s="43">
        <f t="shared" si="33"/>
        <v>0.99302096503497905</v>
      </c>
      <c r="I60" s="46">
        <f t="shared" si="34"/>
        <v>9.9401498001499395E-4</v>
      </c>
      <c r="J60" s="33">
        <f t="shared" si="26"/>
        <v>543830.74620395584</v>
      </c>
      <c r="K60" s="33">
        <f t="shared" si="35"/>
        <v>-2808462.6898022071</v>
      </c>
      <c r="L60" s="37"/>
      <c r="M60" s="43">
        <f t="shared" si="36"/>
        <v>0.81309151134335378</v>
      </c>
      <c r="N60" s="33">
        <f t="shared" si="27"/>
        <v>439098.14460898837</v>
      </c>
      <c r="O60" s="33">
        <f t="shared" si="37"/>
        <v>-2269.8701573857716</v>
      </c>
      <c r="P60" s="37"/>
    </row>
    <row r="61" spans="1:16" x14ac:dyDescent="0.25">
      <c r="A61" s="36">
        <f t="shared" si="38"/>
        <v>8</v>
      </c>
      <c r="B61" s="42">
        <v>0.26994487462196859</v>
      </c>
      <c r="C61" s="43">
        <f t="shared" si="28"/>
        <v>-0.61297972000943313</v>
      </c>
      <c r="D61" s="44">
        <f t="shared" si="29"/>
        <v>0.52722359573075805</v>
      </c>
      <c r="E61" s="33">
        <f t="shared" si="30"/>
        <v>13456270.196410116</v>
      </c>
      <c r="F61" s="45">
        <f t="shared" si="31"/>
        <v>1E-3</v>
      </c>
      <c r="G61" s="41">
        <f t="shared" si="32"/>
        <v>0.999</v>
      </c>
      <c r="H61" s="43">
        <f t="shared" si="33"/>
        <v>0.9920279440699441</v>
      </c>
      <c r="I61" s="46">
        <f t="shared" si="34"/>
        <v>9.9302096503497907E-4</v>
      </c>
      <c r="J61" s="33">
        <f t="shared" si="26"/>
        <v>269125.40392820234</v>
      </c>
      <c r="K61" s="33">
        <f t="shared" si="35"/>
        <v>-16543729.803589884</v>
      </c>
      <c r="L61" s="37"/>
      <c r="M61" s="43">
        <f t="shared" si="36"/>
        <v>0.78940923431393573</v>
      </c>
      <c r="N61" s="33">
        <f t="shared" si="27"/>
        <v>210756.41513686435</v>
      </c>
      <c r="O61" s="33">
        <f t="shared" si="37"/>
        <v>-12968.628464009267</v>
      </c>
      <c r="P61" s="37"/>
    </row>
    <row r="62" spans="1:16" x14ac:dyDescent="0.25">
      <c r="A62" s="36">
        <f t="shared" si="38"/>
        <v>9</v>
      </c>
      <c r="B62" s="42">
        <v>0.10093917427203503</v>
      </c>
      <c r="C62" s="43">
        <f t="shared" si="28"/>
        <v>-1.2762183363088935</v>
      </c>
      <c r="D62" s="44">
        <f t="shared" si="29"/>
        <v>0.27703913458656082</v>
      </c>
      <c r="E62" s="33">
        <f t="shared" si="30"/>
        <v>6929422.7545205569</v>
      </c>
      <c r="F62" s="45">
        <f t="shared" si="31"/>
        <v>1E-3</v>
      </c>
      <c r="G62" s="41">
        <f t="shared" si="32"/>
        <v>0.999</v>
      </c>
      <c r="H62" s="43">
        <f t="shared" si="33"/>
        <v>0.99103591612587416</v>
      </c>
      <c r="I62" s="46">
        <f t="shared" si="34"/>
        <v>9.9202794406994411E-4</v>
      </c>
      <c r="J62" s="33">
        <f t="shared" si="26"/>
        <v>138588.45509041115</v>
      </c>
      <c r="K62" s="33">
        <f t="shared" si="35"/>
        <v>-23070577.245479442</v>
      </c>
      <c r="L62" s="37"/>
      <c r="M62" s="43">
        <f t="shared" si="36"/>
        <v>0.76641673234362695</v>
      </c>
      <c r="N62" s="33">
        <f t="shared" si="27"/>
        <v>105264.37717850099</v>
      </c>
      <c r="O62" s="33">
        <f t="shared" si="37"/>
        <v>-17540.717112358267</v>
      </c>
      <c r="P62" s="37"/>
    </row>
    <row r="63" spans="1:16" x14ac:dyDescent="0.25">
      <c r="A63" s="36">
        <f t="shared" si="38"/>
        <v>10</v>
      </c>
      <c r="B63" s="42">
        <v>6.6990928903821745E-3</v>
      </c>
      <c r="C63" s="43">
        <f t="shared" si="28"/>
        <v>-2.4730060953234205</v>
      </c>
      <c r="D63" s="44">
        <f t="shared" si="29"/>
        <v>8.2405789912203486E-2</v>
      </c>
      <c r="E63" s="33">
        <f t="shared" si="30"/>
        <v>2019945.9020204886</v>
      </c>
      <c r="F63" s="45">
        <f t="shared" si="31"/>
        <v>1E-3</v>
      </c>
      <c r="G63" s="41">
        <f t="shared" si="32"/>
        <v>0.999</v>
      </c>
      <c r="H63" s="43">
        <f t="shared" si="33"/>
        <v>0.99004488020974823</v>
      </c>
      <c r="I63" s="46">
        <f t="shared" si="34"/>
        <v>9.9103591612587408E-4</v>
      </c>
      <c r="J63" s="37"/>
      <c r="K63" s="33">
        <f t="shared" si="35"/>
        <v>-27980054.097979512</v>
      </c>
      <c r="L63" s="33">
        <f>MIN(0, E63-$B$11)</f>
        <v>-27980054.097979512</v>
      </c>
      <c r="M63" s="43">
        <f t="shared" si="36"/>
        <v>0.74409391489672516</v>
      </c>
      <c r="N63" s="33">
        <f t="shared" si="27"/>
        <v>0</v>
      </c>
      <c r="O63" s="33">
        <f t="shared" si="37"/>
        <v>-20633.157666978866</v>
      </c>
      <c r="P63" s="33">
        <f>L63*M63*H63</f>
        <v>-20612524.509311885</v>
      </c>
    </row>
    <row r="65" spans="1:16" x14ac:dyDescent="0.25">
      <c r="A65" s="30" t="s">
        <v>183</v>
      </c>
      <c r="B65" s="47">
        <f>-SUM(N53:N63)-SUM(O54:O63)-P63</f>
        <v>14129363.551831873</v>
      </c>
    </row>
    <row r="68" spans="1:16" x14ac:dyDescent="0.25">
      <c r="A68" s="190" t="s">
        <v>186</v>
      </c>
      <c r="B68" s="190"/>
      <c r="N68" s="34"/>
      <c r="O68" s="34"/>
    </row>
    <row r="69" spans="1:16" ht="41.4" x14ac:dyDescent="0.25">
      <c r="A69" s="35" t="s">
        <v>167</v>
      </c>
      <c r="B69" s="35" t="s">
        <v>168</v>
      </c>
      <c r="C69" s="35" t="s">
        <v>169</v>
      </c>
      <c r="D69" s="35" t="s">
        <v>170</v>
      </c>
      <c r="E69" s="35" t="s">
        <v>171</v>
      </c>
      <c r="F69" s="35" t="s">
        <v>172</v>
      </c>
      <c r="G69" s="35" t="s">
        <v>173</v>
      </c>
      <c r="H69" s="35" t="s">
        <v>174</v>
      </c>
      <c r="I69" s="35" t="s">
        <v>175</v>
      </c>
      <c r="J69" s="35" t="s">
        <v>176</v>
      </c>
      <c r="K69" s="35" t="s">
        <v>177</v>
      </c>
      <c r="L69" s="35" t="s">
        <v>178</v>
      </c>
      <c r="M69" s="35" t="s">
        <v>179</v>
      </c>
      <c r="N69" s="35" t="s">
        <v>180</v>
      </c>
      <c r="O69" s="35" t="s">
        <v>181</v>
      </c>
      <c r="P69" s="35" t="s">
        <v>182</v>
      </c>
    </row>
    <row r="70" spans="1:16" x14ac:dyDescent="0.25">
      <c r="A70" s="36">
        <v>0</v>
      </c>
      <c r="B70" s="37"/>
      <c r="C70" s="37"/>
      <c r="D70" s="38">
        <v>1</v>
      </c>
      <c r="E70" s="39">
        <f>$B$11</f>
        <v>30000000</v>
      </c>
      <c r="F70" s="37"/>
      <c r="G70" s="37"/>
      <c r="H70" s="40">
        <v>1</v>
      </c>
      <c r="I70" s="37"/>
      <c r="J70" s="33">
        <f>$E70*($B$13/10000)</f>
        <v>600000</v>
      </c>
      <c r="K70" s="37"/>
      <c r="L70" s="37"/>
      <c r="M70" s="41">
        <v>1</v>
      </c>
      <c r="N70" s="33">
        <f>J70*M70*H70</f>
        <v>600000</v>
      </c>
      <c r="O70" s="37"/>
      <c r="P70" s="37"/>
    </row>
    <row r="71" spans="1:16" x14ac:dyDescent="0.25">
      <c r="A71" s="36">
        <v>1</v>
      </c>
      <c r="B71" s="42">
        <v>0.28965676326196632</v>
      </c>
      <c r="C71" s="43">
        <f>_xlfn.NORM.INV(B71, 0, 1)</f>
        <v>-0.55438772271986292</v>
      </c>
      <c r="D71" s="44">
        <f>$D$19*EXP(($B$8-($B$9^2)/2)*$A71+$B$9*$C71*SQRT($A71))</f>
        <v>0.83417145450087116</v>
      </c>
      <c r="E71" s="33">
        <f>(E70-J70)*(D71/D70)</f>
        <v>24524640.762325611</v>
      </c>
      <c r="F71" s="45">
        <f>$B$14</f>
        <v>1E-3</v>
      </c>
      <c r="G71" s="41">
        <f>1-F71</f>
        <v>0.999</v>
      </c>
      <c r="H71" s="43">
        <f>H70*G71</f>
        <v>0.999</v>
      </c>
      <c r="I71" s="46">
        <f>H70*F71</f>
        <v>1E-3</v>
      </c>
      <c r="J71" s="33">
        <f t="shared" ref="J71:J79" si="39">$E71*($B$13/10000)</f>
        <v>490492.81524651224</v>
      </c>
      <c r="K71" s="33">
        <f>MIN(0, E71-$B$11)</f>
        <v>-5475359.237674389</v>
      </c>
      <c r="L71" s="37"/>
      <c r="M71" s="43">
        <f>(1+$B$12)^-A71</f>
        <v>0.970873786407767</v>
      </c>
      <c r="N71" s="33">
        <f t="shared" ref="N71:N80" si="40">J71*M71*H71</f>
        <v>475730.4101274425</v>
      </c>
      <c r="O71" s="33">
        <f>K71*M71*I71</f>
        <v>-5315.8827550236792</v>
      </c>
      <c r="P71" s="37"/>
    </row>
    <row r="72" spans="1:16" x14ac:dyDescent="0.25">
      <c r="A72" s="36">
        <f>A71+1</f>
        <v>2</v>
      </c>
      <c r="B72" s="42">
        <v>0.4177789417150769</v>
      </c>
      <c r="C72" s="43">
        <f t="shared" ref="C72:C80" si="41">_xlfn.NORM.INV(B72, 0, 1)</f>
        <v>-0.20757876865074912</v>
      </c>
      <c r="D72" s="44">
        <f t="shared" ref="D72:D80" si="42">$D$19*EXP(($B$8-($B$9^2)/2)*$A72+$B$9*$C72*SQRT($A72))</f>
        <v>0.88863543408852297</v>
      </c>
      <c r="E72" s="33">
        <f t="shared" ref="E72:E80" si="43">(E71-J71)*(D72/D71)</f>
        <v>25603364.126958523</v>
      </c>
      <c r="F72" s="45">
        <f t="shared" ref="F72:F80" si="44">$B$14</f>
        <v>1E-3</v>
      </c>
      <c r="G72" s="41">
        <f t="shared" ref="G72:G80" si="45">1-F72</f>
        <v>0.999</v>
      </c>
      <c r="H72" s="43">
        <f t="shared" ref="H72:H80" si="46">H71*G72</f>
        <v>0.99800100000000003</v>
      </c>
      <c r="I72" s="46">
        <f t="shared" ref="I72:I80" si="47">H71*F72</f>
        <v>9.990000000000001E-4</v>
      </c>
      <c r="J72" s="33">
        <f t="shared" si="39"/>
        <v>512067.28253917047</v>
      </c>
      <c r="K72" s="33">
        <f t="shared" ref="K72:K80" si="48">MIN(0, E72-$B$11)</f>
        <v>-4396635.8730414771</v>
      </c>
      <c r="L72" s="37"/>
      <c r="M72" s="43">
        <f t="shared" ref="M72:M80" si="49">(1+$B$12)^-A72</f>
        <v>0.94259590913375435</v>
      </c>
      <c r="N72" s="33">
        <f t="shared" si="40"/>
        <v>481707.6633437408</v>
      </c>
      <c r="O72" s="33">
        <f t="shared" ref="O72:O80" si="50">K72*M72*I72</f>
        <v>-4140.1067368917293</v>
      </c>
      <c r="P72" s="37"/>
    </row>
    <row r="73" spans="1:16" x14ac:dyDescent="0.25">
      <c r="A73" s="36">
        <f t="shared" ref="A73:A80" si="51">A72+1</f>
        <v>3</v>
      </c>
      <c r="B73" s="42">
        <v>0.79819528706440035</v>
      </c>
      <c r="C73" s="43">
        <f t="shared" si="41"/>
        <v>0.83519233291675088</v>
      </c>
      <c r="D73" s="44">
        <f t="shared" si="42"/>
        <v>1.4754730738613575</v>
      </c>
      <c r="E73" s="33">
        <f t="shared" si="43"/>
        <v>41661103.600011565</v>
      </c>
      <c r="F73" s="45">
        <f t="shared" si="44"/>
        <v>1E-3</v>
      </c>
      <c r="G73" s="41">
        <f t="shared" si="45"/>
        <v>0.999</v>
      </c>
      <c r="H73" s="43">
        <f t="shared" si="46"/>
        <v>0.997002999</v>
      </c>
      <c r="I73" s="46">
        <f t="shared" si="47"/>
        <v>9.980010000000001E-4</v>
      </c>
      <c r="J73" s="33">
        <f t="shared" si="39"/>
        <v>833222.07200023136</v>
      </c>
      <c r="K73" s="33">
        <f t="shared" si="48"/>
        <v>0</v>
      </c>
      <c r="L73" s="37"/>
      <c r="M73" s="43">
        <f t="shared" si="49"/>
        <v>0.91514165935315961</v>
      </c>
      <c r="N73" s="33">
        <f t="shared" si="40"/>
        <v>760230.96767740219</v>
      </c>
      <c r="O73" s="33">
        <f t="shared" si="50"/>
        <v>0</v>
      </c>
      <c r="P73" s="37"/>
    </row>
    <row r="74" spans="1:16" x14ac:dyDescent="0.25">
      <c r="A74" s="36">
        <f t="shared" si="51"/>
        <v>4</v>
      </c>
      <c r="B74" s="42">
        <v>0.274364014501988</v>
      </c>
      <c r="C74" s="43">
        <f t="shared" si="41"/>
        <v>-0.59966723440412284</v>
      </c>
      <c r="D74" s="44">
        <f t="shared" si="42"/>
        <v>0.65717801845804835</v>
      </c>
      <c r="E74" s="33">
        <f t="shared" si="43"/>
        <v>18184802.390327886</v>
      </c>
      <c r="F74" s="45">
        <f t="shared" si="44"/>
        <v>1E-3</v>
      </c>
      <c r="G74" s="41">
        <f t="shared" si="45"/>
        <v>0.999</v>
      </c>
      <c r="H74" s="43">
        <f t="shared" si="46"/>
        <v>0.99600599600100004</v>
      </c>
      <c r="I74" s="46">
        <f t="shared" si="47"/>
        <v>9.97002999E-4</v>
      </c>
      <c r="J74" s="33">
        <f t="shared" si="39"/>
        <v>363696.04780655773</v>
      </c>
      <c r="K74" s="33">
        <f t="shared" si="48"/>
        <v>-11815197.609672114</v>
      </c>
      <c r="L74" s="37"/>
      <c r="M74" s="43">
        <f t="shared" si="49"/>
        <v>0.888487047915689</v>
      </c>
      <c r="N74" s="33">
        <f t="shared" si="40"/>
        <v>321848.60848596814</v>
      </c>
      <c r="O74" s="33">
        <f t="shared" si="50"/>
        <v>-10466.188577076291</v>
      </c>
      <c r="P74" s="37"/>
    </row>
    <row r="75" spans="1:16" x14ac:dyDescent="0.25">
      <c r="A75" s="36">
        <f t="shared" si="51"/>
        <v>5</v>
      </c>
      <c r="B75" s="42">
        <v>0.35185946963489467</v>
      </c>
      <c r="C75" s="43">
        <f t="shared" si="41"/>
        <v>-0.38030511470775552</v>
      </c>
      <c r="D75" s="44">
        <f t="shared" si="42"/>
        <v>0.71884003645604111</v>
      </c>
      <c r="E75" s="33">
        <f t="shared" si="43"/>
        <v>19493233.755752578</v>
      </c>
      <c r="F75" s="45">
        <f t="shared" si="44"/>
        <v>1E-3</v>
      </c>
      <c r="G75" s="41">
        <f t="shared" si="45"/>
        <v>0.999</v>
      </c>
      <c r="H75" s="43">
        <f t="shared" si="46"/>
        <v>0.99500999000499901</v>
      </c>
      <c r="I75" s="46">
        <f t="shared" si="47"/>
        <v>9.960059960010001E-4</v>
      </c>
      <c r="J75" s="33">
        <f t="shared" si="39"/>
        <v>389864.67511505156</v>
      </c>
      <c r="K75" s="33">
        <f t="shared" si="48"/>
        <v>-10506766.244247422</v>
      </c>
      <c r="L75" s="37"/>
      <c r="M75" s="43">
        <f t="shared" si="49"/>
        <v>0.86260878438416411</v>
      </c>
      <c r="N75" s="33">
        <f t="shared" si="40"/>
        <v>334622.54965355404</v>
      </c>
      <c r="O75" s="33">
        <f t="shared" si="50"/>
        <v>-9027.0302854570982</v>
      </c>
      <c r="P75" s="37"/>
    </row>
    <row r="76" spans="1:16" x14ac:dyDescent="0.25">
      <c r="A76" s="36">
        <f t="shared" si="51"/>
        <v>6</v>
      </c>
      <c r="B76" s="42">
        <v>0.41007015226574839</v>
      </c>
      <c r="C76" s="43">
        <f t="shared" si="41"/>
        <v>-0.22736452289864106</v>
      </c>
      <c r="D76" s="44">
        <f t="shared" si="42"/>
        <v>0.77330780058960691</v>
      </c>
      <c r="E76" s="33">
        <f t="shared" si="43"/>
        <v>20550864.696450029</v>
      </c>
      <c r="F76" s="45">
        <f t="shared" si="44"/>
        <v>1E-3</v>
      </c>
      <c r="G76" s="41">
        <f t="shared" si="45"/>
        <v>0.999</v>
      </c>
      <c r="H76" s="43">
        <f t="shared" si="46"/>
        <v>0.994014980014994</v>
      </c>
      <c r="I76" s="46">
        <f t="shared" si="47"/>
        <v>9.9500999000499903E-4</v>
      </c>
      <c r="J76" s="33">
        <f t="shared" si="39"/>
        <v>411017.29392900056</v>
      </c>
      <c r="K76" s="33">
        <f t="shared" si="48"/>
        <v>-9449135.3035499714</v>
      </c>
      <c r="L76" s="37"/>
      <c r="M76" s="43">
        <f t="shared" si="49"/>
        <v>0.83748425668365445</v>
      </c>
      <c r="N76" s="33">
        <f t="shared" si="40"/>
        <v>342160.3462413589</v>
      </c>
      <c r="O76" s="33">
        <f t="shared" si="50"/>
        <v>-7874.0136016419401</v>
      </c>
      <c r="P76" s="37"/>
    </row>
    <row r="77" spans="1:16" x14ac:dyDescent="0.25">
      <c r="A77" s="36">
        <f t="shared" si="51"/>
        <v>7</v>
      </c>
      <c r="B77" s="42">
        <v>0.71475766321782142</v>
      </c>
      <c r="C77" s="43">
        <f t="shared" si="41"/>
        <v>0.56733783910390223</v>
      </c>
      <c r="D77" s="44">
        <f t="shared" si="42"/>
        <v>1.4124283392649206</v>
      </c>
      <c r="E77" s="33">
        <f t="shared" si="43"/>
        <v>36784953.155914165</v>
      </c>
      <c r="F77" s="45">
        <f t="shared" si="44"/>
        <v>1E-3</v>
      </c>
      <c r="G77" s="41">
        <f t="shared" si="45"/>
        <v>0.999</v>
      </c>
      <c r="H77" s="43">
        <f t="shared" si="46"/>
        <v>0.99302096503497905</v>
      </c>
      <c r="I77" s="46">
        <f t="shared" si="47"/>
        <v>9.9401498001499395E-4</v>
      </c>
      <c r="J77" s="33">
        <f t="shared" si="39"/>
        <v>735699.06311828329</v>
      </c>
      <c r="K77" s="33">
        <f t="shared" si="48"/>
        <v>0</v>
      </c>
      <c r="L77" s="37"/>
      <c r="M77" s="43">
        <f t="shared" si="49"/>
        <v>0.81309151134335378</v>
      </c>
      <c r="N77" s="33">
        <f t="shared" si="40"/>
        <v>594015.86957103782</v>
      </c>
      <c r="O77" s="33">
        <f t="shared" si="50"/>
        <v>0</v>
      </c>
      <c r="P77" s="37"/>
    </row>
    <row r="78" spans="1:16" x14ac:dyDescent="0.25">
      <c r="A78" s="36">
        <f t="shared" si="51"/>
        <v>8</v>
      </c>
      <c r="B78" s="42">
        <v>0.6073977510099221</v>
      </c>
      <c r="C78" s="43">
        <f t="shared" si="41"/>
        <v>0.2725430454245818</v>
      </c>
      <c r="D78" s="44">
        <f t="shared" si="42"/>
        <v>1.1176859621031026</v>
      </c>
      <c r="E78" s="33">
        <f t="shared" si="43"/>
        <v>28526576.622482006</v>
      </c>
      <c r="F78" s="45">
        <f t="shared" si="44"/>
        <v>1E-3</v>
      </c>
      <c r="G78" s="41">
        <f t="shared" si="45"/>
        <v>0.999</v>
      </c>
      <c r="H78" s="43">
        <f t="shared" si="46"/>
        <v>0.9920279440699441</v>
      </c>
      <c r="I78" s="46">
        <f t="shared" si="47"/>
        <v>9.9302096503497907E-4</v>
      </c>
      <c r="J78" s="33">
        <f t="shared" si="39"/>
        <v>570531.5324496401</v>
      </c>
      <c r="K78" s="33">
        <f t="shared" si="48"/>
        <v>-1473423.3775179945</v>
      </c>
      <c r="L78" s="37"/>
      <c r="M78" s="43">
        <f t="shared" si="49"/>
        <v>0.78940923431393573</v>
      </c>
      <c r="N78" s="33">
        <f t="shared" si="40"/>
        <v>446792.38283170911</v>
      </c>
      <c r="O78" s="33">
        <f t="shared" si="50"/>
        <v>-1155.0164672702863</v>
      </c>
      <c r="P78" s="37"/>
    </row>
    <row r="79" spans="1:16" x14ac:dyDescent="0.25">
      <c r="A79" s="36">
        <f t="shared" si="51"/>
        <v>9</v>
      </c>
      <c r="B79" s="42">
        <v>0.69914735845409925</v>
      </c>
      <c r="C79" s="43">
        <f t="shared" si="41"/>
        <v>0.52194980022968784</v>
      </c>
      <c r="D79" s="44">
        <f t="shared" si="42"/>
        <v>1.3975976805016521</v>
      </c>
      <c r="E79" s="33">
        <f t="shared" si="43"/>
        <v>34957318.154296227</v>
      </c>
      <c r="F79" s="45">
        <f t="shared" si="44"/>
        <v>1E-3</v>
      </c>
      <c r="G79" s="41">
        <f t="shared" si="45"/>
        <v>0.999</v>
      </c>
      <c r="H79" s="43">
        <f t="shared" si="46"/>
        <v>0.99103591612587416</v>
      </c>
      <c r="I79" s="46">
        <f t="shared" si="47"/>
        <v>9.9202794406994411E-4</v>
      </c>
      <c r="J79" s="33">
        <f t="shared" si="39"/>
        <v>699146.36308592453</v>
      </c>
      <c r="K79" s="33">
        <f t="shared" si="48"/>
        <v>0</v>
      </c>
      <c r="L79" s="37"/>
      <c r="M79" s="43">
        <f t="shared" si="49"/>
        <v>0.76641673234362695</v>
      </c>
      <c r="N79" s="33">
        <f t="shared" si="40"/>
        <v>531034.17899306654</v>
      </c>
      <c r="O79" s="33">
        <f t="shared" si="50"/>
        <v>0</v>
      </c>
      <c r="P79" s="37"/>
    </row>
    <row r="80" spans="1:16" x14ac:dyDescent="0.25">
      <c r="A80" s="36">
        <f t="shared" si="51"/>
        <v>10</v>
      </c>
      <c r="B80" s="42">
        <v>0.84261668690389069</v>
      </c>
      <c r="C80" s="43">
        <f t="shared" si="41"/>
        <v>1.0052704786793498</v>
      </c>
      <c r="D80" s="44">
        <f t="shared" si="42"/>
        <v>2.2337534079341066</v>
      </c>
      <c r="E80" s="33">
        <f t="shared" si="43"/>
        <v>54754175.007460326</v>
      </c>
      <c r="F80" s="45">
        <f t="shared" si="44"/>
        <v>1E-3</v>
      </c>
      <c r="G80" s="41">
        <f t="shared" si="45"/>
        <v>0.999</v>
      </c>
      <c r="H80" s="43">
        <f t="shared" si="46"/>
        <v>0.99004488020974823</v>
      </c>
      <c r="I80" s="46">
        <f t="shared" si="47"/>
        <v>9.9103591612587408E-4</v>
      </c>
      <c r="J80" s="37"/>
      <c r="K80" s="33">
        <f t="shared" si="48"/>
        <v>0</v>
      </c>
      <c r="L80" s="33">
        <f>MIN(0, E80-$B$11)</f>
        <v>0</v>
      </c>
      <c r="M80" s="43">
        <f t="shared" si="49"/>
        <v>0.74409391489672516</v>
      </c>
      <c r="N80" s="33">
        <f t="shared" si="40"/>
        <v>0</v>
      </c>
      <c r="O80" s="33">
        <f t="shared" si="50"/>
        <v>0</v>
      </c>
      <c r="P80" s="33">
        <f>L80*M80*H80</f>
        <v>0</v>
      </c>
    </row>
    <row r="82" spans="1:16" x14ac:dyDescent="0.25">
      <c r="A82" s="30" t="s">
        <v>183</v>
      </c>
      <c r="B82" s="47">
        <f>-SUM(N70:N80)-SUM(O71:O80)-P80</f>
        <v>-4850164.7385019194</v>
      </c>
    </row>
    <row r="85" spans="1:16" x14ac:dyDescent="0.25">
      <c r="A85" s="190" t="s">
        <v>187</v>
      </c>
      <c r="B85" s="190"/>
      <c r="N85" s="34"/>
      <c r="O85" s="34"/>
    </row>
    <row r="86" spans="1:16" ht="41.4" x14ac:dyDescent="0.25">
      <c r="A86" s="35" t="s">
        <v>167</v>
      </c>
      <c r="B86" s="35" t="s">
        <v>168</v>
      </c>
      <c r="C86" s="35" t="s">
        <v>169</v>
      </c>
      <c r="D86" s="35" t="s">
        <v>170</v>
      </c>
      <c r="E86" s="35" t="s">
        <v>171</v>
      </c>
      <c r="F86" s="35" t="s">
        <v>172</v>
      </c>
      <c r="G86" s="35" t="s">
        <v>173</v>
      </c>
      <c r="H86" s="35" t="s">
        <v>174</v>
      </c>
      <c r="I86" s="35" t="s">
        <v>175</v>
      </c>
      <c r="J86" s="35" t="s">
        <v>176</v>
      </c>
      <c r="K86" s="35" t="s">
        <v>177</v>
      </c>
      <c r="L86" s="35" t="s">
        <v>178</v>
      </c>
      <c r="M86" s="35" t="s">
        <v>179</v>
      </c>
      <c r="N86" s="35" t="s">
        <v>180</v>
      </c>
      <c r="O86" s="35" t="s">
        <v>181</v>
      </c>
      <c r="P86" s="35" t="s">
        <v>182</v>
      </c>
    </row>
    <row r="87" spans="1:16" x14ac:dyDescent="0.25">
      <c r="A87" s="36">
        <v>0</v>
      </c>
      <c r="B87" s="37"/>
      <c r="C87" s="37"/>
      <c r="D87" s="38">
        <v>1</v>
      </c>
      <c r="E87" s="39">
        <f>$B$11</f>
        <v>30000000</v>
      </c>
      <c r="F87" s="37"/>
      <c r="G87" s="37"/>
      <c r="H87" s="40">
        <v>1</v>
      </c>
      <c r="I87" s="37"/>
      <c r="J87" s="33">
        <f>$E87*($B$13/10000)</f>
        <v>600000</v>
      </c>
      <c r="K87" s="37"/>
      <c r="L87" s="37"/>
      <c r="M87" s="41">
        <v>1</v>
      </c>
      <c r="N87" s="33">
        <f>J87*M87*H87</f>
        <v>600000</v>
      </c>
      <c r="O87" s="37"/>
      <c r="P87" s="37"/>
    </row>
    <row r="88" spans="1:16" x14ac:dyDescent="0.25">
      <c r="A88" s="36">
        <v>1</v>
      </c>
      <c r="B88" s="42">
        <v>0.62394139512760227</v>
      </c>
      <c r="C88" s="43">
        <f>_xlfn.NORM.INV(B88, 0, 1)</f>
        <v>0.31584888675038419</v>
      </c>
      <c r="D88" s="44">
        <f>$D$19*EXP(($B$8-($B$9^2)/2)*$A88+$B$9*$C88*SQRT($A88))</f>
        <v>1.0830213331508911</v>
      </c>
      <c r="E88" s="33">
        <f>(E87-J87)*(D88/D87)</f>
        <v>31840827.1946362</v>
      </c>
      <c r="F88" s="45">
        <f>$B$14</f>
        <v>1E-3</v>
      </c>
      <c r="G88" s="41">
        <f>1-F88</f>
        <v>0.999</v>
      </c>
      <c r="H88" s="43">
        <f>H87*G88</f>
        <v>0.999</v>
      </c>
      <c r="I88" s="46">
        <f>H87*F88</f>
        <v>1E-3</v>
      </c>
      <c r="J88" s="33">
        <f t="shared" ref="J88:J96" si="52">$E88*($B$13/10000)</f>
        <v>636816.54389272397</v>
      </c>
      <c r="K88" s="33">
        <f>MIN(0, E88-$B$11)</f>
        <v>0</v>
      </c>
      <c r="L88" s="37"/>
      <c r="M88" s="43">
        <f>(1+$B$12)^-A88</f>
        <v>0.970873786407767</v>
      </c>
      <c r="N88" s="33">
        <f t="shared" ref="N88:N97" si="53">J88*M88*H88</f>
        <v>617650.22072702064</v>
      </c>
      <c r="O88" s="33">
        <f>K88*M88*I88</f>
        <v>0</v>
      </c>
      <c r="P88" s="37"/>
    </row>
    <row r="89" spans="1:16" x14ac:dyDescent="0.25">
      <c r="A89" s="36">
        <f>A88+1</f>
        <v>2</v>
      </c>
      <c r="B89" s="42">
        <v>0.85749977261857468</v>
      </c>
      <c r="C89" s="43">
        <f t="shared" ref="C89:C97" si="54">_xlfn.NORM.INV(B89, 0, 1)</f>
        <v>1.0691536176051368</v>
      </c>
      <c r="D89" s="44">
        <f t="shared" ref="D89:D97" si="55">$D$19*EXP(($B$8-($B$9^2)/2)*$A89+$B$9*$C89*SQRT($A89))</f>
        <v>1.5274557822944828</v>
      </c>
      <c r="E89" s="33">
        <f t="shared" ref="E89:E97" si="56">(E88-J88)*(D89/D88)</f>
        <v>44009055.999468639</v>
      </c>
      <c r="F89" s="45">
        <f t="shared" ref="F89:F97" si="57">$B$14</f>
        <v>1E-3</v>
      </c>
      <c r="G89" s="41">
        <f t="shared" ref="G89:G97" si="58">1-F89</f>
        <v>0.999</v>
      </c>
      <c r="H89" s="43">
        <f t="shared" ref="H89:H97" si="59">H88*G89</f>
        <v>0.99800100000000003</v>
      </c>
      <c r="I89" s="46">
        <f t="shared" ref="I89:I97" si="60">H88*F89</f>
        <v>9.990000000000001E-4</v>
      </c>
      <c r="J89" s="33">
        <f t="shared" si="52"/>
        <v>880181.11998937279</v>
      </c>
      <c r="K89" s="33">
        <f t="shared" ref="K89:K97" si="61">MIN(0, E89-$B$11)</f>
        <v>0</v>
      </c>
      <c r="L89" s="37"/>
      <c r="M89" s="43">
        <f t="shared" ref="M89:M97" si="62">(1+$B$12)^-A89</f>
        <v>0.94259590913375435</v>
      </c>
      <c r="N89" s="33">
        <f t="shared" si="53"/>
        <v>827996.64240787458</v>
      </c>
      <c r="O89" s="33">
        <f t="shared" ref="O89:O97" si="63">K89*M89*I89</f>
        <v>0</v>
      </c>
      <c r="P89" s="37"/>
    </row>
    <row r="90" spans="1:16" x14ac:dyDescent="0.25">
      <c r="A90" s="36">
        <f t="shared" ref="A90:A97" si="64">A89+1</f>
        <v>3</v>
      </c>
      <c r="B90" s="42">
        <v>0.59386144448828837</v>
      </c>
      <c r="C90" s="43">
        <f t="shared" si="54"/>
        <v>0.23748943940573361</v>
      </c>
      <c r="D90" s="44">
        <f t="shared" si="55"/>
        <v>1.0815585823130121</v>
      </c>
      <c r="E90" s="33">
        <f t="shared" si="56"/>
        <v>30538628.556130454</v>
      </c>
      <c r="F90" s="45">
        <f t="shared" si="57"/>
        <v>1E-3</v>
      </c>
      <c r="G90" s="41">
        <f t="shared" si="58"/>
        <v>0.999</v>
      </c>
      <c r="H90" s="43">
        <f t="shared" si="59"/>
        <v>0.997002999</v>
      </c>
      <c r="I90" s="46">
        <f t="shared" si="60"/>
        <v>9.980010000000001E-4</v>
      </c>
      <c r="J90" s="33">
        <f t="shared" si="52"/>
        <v>610772.57112260908</v>
      </c>
      <c r="K90" s="33">
        <f t="shared" si="61"/>
        <v>0</v>
      </c>
      <c r="L90" s="37"/>
      <c r="M90" s="43">
        <f t="shared" si="62"/>
        <v>0.91514165935315961</v>
      </c>
      <c r="N90" s="33">
        <f t="shared" si="53"/>
        <v>557268.27022319578</v>
      </c>
      <c r="O90" s="33">
        <f t="shared" si="63"/>
        <v>0</v>
      </c>
      <c r="P90" s="37"/>
    </row>
    <row r="91" spans="1:16" x14ac:dyDescent="0.25">
      <c r="A91" s="36">
        <f t="shared" si="64"/>
        <v>4</v>
      </c>
      <c r="B91" s="42">
        <v>0.83478562768142572</v>
      </c>
      <c r="C91" s="43">
        <f t="shared" si="54"/>
        <v>0.97325064684313112</v>
      </c>
      <c r="D91" s="44">
        <f t="shared" si="55"/>
        <v>1.6886854535162907</v>
      </c>
      <c r="E91" s="33">
        <f t="shared" si="56"/>
        <v>46727690.837357596</v>
      </c>
      <c r="F91" s="45">
        <f t="shared" si="57"/>
        <v>1E-3</v>
      </c>
      <c r="G91" s="41">
        <f t="shared" si="58"/>
        <v>0.999</v>
      </c>
      <c r="H91" s="43">
        <f t="shared" si="59"/>
        <v>0.99600599600100004</v>
      </c>
      <c r="I91" s="46">
        <f t="shared" si="60"/>
        <v>9.97002999E-4</v>
      </c>
      <c r="J91" s="33">
        <f t="shared" si="52"/>
        <v>934553.8167471519</v>
      </c>
      <c r="K91" s="33">
        <f t="shared" si="61"/>
        <v>0</v>
      </c>
      <c r="L91" s="37"/>
      <c r="M91" s="43">
        <f t="shared" si="62"/>
        <v>0.888487047915689</v>
      </c>
      <c r="N91" s="33">
        <f t="shared" si="53"/>
        <v>827022.5846262218</v>
      </c>
      <c r="O91" s="33">
        <f t="shared" si="63"/>
        <v>0</v>
      </c>
      <c r="P91" s="37"/>
    </row>
    <row r="92" spans="1:16" x14ac:dyDescent="0.25">
      <c r="A92" s="36">
        <f t="shared" si="64"/>
        <v>5</v>
      </c>
      <c r="B92" s="42">
        <v>0.46892975271925663</v>
      </c>
      <c r="C92" s="43">
        <f t="shared" si="54"/>
        <v>-7.7960460169951534E-2</v>
      </c>
      <c r="D92" s="44">
        <f t="shared" si="55"/>
        <v>0.88047172275343633</v>
      </c>
      <c r="E92" s="33">
        <f t="shared" si="56"/>
        <v>23876301.035734646</v>
      </c>
      <c r="F92" s="45">
        <f t="shared" si="57"/>
        <v>1E-3</v>
      </c>
      <c r="G92" s="41">
        <f t="shared" si="58"/>
        <v>0.999</v>
      </c>
      <c r="H92" s="43">
        <f t="shared" si="59"/>
        <v>0.99500999000499901</v>
      </c>
      <c r="I92" s="46">
        <f t="shared" si="60"/>
        <v>9.960059960010001E-4</v>
      </c>
      <c r="J92" s="33">
        <f t="shared" si="52"/>
        <v>477526.02071469295</v>
      </c>
      <c r="K92" s="33">
        <f t="shared" si="61"/>
        <v>-6123698.964265354</v>
      </c>
      <c r="L92" s="37"/>
      <c r="M92" s="43">
        <f t="shared" si="62"/>
        <v>0.86260878438416411</v>
      </c>
      <c r="N92" s="33">
        <f t="shared" si="53"/>
        <v>409862.66460358608</v>
      </c>
      <c r="O92" s="33">
        <f t="shared" si="63"/>
        <v>-5261.2587664364783</v>
      </c>
      <c r="P92" s="37"/>
    </row>
    <row r="93" spans="1:16" x14ac:dyDescent="0.25">
      <c r="A93" s="36">
        <f t="shared" si="64"/>
        <v>6</v>
      </c>
      <c r="B93" s="42">
        <v>0.16252626490463062</v>
      </c>
      <c r="C93" s="43">
        <f t="shared" si="54"/>
        <v>-0.98412810480242185</v>
      </c>
      <c r="D93" s="44">
        <f t="shared" si="55"/>
        <v>0.44344410821619995</v>
      </c>
      <c r="E93" s="33">
        <f t="shared" si="56"/>
        <v>11784647.538070556</v>
      </c>
      <c r="F93" s="45">
        <f t="shared" si="57"/>
        <v>1E-3</v>
      </c>
      <c r="G93" s="41">
        <f t="shared" si="58"/>
        <v>0.999</v>
      </c>
      <c r="H93" s="43">
        <f t="shared" si="59"/>
        <v>0.994014980014994</v>
      </c>
      <c r="I93" s="46">
        <f t="shared" si="60"/>
        <v>9.9500999000499903E-4</v>
      </c>
      <c r="J93" s="33">
        <f t="shared" si="52"/>
        <v>235692.95076141111</v>
      </c>
      <c r="K93" s="33">
        <f t="shared" si="61"/>
        <v>-18215352.461929444</v>
      </c>
      <c r="L93" s="37"/>
      <c r="M93" s="43">
        <f t="shared" si="62"/>
        <v>0.83748425668365445</v>
      </c>
      <c r="N93" s="33">
        <f t="shared" si="53"/>
        <v>196207.75775216561</v>
      </c>
      <c r="O93" s="33">
        <f t="shared" si="63"/>
        <v>-15178.947960460428</v>
      </c>
      <c r="P93" s="37"/>
    </row>
    <row r="94" spans="1:16" x14ac:dyDescent="0.25">
      <c r="A94" s="36">
        <f t="shared" si="64"/>
        <v>7</v>
      </c>
      <c r="B94" s="42">
        <v>0.23450899226484689</v>
      </c>
      <c r="C94" s="43">
        <f t="shared" si="54"/>
        <v>-0.7240777810589567</v>
      </c>
      <c r="D94" s="44">
        <f t="shared" si="55"/>
        <v>0.50675941149156289</v>
      </c>
      <c r="E94" s="33">
        <f t="shared" si="56"/>
        <v>13197923.529867211</v>
      </c>
      <c r="F94" s="45">
        <f t="shared" si="57"/>
        <v>1E-3</v>
      </c>
      <c r="G94" s="41">
        <f t="shared" si="58"/>
        <v>0.999</v>
      </c>
      <c r="H94" s="43">
        <f t="shared" si="59"/>
        <v>0.99302096503497905</v>
      </c>
      <c r="I94" s="46">
        <f t="shared" si="60"/>
        <v>9.9401498001499395E-4</v>
      </c>
      <c r="J94" s="33">
        <f t="shared" si="52"/>
        <v>263958.47059734422</v>
      </c>
      <c r="K94" s="33">
        <f t="shared" si="61"/>
        <v>-16802076.470132791</v>
      </c>
      <c r="L94" s="37"/>
      <c r="M94" s="43">
        <f t="shared" si="62"/>
        <v>0.81309151134335378</v>
      </c>
      <c r="N94" s="33">
        <f t="shared" si="53"/>
        <v>213124.53461329686</v>
      </c>
      <c r="O94" s="33">
        <f t="shared" si="63"/>
        <v>-13579.860647660622</v>
      </c>
      <c r="P94" s="37"/>
    </row>
    <row r="95" spans="1:16" x14ac:dyDescent="0.25">
      <c r="A95" s="36">
        <f t="shared" si="64"/>
        <v>8</v>
      </c>
      <c r="B95" s="42">
        <v>0.20940245880723796</v>
      </c>
      <c r="C95" s="43">
        <f t="shared" si="54"/>
        <v>-0.8084963305055598</v>
      </c>
      <c r="D95" s="44">
        <f t="shared" si="55"/>
        <v>0.44662682098345585</v>
      </c>
      <c r="E95" s="33">
        <f t="shared" si="56"/>
        <v>11399207.525579371</v>
      </c>
      <c r="F95" s="45">
        <f t="shared" si="57"/>
        <v>1E-3</v>
      </c>
      <c r="G95" s="41">
        <f t="shared" si="58"/>
        <v>0.999</v>
      </c>
      <c r="H95" s="43">
        <f t="shared" si="59"/>
        <v>0.9920279440699441</v>
      </c>
      <c r="I95" s="46">
        <f t="shared" si="60"/>
        <v>9.9302096503497907E-4</v>
      </c>
      <c r="J95" s="33">
        <f t="shared" si="52"/>
        <v>227984.15051158742</v>
      </c>
      <c r="K95" s="33">
        <f t="shared" si="61"/>
        <v>-18600792.474420629</v>
      </c>
      <c r="L95" s="37"/>
      <c r="M95" s="43">
        <f t="shared" si="62"/>
        <v>0.78940923431393573</v>
      </c>
      <c r="N95" s="33">
        <f t="shared" si="53"/>
        <v>178538.04051387173</v>
      </c>
      <c r="O95" s="33">
        <f t="shared" si="63"/>
        <v>-14581.159726421307</v>
      </c>
      <c r="P95" s="37"/>
    </row>
    <row r="96" spans="1:16" x14ac:dyDescent="0.25">
      <c r="A96" s="36">
        <f t="shared" si="64"/>
        <v>9</v>
      </c>
      <c r="B96" s="42">
        <v>0.59190339227055644</v>
      </c>
      <c r="C96" s="43">
        <f t="shared" si="54"/>
        <v>0.23244395118674899</v>
      </c>
      <c r="D96" s="44">
        <f t="shared" si="55"/>
        <v>1.0770217102704629</v>
      </c>
      <c r="E96" s="33">
        <f t="shared" si="56"/>
        <v>26938933.221107557</v>
      </c>
      <c r="F96" s="45">
        <f t="shared" si="57"/>
        <v>1E-3</v>
      </c>
      <c r="G96" s="41">
        <f t="shared" si="58"/>
        <v>0.999</v>
      </c>
      <c r="H96" s="43">
        <f t="shared" si="59"/>
        <v>0.99103591612587416</v>
      </c>
      <c r="I96" s="46">
        <f t="shared" si="60"/>
        <v>9.9202794406994411E-4</v>
      </c>
      <c r="J96" s="33">
        <f t="shared" si="52"/>
        <v>538778.66442215117</v>
      </c>
      <c r="K96" s="33">
        <f t="shared" si="61"/>
        <v>-3061066.7788924426</v>
      </c>
      <c r="L96" s="37"/>
      <c r="M96" s="43">
        <f t="shared" si="62"/>
        <v>0.76641673234362695</v>
      </c>
      <c r="N96" s="33">
        <f t="shared" si="53"/>
        <v>409227.45340124908</v>
      </c>
      <c r="O96" s="33">
        <f t="shared" si="63"/>
        <v>-2327.3499340425469</v>
      </c>
      <c r="P96" s="37"/>
    </row>
    <row r="97" spans="1:16" x14ac:dyDescent="0.25">
      <c r="A97" s="36">
        <f t="shared" si="64"/>
        <v>10</v>
      </c>
      <c r="B97" s="42">
        <v>0.48084412981019475</v>
      </c>
      <c r="C97" s="43">
        <f t="shared" si="54"/>
        <v>-4.8035111929789522E-2</v>
      </c>
      <c r="D97" s="44">
        <f t="shared" si="55"/>
        <v>0.82236568679418121</v>
      </c>
      <c r="E97" s="33">
        <f t="shared" si="56"/>
        <v>20157979.199907809</v>
      </c>
      <c r="F97" s="45">
        <f t="shared" si="57"/>
        <v>1E-3</v>
      </c>
      <c r="G97" s="41">
        <f t="shared" si="58"/>
        <v>0.999</v>
      </c>
      <c r="H97" s="43">
        <f t="shared" si="59"/>
        <v>0.99004488020974823</v>
      </c>
      <c r="I97" s="46">
        <f t="shared" si="60"/>
        <v>9.9103591612587408E-4</v>
      </c>
      <c r="J97" s="37"/>
      <c r="K97" s="33">
        <f t="shared" si="61"/>
        <v>-9842020.8000921905</v>
      </c>
      <c r="L97" s="33">
        <f>MIN(0, E97-$B$11)</f>
        <v>-9842020.8000921905</v>
      </c>
      <c r="M97" s="43">
        <f t="shared" si="62"/>
        <v>0.74409391489672516</v>
      </c>
      <c r="N97" s="33">
        <f t="shared" si="53"/>
        <v>0</v>
      </c>
      <c r="O97" s="33">
        <f t="shared" si="63"/>
        <v>-7257.7403252644826</v>
      </c>
      <c r="P97" s="33">
        <f>L97*M97*H97</f>
        <v>-7250482.5849392181</v>
      </c>
    </row>
    <row r="99" spans="1:16" x14ac:dyDescent="0.25">
      <c r="A99" s="30" t="s">
        <v>183</v>
      </c>
      <c r="B99" s="47">
        <f>-SUM(N87:N97)-SUM(O88:O97)-P97</f>
        <v>2471770.7334310208</v>
      </c>
    </row>
  </sheetData>
  <mergeCells count="5">
    <mergeCell ref="A17:B17"/>
    <mergeCell ref="A34:B34"/>
    <mergeCell ref="A51:B51"/>
    <mergeCell ref="A68:B68"/>
    <mergeCell ref="A85:B8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236A-5032-47E9-9B94-6183BDF82B3F}">
  <sheetPr>
    <tabColor rgb="FF0000FF"/>
  </sheetPr>
  <dimension ref="A1:G109"/>
  <sheetViews>
    <sheetView showGridLines="0" tabSelected="1" zoomScaleNormal="100" workbookViewId="0"/>
  </sheetViews>
  <sheetFormatPr defaultColWidth="9.109375" defaultRowHeight="13.8" x14ac:dyDescent="0.25"/>
  <cols>
    <col min="1" max="1" width="10.88671875" style="4" customWidth="1"/>
    <col min="2" max="2" width="15.33203125" style="1" bestFit="1" customWidth="1"/>
    <col min="3" max="3" width="9.109375" style="4"/>
    <col min="4" max="5" width="9.109375" style="1"/>
    <col min="6" max="6" width="27.6640625" style="1" customWidth="1"/>
    <col min="7" max="7" width="18.6640625" style="1" customWidth="1"/>
    <col min="8" max="16384" width="9.109375" style="1"/>
  </cols>
  <sheetData>
    <row r="1" spans="1:7" x14ac:dyDescent="0.25">
      <c r="A1" s="28" t="s">
        <v>133</v>
      </c>
    </row>
    <row r="2" spans="1:7" x14ac:dyDescent="0.25">
      <c r="A2" s="28" t="s">
        <v>134</v>
      </c>
    </row>
    <row r="3" spans="1:7" x14ac:dyDescent="0.25">
      <c r="A3" s="28" t="s">
        <v>135</v>
      </c>
    </row>
    <row r="4" spans="1:7" x14ac:dyDescent="0.25">
      <c r="A4" s="28" t="s">
        <v>136</v>
      </c>
    </row>
    <row r="5" spans="1:7" x14ac:dyDescent="0.25">
      <c r="A5" s="28" t="s">
        <v>137</v>
      </c>
    </row>
    <row r="6" spans="1:7" x14ac:dyDescent="0.25">
      <c r="A6" s="28" t="s">
        <v>138</v>
      </c>
    </row>
    <row r="8" spans="1:7" x14ac:dyDescent="0.25">
      <c r="F8" s="48" t="s">
        <v>188</v>
      </c>
    </row>
    <row r="9" spans="1:7" x14ac:dyDescent="0.25">
      <c r="A9" s="4" t="s">
        <v>189</v>
      </c>
      <c r="B9" s="4" t="s">
        <v>183</v>
      </c>
      <c r="C9" s="4" t="s">
        <v>190</v>
      </c>
      <c r="F9" s="48"/>
      <c r="G9" s="3"/>
    </row>
    <row r="10" spans="1:7" x14ac:dyDescent="0.25">
      <c r="A10" s="4">
        <v>1</v>
      </c>
      <c r="B10" s="19">
        <v>-415552.72837018193</v>
      </c>
      <c r="C10" s="49">
        <f>RANK(B10, $B$10:$B$109, 1)</f>
        <v>35</v>
      </c>
      <c r="F10" s="1" t="s">
        <v>191</v>
      </c>
      <c r="G10" s="50">
        <f>AVERAGE(B10:B109)</f>
        <v>6053059.7658536602</v>
      </c>
    </row>
    <row r="11" spans="1:7" x14ac:dyDescent="0.25">
      <c r="A11" s="4">
        <v>2</v>
      </c>
      <c r="B11" s="19">
        <v>7095424.5689442949</v>
      </c>
      <c r="C11" s="49">
        <f t="shared" ref="C11:C74" si="0">RANK(B11, $B$10:$B$109, 1)</f>
        <v>60</v>
      </c>
      <c r="F11" s="1" t="s">
        <v>192</v>
      </c>
      <c r="G11" s="51">
        <f>SUMIF($C$10:$C$109,"&gt;95",$B$10:$B$109)/5</f>
        <v>19430207.484369118</v>
      </c>
    </row>
    <row r="12" spans="1:7" x14ac:dyDescent="0.25">
      <c r="A12" s="4">
        <v>3</v>
      </c>
      <c r="B12" s="19">
        <v>-546356.77798182634</v>
      </c>
      <c r="C12" s="49">
        <f t="shared" si="0"/>
        <v>13</v>
      </c>
    </row>
    <row r="13" spans="1:7" x14ac:dyDescent="0.25">
      <c r="A13" s="4">
        <v>4</v>
      </c>
      <c r="B13" s="19">
        <v>19400399.491832647</v>
      </c>
      <c r="C13" s="49">
        <f t="shared" si="0"/>
        <v>98</v>
      </c>
      <c r="F13" s="1" t="s">
        <v>50</v>
      </c>
      <c r="G13" s="50">
        <f>G11-G10</f>
        <v>13377147.718515458</v>
      </c>
    </row>
    <row r="14" spans="1:7" x14ac:dyDescent="0.25">
      <c r="A14" s="4">
        <v>5</v>
      </c>
      <c r="B14" s="19">
        <v>15401854.23846386</v>
      </c>
      <c r="C14" s="49">
        <f t="shared" si="0"/>
        <v>83</v>
      </c>
    </row>
    <row r="15" spans="1:7" x14ac:dyDescent="0.25">
      <c r="A15" s="4">
        <v>6</v>
      </c>
      <c r="B15" s="19">
        <v>4950437.2482715342</v>
      </c>
      <c r="C15" s="49">
        <f t="shared" si="0"/>
        <v>52</v>
      </c>
    </row>
    <row r="16" spans="1:7" x14ac:dyDescent="0.25">
      <c r="A16" s="4">
        <v>7</v>
      </c>
      <c r="B16" s="19">
        <v>10022549.72918481</v>
      </c>
      <c r="C16" s="49">
        <f t="shared" si="0"/>
        <v>70</v>
      </c>
    </row>
    <row r="17" spans="1:3" x14ac:dyDescent="0.25">
      <c r="A17" s="4">
        <v>8</v>
      </c>
      <c r="B17" s="19">
        <v>1975098.5774415247</v>
      </c>
      <c r="C17" s="49">
        <f t="shared" si="0"/>
        <v>46</v>
      </c>
    </row>
    <row r="18" spans="1:3" x14ac:dyDescent="0.25">
      <c r="A18" s="4">
        <v>9</v>
      </c>
      <c r="B18" s="19">
        <v>1291509.9338522404</v>
      </c>
      <c r="C18" s="49">
        <f t="shared" si="0"/>
        <v>45</v>
      </c>
    </row>
    <row r="19" spans="1:3" x14ac:dyDescent="0.25">
      <c r="A19" s="4">
        <v>10</v>
      </c>
      <c r="B19" s="19">
        <v>6486157.3795480086</v>
      </c>
      <c r="C19" s="49">
        <f t="shared" si="0"/>
        <v>58</v>
      </c>
    </row>
    <row r="20" spans="1:3" x14ac:dyDescent="0.25">
      <c r="A20" s="4">
        <v>11</v>
      </c>
      <c r="B20" s="19">
        <v>-441933.76081744028</v>
      </c>
      <c r="C20" s="49">
        <f t="shared" si="0"/>
        <v>31</v>
      </c>
    </row>
    <row r="21" spans="1:3" x14ac:dyDescent="0.25">
      <c r="A21" s="4">
        <v>12</v>
      </c>
      <c r="B21" s="19">
        <v>8134876.7472008998</v>
      </c>
      <c r="C21" s="49">
        <f t="shared" si="0"/>
        <v>63</v>
      </c>
    </row>
    <row r="22" spans="1:3" x14ac:dyDescent="0.25">
      <c r="A22" s="4">
        <v>13</v>
      </c>
      <c r="B22" s="19">
        <v>-586495.40756333759</v>
      </c>
      <c r="C22" s="49">
        <f t="shared" si="0"/>
        <v>10</v>
      </c>
    </row>
    <row r="23" spans="1:3" x14ac:dyDescent="0.25">
      <c r="A23" s="4">
        <v>14</v>
      </c>
      <c r="B23" s="19">
        <v>-490496.8851158875</v>
      </c>
      <c r="C23" s="49">
        <f t="shared" si="0"/>
        <v>21</v>
      </c>
    </row>
    <row r="24" spans="1:3" x14ac:dyDescent="0.25">
      <c r="A24" s="4">
        <v>15</v>
      </c>
      <c r="B24" s="19">
        <v>16732152.363361146</v>
      </c>
      <c r="C24" s="49">
        <f t="shared" si="0"/>
        <v>89</v>
      </c>
    </row>
    <row r="25" spans="1:3" x14ac:dyDescent="0.25">
      <c r="A25" s="4">
        <v>16</v>
      </c>
      <c r="B25" s="19">
        <v>15514199.224289883</v>
      </c>
      <c r="C25" s="49">
        <f t="shared" si="0"/>
        <v>84</v>
      </c>
    </row>
    <row r="26" spans="1:3" x14ac:dyDescent="0.25">
      <c r="A26" s="4">
        <v>17</v>
      </c>
      <c r="B26" s="19">
        <v>5701977.6524105575</v>
      </c>
      <c r="C26" s="49">
        <f t="shared" si="0"/>
        <v>56</v>
      </c>
    </row>
    <row r="27" spans="1:3" x14ac:dyDescent="0.25">
      <c r="A27" s="4">
        <v>18</v>
      </c>
      <c r="B27" s="19">
        <v>19218593.314142779</v>
      </c>
      <c r="C27" s="49">
        <f t="shared" si="0"/>
        <v>97</v>
      </c>
    </row>
    <row r="28" spans="1:3" x14ac:dyDescent="0.25">
      <c r="A28" s="4">
        <v>19</v>
      </c>
      <c r="B28" s="19">
        <v>4581701.1605495922</v>
      </c>
      <c r="C28" s="49">
        <f t="shared" si="0"/>
        <v>51</v>
      </c>
    </row>
    <row r="29" spans="1:3" x14ac:dyDescent="0.25">
      <c r="A29" s="4">
        <v>20</v>
      </c>
      <c r="B29" s="19">
        <v>7721273.5056820977</v>
      </c>
      <c r="C29" s="49">
        <f t="shared" si="0"/>
        <v>62</v>
      </c>
    </row>
    <row r="30" spans="1:3" x14ac:dyDescent="0.25">
      <c r="A30" s="4">
        <v>21</v>
      </c>
      <c r="B30" s="19">
        <v>17069669.740193065</v>
      </c>
      <c r="C30" s="49">
        <f t="shared" si="0"/>
        <v>91</v>
      </c>
    </row>
    <row r="31" spans="1:3" x14ac:dyDescent="0.25">
      <c r="A31" s="4">
        <v>22</v>
      </c>
      <c r="B31" s="19">
        <v>16713773.638876704</v>
      </c>
      <c r="C31" s="49">
        <f t="shared" si="0"/>
        <v>88</v>
      </c>
    </row>
    <row r="32" spans="1:3" x14ac:dyDescent="0.25">
      <c r="A32" s="4">
        <v>23</v>
      </c>
      <c r="B32" s="19">
        <v>-453505.14619718061</v>
      </c>
      <c r="C32" s="49">
        <f t="shared" si="0"/>
        <v>27</v>
      </c>
    </row>
    <row r="33" spans="1:3" x14ac:dyDescent="0.25">
      <c r="A33" s="4">
        <v>24</v>
      </c>
      <c r="B33" s="19">
        <v>10567765.072327029</v>
      </c>
      <c r="C33" s="49">
        <f t="shared" si="0"/>
        <v>71</v>
      </c>
    </row>
    <row r="34" spans="1:3" x14ac:dyDescent="0.25">
      <c r="A34" s="4">
        <v>25</v>
      </c>
      <c r="B34" s="19">
        <v>5679576.5495906472</v>
      </c>
      <c r="C34" s="49">
        <f t="shared" si="0"/>
        <v>55</v>
      </c>
    </row>
    <row r="35" spans="1:3" x14ac:dyDescent="0.25">
      <c r="A35" s="4">
        <v>26</v>
      </c>
      <c r="B35" s="19">
        <v>8917929.9352497365</v>
      </c>
      <c r="C35" s="49">
        <f t="shared" si="0"/>
        <v>65</v>
      </c>
    </row>
    <row r="36" spans="1:3" x14ac:dyDescent="0.25">
      <c r="A36" s="4">
        <v>27</v>
      </c>
      <c r="B36" s="19">
        <v>-364554.06114656734</v>
      </c>
      <c r="C36" s="49">
        <f t="shared" si="0"/>
        <v>41</v>
      </c>
    </row>
    <row r="37" spans="1:3" x14ac:dyDescent="0.25">
      <c r="A37" s="4">
        <v>28</v>
      </c>
      <c r="B37" s="19">
        <v>3247262.3133125976</v>
      </c>
      <c r="C37" s="49">
        <f t="shared" si="0"/>
        <v>49</v>
      </c>
    </row>
    <row r="38" spans="1:3" x14ac:dyDescent="0.25">
      <c r="A38" s="4">
        <v>29</v>
      </c>
      <c r="B38" s="19">
        <v>-793471.51046421018</v>
      </c>
      <c r="C38" s="49">
        <f t="shared" si="0"/>
        <v>3</v>
      </c>
    </row>
    <row r="39" spans="1:3" x14ac:dyDescent="0.25">
      <c r="A39" s="4">
        <v>30</v>
      </c>
      <c r="B39" s="19">
        <v>14868631.298503596</v>
      </c>
      <c r="C39" s="49">
        <f t="shared" si="0"/>
        <v>81</v>
      </c>
    </row>
    <row r="40" spans="1:3" x14ac:dyDescent="0.25">
      <c r="A40" s="4">
        <v>31</v>
      </c>
      <c r="B40" s="19">
        <v>19651072.918052975</v>
      </c>
      <c r="C40" s="49">
        <f t="shared" si="0"/>
        <v>99</v>
      </c>
    </row>
    <row r="41" spans="1:3" x14ac:dyDescent="0.25">
      <c r="A41" s="4">
        <v>32</v>
      </c>
      <c r="B41" s="19">
        <v>-214824.94912734849</v>
      </c>
      <c r="C41" s="49">
        <f t="shared" si="0"/>
        <v>43</v>
      </c>
    </row>
    <row r="42" spans="1:3" x14ac:dyDescent="0.25">
      <c r="A42" s="4">
        <v>33</v>
      </c>
      <c r="B42" s="19">
        <v>7272419.5891016321</v>
      </c>
      <c r="C42" s="49">
        <f t="shared" si="0"/>
        <v>61</v>
      </c>
    </row>
    <row r="43" spans="1:3" x14ac:dyDescent="0.25">
      <c r="A43" s="4">
        <v>34</v>
      </c>
      <c r="B43" s="19">
        <v>-528327.09165796742</v>
      </c>
      <c r="C43" s="49">
        <f t="shared" si="0"/>
        <v>16</v>
      </c>
    </row>
    <row r="44" spans="1:3" x14ac:dyDescent="0.25">
      <c r="A44" s="4">
        <v>35</v>
      </c>
      <c r="B44" s="19">
        <v>17912808.302612226</v>
      </c>
      <c r="C44" s="49">
        <f t="shared" si="0"/>
        <v>96</v>
      </c>
    </row>
    <row r="45" spans="1:3" x14ac:dyDescent="0.25">
      <c r="A45" s="4">
        <v>36</v>
      </c>
      <c r="B45" s="19">
        <v>-437994.07524572016</v>
      </c>
      <c r="C45" s="49">
        <f t="shared" si="0"/>
        <v>32</v>
      </c>
    </row>
    <row r="46" spans="1:3" x14ac:dyDescent="0.25">
      <c r="A46" s="4">
        <v>37</v>
      </c>
      <c r="B46" s="19">
        <v>16120269.297136595</v>
      </c>
      <c r="C46" s="49">
        <f t="shared" si="0"/>
        <v>85</v>
      </c>
    </row>
    <row r="47" spans="1:3" x14ac:dyDescent="0.25">
      <c r="A47" s="4">
        <v>38</v>
      </c>
      <c r="B47" s="19">
        <v>-415109.05825537932</v>
      </c>
      <c r="C47" s="49">
        <f t="shared" si="0"/>
        <v>36</v>
      </c>
    </row>
    <row r="48" spans="1:3" x14ac:dyDescent="0.25">
      <c r="A48" s="4">
        <v>39</v>
      </c>
      <c r="B48" s="19">
        <v>-430580.48361182725</v>
      </c>
      <c r="C48" s="49">
        <f t="shared" si="0"/>
        <v>34</v>
      </c>
    </row>
    <row r="49" spans="1:3" x14ac:dyDescent="0.25">
      <c r="A49" s="4">
        <v>40</v>
      </c>
      <c r="B49" s="19">
        <v>-540114.43167835835</v>
      </c>
      <c r="C49" s="49">
        <f t="shared" si="0"/>
        <v>15</v>
      </c>
    </row>
    <row r="50" spans="1:3" x14ac:dyDescent="0.25">
      <c r="A50" s="4">
        <v>41</v>
      </c>
      <c r="B50" s="19">
        <v>-458383.33806456433</v>
      </c>
      <c r="C50" s="49">
        <f t="shared" si="0"/>
        <v>26</v>
      </c>
    </row>
    <row r="51" spans="1:3" x14ac:dyDescent="0.25">
      <c r="A51" s="4">
        <v>42</v>
      </c>
      <c r="B51" s="19">
        <v>-451829.2076630498</v>
      </c>
      <c r="C51" s="49">
        <f t="shared" si="0"/>
        <v>28</v>
      </c>
    </row>
    <row r="52" spans="1:3" x14ac:dyDescent="0.25">
      <c r="A52" s="4">
        <v>43</v>
      </c>
      <c r="B52" s="19">
        <v>-138622.138103512</v>
      </c>
      <c r="C52" s="49">
        <f t="shared" si="0"/>
        <v>44</v>
      </c>
    </row>
    <row r="53" spans="1:3" x14ac:dyDescent="0.25">
      <c r="A53" s="4">
        <v>44</v>
      </c>
      <c r="B53" s="19">
        <v>-434201.52154771693</v>
      </c>
      <c r="C53" s="49">
        <f t="shared" si="0"/>
        <v>33</v>
      </c>
    </row>
    <row r="54" spans="1:3" x14ac:dyDescent="0.25">
      <c r="A54" s="4">
        <v>45</v>
      </c>
      <c r="B54" s="19">
        <v>6161377.9514987059</v>
      </c>
      <c r="C54" s="49">
        <f t="shared" si="0"/>
        <v>57</v>
      </c>
    </row>
    <row r="55" spans="1:3" x14ac:dyDescent="0.25">
      <c r="A55" s="4">
        <v>46</v>
      </c>
      <c r="B55" s="19">
        <v>11674503.997666771</v>
      </c>
      <c r="C55" s="49">
        <f t="shared" si="0"/>
        <v>74</v>
      </c>
    </row>
    <row r="56" spans="1:3" x14ac:dyDescent="0.25">
      <c r="A56" s="4">
        <v>47</v>
      </c>
      <c r="B56" s="19">
        <v>9934087.6082624774</v>
      </c>
      <c r="C56" s="49">
        <f t="shared" si="0"/>
        <v>69</v>
      </c>
    </row>
    <row r="57" spans="1:3" x14ac:dyDescent="0.25">
      <c r="A57" s="4">
        <v>48</v>
      </c>
      <c r="B57" s="19">
        <v>9672452.2189063914</v>
      </c>
      <c r="C57" s="49">
        <f t="shared" si="0"/>
        <v>67</v>
      </c>
    </row>
    <row r="58" spans="1:3" x14ac:dyDescent="0.25">
      <c r="A58" s="4">
        <v>49</v>
      </c>
      <c r="B58" s="19">
        <v>-478057.60308475792</v>
      </c>
      <c r="C58" s="49">
        <f t="shared" si="0"/>
        <v>22</v>
      </c>
    </row>
    <row r="59" spans="1:3" x14ac:dyDescent="0.25">
      <c r="A59" s="4">
        <v>50</v>
      </c>
      <c r="B59" s="19">
        <v>-377731.03167136159</v>
      </c>
      <c r="C59" s="49">
        <f t="shared" si="0"/>
        <v>40</v>
      </c>
    </row>
    <row r="60" spans="1:3" x14ac:dyDescent="0.25">
      <c r="A60" s="4">
        <v>51</v>
      </c>
      <c r="B60" s="19">
        <v>17286592.973604184</v>
      </c>
      <c r="C60" s="49">
        <f t="shared" si="0"/>
        <v>93</v>
      </c>
    </row>
    <row r="61" spans="1:3" x14ac:dyDescent="0.25">
      <c r="A61" s="4">
        <v>52</v>
      </c>
      <c r="B61" s="19">
        <v>20968163.395204961</v>
      </c>
      <c r="C61" s="49">
        <f t="shared" si="0"/>
        <v>100</v>
      </c>
    </row>
    <row r="62" spans="1:3" x14ac:dyDescent="0.25">
      <c r="A62" s="4">
        <v>53</v>
      </c>
      <c r="B62" s="19">
        <v>-517661.83028050425</v>
      </c>
      <c r="C62" s="49">
        <f t="shared" si="0"/>
        <v>17</v>
      </c>
    </row>
    <row r="63" spans="1:3" x14ac:dyDescent="0.25">
      <c r="A63" s="4">
        <v>54</v>
      </c>
      <c r="B63" s="19">
        <v>8241314.8845434468</v>
      </c>
      <c r="C63" s="49">
        <f t="shared" si="0"/>
        <v>64</v>
      </c>
    </row>
    <row r="64" spans="1:3" x14ac:dyDescent="0.25">
      <c r="A64" s="4">
        <v>55</v>
      </c>
      <c r="B64" s="19">
        <v>16993570.746970356</v>
      </c>
      <c r="C64" s="49">
        <f t="shared" si="0"/>
        <v>90</v>
      </c>
    </row>
    <row r="65" spans="1:3" x14ac:dyDescent="0.25">
      <c r="A65" s="4">
        <v>56</v>
      </c>
      <c r="B65" s="19">
        <v>15070867.951927215</v>
      </c>
      <c r="C65" s="49">
        <f t="shared" si="0"/>
        <v>82</v>
      </c>
    </row>
    <row r="66" spans="1:3" x14ac:dyDescent="0.25">
      <c r="A66" s="4">
        <v>57</v>
      </c>
      <c r="B66" s="19">
        <v>17691766.84158906</v>
      </c>
      <c r="C66" s="49">
        <f t="shared" si="0"/>
        <v>95</v>
      </c>
    </row>
    <row r="67" spans="1:3" x14ac:dyDescent="0.25">
      <c r="A67" s="4">
        <v>58</v>
      </c>
      <c r="B67" s="19">
        <v>-316870.76173713541</v>
      </c>
      <c r="C67" s="49">
        <f t="shared" si="0"/>
        <v>42</v>
      </c>
    </row>
    <row r="68" spans="1:3" x14ac:dyDescent="0.25">
      <c r="A68" s="4">
        <v>59</v>
      </c>
      <c r="B68" s="19">
        <v>-470346.84070827626</v>
      </c>
      <c r="C68" s="49">
        <f t="shared" si="0"/>
        <v>23</v>
      </c>
    </row>
    <row r="69" spans="1:3" x14ac:dyDescent="0.25">
      <c r="A69" s="4">
        <v>60</v>
      </c>
      <c r="B69" s="19">
        <v>12150052.251403302</v>
      </c>
      <c r="C69" s="49">
        <f t="shared" si="0"/>
        <v>76</v>
      </c>
    </row>
    <row r="70" spans="1:3" x14ac:dyDescent="0.25">
      <c r="A70" s="4">
        <v>61</v>
      </c>
      <c r="B70" s="19">
        <v>16456833.583448514</v>
      </c>
      <c r="C70" s="49">
        <f t="shared" si="0"/>
        <v>86</v>
      </c>
    </row>
    <row r="71" spans="1:3" x14ac:dyDescent="0.25">
      <c r="A71" s="4">
        <v>62</v>
      </c>
      <c r="B71" s="19">
        <v>-663868.46983272629</v>
      </c>
      <c r="C71" s="49">
        <f t="shared" si="0"/>
        <v>5</v>
      </c>
    </row>
    <row r="72" spans="1:3" x14ac:dyDescent="0.25">
      <c r="A72" s="4">
        <v>63</v>
      </c>
      <c r="B72" s="19">
        <v>-587164.36861021246</v>
      </c>
      <c r="C72" s="49">
        <f t="shared" si="0"/>
        <v>9</v>
      </c>
    </row>
    <row r="73" spans="1:3" x14ac:dyDescent="0.25">
      <c r="A73" s="4">
        <v>64</v>
      </c>
      <c r="B73" s="19">
        <v>14539386.210722819</v>
      </c>
      <c r="C73" s="49">
        <f t="shared" si="0"/>
        <v>80</v>
      </c>
    </row>
    <row r="74" spans="1:3" x14ac:dyDescent="0.25">
      <c r="A74" s="4">
        <v>65</v>
      </c>
      <c r="B74" s="19">
        <v>14119959.778786365</v>
      </c>
      <c r="C74" s="49">
        <f t="shared" si="0"/>
        <v>78</v>
      </c>
    </row>
    <row r="75" spans="1:3" x14ac:dyDescent="0.25">
      <c r="A75" s="4">
        <v>66</v>
      </c>
      <c r="B75" s="19">
        <v>5390709.5518103261</v>
      </c>
      <c r="C75" s="49">
        <f t="shared" ref="C75:C109" si="1">RANK(B75, $B$10:$B$109, 1)</f>
        <v>54</v>
      </c>
    </row>
    <row r="76" spans="1:3" x14ac:dyDescent="0.25">
      <c r="A76" s="4">
        <v>67</v>
      </c>
      <c r="B76" s="19">
        <v>-399779.50381419208</v>
      </c>
      <c r="C76" s="49">
        <f t="shared" si="1"/>
        <v>39</v>
      </c>
    </row>
    <row r="77" spans="1:3" x14ac:dyDescent="0.25">
      <c r="A77" s="4">
        <v>68</v>
      </c>
      <c r="B77" s="19">
        <v>-468322.18504473229</v>
      </c>
      <c r="C77" s="49">
        <f t="shared" si="1"/>
        <v>24</v>
      </c>
    </row>
    <row r="78" spans="1:3" x14ac:dyDescent="0.25">
      <c r="A78" s="4">
        <v>69</v>
      </c>
      <c r="B78" s="19">
        <v>-739368.58497000381</v>
      </c>
      <c r="C78" s="49">
        <f t="shared" si="1"/>
        <v>4</v>
      </c>
    </row>
    <row r="79" spans="1:3" x14ac:dyDescent="0.25">
      <c r="A79" s="4">
        <v>70</v>
      </c>
      <c r="B79" s="19">
        <v>17241137.895723939</v>
      </c>
      <c r="C79" s="49">
        <f t="shared" si="1"/>
        <v>92</v>
      </c>
    </row>
    <row r="80" spans="1:3" x14ac:dyDescent="0.25">
      <c r="A80" s="4">
        <v>71</v>
      </c>
      <c r="B80" s="19">
        <v>-461338.3749595714</v>
      </c>
      <c r="C80" s="49">
        <f t="shared" si="1"/>
        <v>25</v>
      </c>
    </row>
    <row r="81" spans="1:3" x14ac:dyDescent="0.25">
      <c r="A81" s="4">
        <v>72</v>
      </c>
      <c r="B81" s="19">
        <v>-493826.13712879957</v>
      </c>
      <c r="C81" s="49">
        <f t="shared" si="1"/>
        <v>20</v>
      </c>
    </row>
    <row r="82" spans="1:3" x14ac:dyDescent="0.25">
      <c r="A82" s="4">
        <v>73</v>
      </c>
      <c r="B82" s="19">
        <v>17624015.479645722</v>
      </c>
      <c r="C82" s="49">
        <f t="shared" si="1"/>
        <v>94</v>
      </c>
    </row>
    <row r="83" spans="1:3" x14ac:dyDescent="0.25">
      <c r="A83" s="4">
        <v>74</v>
      </c>
      <c r="B83" s="19">
        <v>-609143.07104578067</v>
      </c>
      <c r="C83" s="49">
        <f t="shared" si="1"/>
        <v>8</v>
      </c>
    </row>
    <row r="84" spans="1:3" x14ac:dyDescent="0.25">
      <c r="A84" s="4">
        <v>75</v>
      </c>
      <c r="B84" s="19">
        <v>11481307.815849187</v>
      </c>
      <c r="C84" s="49">
        <f t="shared" si="1"/>
        <v>73</v>
      </c>
    </row>
    <row r="85" spans="1:3" x14ac:dyDescent="0.25">
      <c r="A85" s="4">
        <v>76</v>
      </c>
      <c r="B85" s="19">
        <v>9917082.2150690369</v>
      </c>
      <c r="C85" s="49">
        <f t="shared" si="1"/>
        <v>68</v>
      </c>
    </row>
    <row r="86" spans="1:3" x14ac:dyDescent="0.25">
      <c r="A86" s="4">
        <v>77</v>
      </c>
      <c r="B86" s="19">
        <v>-494657.44072020566</v>
      </c>
      <c r="C86" s="49">
        <f t="shared" si="1"/>
        <v>19</v>
      </c>
    </row>
    <row r="87" spans="1:3" x14ac:dyDescent="0.25">
      <c r="A87" s="4">
        <v>78</v>
      </c>
      <c r="B87" s="19">
        <v>5243700.7012144383</v>
      </c>
      <c r="C87" s="49">
        <f t="shared" si="1"/>
        <v>53</v>
      </c>
    </row>
    <row r="88" spans="1:3" x14ac:dyDescent="0.25">
      <c r="A88" s="4">
        <v>79</v>
      </c>
      <c r="B88" s="19">
        <v>-566433.34223904391</v>
      </c>
      <c r="C88" s="49">
        <f t="shared" si="1"/>
        <v>11</v>
      </c>
    </row>
    <row r="89" spans="1:3" x14ac:dyDescent="0.25">
      <c r="A89" s="4">
        <v>80</v>
      </c>
      <c r="B89" s="19">
        <v>2333943.4531695712</v>
      </c>
      <c r="C89" s="49">
        <f t="shared" si="1"/>
        <v>47</v>
      </c>
    </row>
    <row r="90" spans="1:3" x14ac:dyDescent="0.25">
      <c r="A90" s="4">
        <v>81</v>
      </c>
      <c r="B90" s="19">
        <v>13666398.002214955</v>
      </c>
      <c r="C90" s="49">
        <f t="shared" si="1"/>
        <v>77</v>
      </c>
    </row>
    <row r="91" spans="1:3" x14ac:dyDescent="0.25">
      <c r="A91" s="4">
        <v>82</v>
      </c>
      <c r="B91" s="19">
        <v>11990610.574417308</v>
      </c>
      <c r="C91" s="49">
        <f t="shared" si="1"/>
        <v>75</v>
      </c>
    </row>
    <row r="92" spans="1:3" x14ac:dyDescent="0.25">
      <c r="A92" s="4">
        <v>83</v>
      </c>
      <c r="B92" s="19">
        <v>-642809.70872035669</v>
      </c>
      <c r="C92" s="49">
        <f t="shared" si="1"/>
        <v>6</v>
      </c>
    </row>
    <row r="93" spans="1:3" x14ac:dyDescent="0.25">
      <c r="A93" s="4">
        <v>84</v>
      </c>
      <c r="B93" s="19">
        <v>-450847.25251110591</v>
      </c>
      <c r="C93" s="49">
        <f t="shared" si="1"/>
        <v>30</v>
      </c>
    </row>
    <row r="94" spans="1:3" x14ac:dyDescent="0.25">
      <c r="A94" s="4">
        <v>85</v>
      </c>
      <c r="B94" s="19">
        <v>4287289.3923663609</v>
      </c>
      <c r="C94" s="49">
        <f t="shared" si="1"/>
        <v>50</v>
      </c>
    </row>
    <row r="95" spans="1:3" x14ac:dyDescent="0.25">
      <c r="A95" s="4">
        <v>86</v>
      </c>
      <c r="B95" s="19">
        <v>6983427.0956256567</v>
      </c>
      <c r="C95" s="49">
        <f t="shared" si="1"/>
        <v>59</v>
      </c>
    </row>
    <row r="96" spans="1:3" x14ac:dyDescent="0.25">
      <c r="A96" s="4">
        <v>87</v>
      </c>
      <c r="B96" s="19">
        <v>-451473.19055874797</v>
      </c>
      <c r="C96" s="49">
        <f t="shared" si="1"/>
        <v>29</v>
      </c>
    </row>
    <row r="97" spans="1:3" x14ac:dyDescent="0.25">
      <c r="A97" s="4">
        <v>88</v>
      </c>
      <c r="B97" s="19">
        <v>-542875.08351082494</v>
      </c>
      <c r="C97" s="49">
        <f t="shared" si="1"/>
        <v>14</v>
      </c>
    </row>
    <row r="98" spans="1:3" x14ac:dyDescent="0.25">
      <c r="A98" s="4">
        <v>89</v>
      </c>
      <c r="B98" s="19">
        <v>-552410.5294220607</v>
      </c>
      <c r="C98" s="49">
        <f t="shared" si="1"/>
        <v>12</v>
      </c>
    </row>
    <row r="99" spans="1:3" x14ac:dyDescent="0.25">
      <c r="A99" s="4">
        <v>90</v>
      </c>
      <c r="B99" s="19">
        <v>9667649.4037291501</v>
      </c>
      <c r="C99" s="49">
        <f t="shared" si="1"/>
        <v>66</v>
      </c>
    </row>
    <row r="100" spans="1:3" x14ac:dyDescent="0.25">
      <c r="A100" s="4">
        <v>91</v>
      </c>
      <c r="B100" s="19">
        <v>-619189.38146994903</v>
      </c>
      <c r="C100" s="49">
        <f t="shared" si="1"/>
        <v>7</v>
      </c>
    </row>
    <row r="101" spans="1:3" x14ac:dyDescent="0.25">
      <c r="A101" s="4">
        <v>92</v>
      </c>
      <c r="B101" s="19">
        <v>-496689.60395404877</v>
      </c>
      <c r="C101" s="49">
        <f t="shared" si="1"/>
        <v>18</v>
      </c>
    </row>
    <row r="102" spans="1:3" x14ac:dyDescent="0.25">
      <c r="A102" s="4">
        <v>93</v>
      </c>
      <c r="B102" s="19">
        <v>-411875.50332214712</v>
      </c>
      <c r="C102" s="49">
        <f t="shared" si="1"/>
        <v>37</v>
      </c>
    </row>
    <row r="103" spans="1:3" x14ac:dyDescent="0.25">
      <c r="A103" s="4">
        <v>94</v>
      </c>
      <c r="B103" s="19">
        <v>-402362.97886260465</v>
      </c>
      <c r="C103" s="49">
        <f t="shared" si="1"/>
        <v>38</v>
      </c>
    </row>
    <row r="104" spans="1:3" x14ac:dyDescent="0.25">
      <c r="A104" s="4">
        <v>95</v>
      </c>
      <c r="B104" s="19">
        <v>11254407.153654296</v>
      </c>
      <c r="C104" s="49">
        <f t="shared" si="1"/>
        <v>72</v>
      </c>
    </row>
    <row r="105" spans="1:3" x14ac:dyDescent="0.25">
      <c r="A105" s="4">
        <v>96</v>
      </c>
      <c r="B105" s="52">
        <f>'Q2(a)(cash flow)'!B31</f>
        <v>16653907.18241428</v>
      </c>
      <c r="C105" s="49">
        <f t="shared" si="1"/>
        <v>87</v>
      </c>
    </row>
    <row r="106" spans="1:3" x14ac:dyDescent="0.25">
      <c r="A106" s="4">
        <v>97</v>
      </c>
      <c r="B106" s="52">
        <f>'Q2(a)(cash flow)'!B48</f>
        <v>-3033437.7121754144</v>
      </c>
      <c r="C106" s="49">
        <f t="shared" si="1"/>
        <v>2</v>
      </c>
    </row>
    <row r="107" spans="1:3" x14ac:dyDescent="0.25">
      <c r="A107" s="4">
        <v>98</v>
      </c>
      <c r="B107" s="52">
        <f>'Q2(a)(cash flow)'!B65</f>
        <v>14129363.551831873</v>
      </c>
      <c r="C107" s="49">
        <f t="shared" si="1"/>
        <v>79</v>
      </c>
    </row>
    <row r="108" spans="1:3" x14ac:dyDescent="0.25">
      <c r="A108" s="4">
        <v>99</v>
      </c>
      <c r="B108" s="52">
        <f>'Q2(a)(cash flow)'!B82</f>
        <v>-4850164.7385019194</v>
      </c>
      <c r="C108" s="49">
        <f t="shared" si="1"/>
        <v>1</v>
      </c>
    </row>
    <row r="109" spans="1:3" x14ac:dyDescent="0.25">
      <c r="A109" s="4">
        <v>100</v>
      </c>
      <c r="B109" s="52">
        <f>'Q2(a)(cash flow)'!B99</f>
        <v>2471770.7334310208</v>
      </c>
      <c r="C109" s="49">
        <f t="shared" si="1"/>
        <v>48</v>
      </c>
    </row>
  </sheetData>
  <pageMargins left="0.7" right="0.7" top="0.75" bottom="0.75" header="0.3" footer="0.3"/>
  <pageSetup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389A5-CBC0-48C1-9FFC-0F9D9DEDDBC3}">
  <dimension ref="A1:L19"/>
  <sheetViews>
    <sheetView workbookViewId="0">
      <selection activeCell="B34" sqref="B34"/>
    </sheetView>
  </sheetViews>
  <sheetFormatPr defaultRowHeight="13.2" x14ac:dyDescent="0.25"/>
  <cols>
    <col min="1" max="1" width="21.5546875" style="160" customWidth="1"/>
    <col min="2" max="4" width="14.5546875" style="160" customWidth="1"/>
    <col min="5" max="5" width="8.88671875" style="160"/>
    <col min="6" max="8" width="12.109375" style="160" customWidth="1"/>
    <col min="9" max="9" width="38.33203125" style="160" bestFit="1" customWidth="1"/>
    <col min="10" max="16384" width="8.88671875" style="160"/>
  </cols>
  <sheetData>
    <row r="1" spans="1:12" ht="15.6" x14ac:dyDescent="0.3">
      <c r="A1" s="179" t="s">
        <v>133</v>
      </c>
      <c r="B1" s="161"/>
      <c r="C1" s="164"/>
      <c r="D1" s="164"/>
      <c r="E1" s="161"/>
      <c r="F1" s="163"/>
      <c r="G1" s="163"/>
      <c r="H1" s="161"/>
      <c r="I1" s="161"/>
      <c r="J1" s="162"/>
      <c r="K1" s="161"/>
      <c r="L1" s="161"/>
    </row>
    <row r="2" spans="1:12" ht="15.6" x14ac:dyDescent="0.3">
      <c r="A2" s="179" t="s">
        <v>134</v>
      </c>
      <c r="B2" s="161"/>
      <c r="C2" s="164"/>
      <c r="D2" s="164"/>
      <c r="E2" s="161"/>
      <c r="F2" s="163"/>
      <c r="G2" s="163"/>
      <c r="H2" s="161"/>
      <c r="I2" s="161"/>
      <c r="J2" s="162"/>
      <c r="K2" s="161"/>
      <c r="L2" s="161"/>
    </row>
    <row r="3" spans="1:12" ht="15.6" x14ac:dyDescent="0.3">
      <c r="A3" s="179" t="s">
        <v>135</v>
      </c>
      <c r="B3" s="161"/>
      <c r="C3" s="164"/>
      <c r="D3" s="164"/>
      <c r="E3" s="161"/>
      <c r="F3" s="163"/>
      <c r="G3" s="163"/>
      <c r="H3" s="161"/>
      <c r="I3" s="161"/>
      <c r="J3" s="162"/>
      <c r="K3" s="161"/>
      <c r="L3" s="161"/>
    </row>
    <row r="4" spans="1:12" ht="15.6" x14ac:dyDescent="0.3">
      <c r="A4" s="179" t="s">
        <v>136</v>
      </c>
      <c r="B4" s="161"/>
      <c r="C4" s="164"/>
      <c r="D4" s="164"/>
      <c r="E4" s="161"/>
      <c r="F4" s="163"/>
      <c r="G4" s="163"/>
      <c r="H4" s="161"/>
      <c r="I4" s="161"/>
      <c r="J4" s="162"/>
      <c r="K4" s="161"/>
      <c r="L4" s="161"/>
    </row>
    <row r="5" spans="1:12" ht="15.6" x14ac:dyDescent="0.3">
      <c r="A5" s="179" t="s">
        <v>137</v>
      </c>
      <c r="B5" s="161"/>
      <c r="C5" s="164"/>
      <c r="D5" s="164"/>
      <c r="E5" s="161"/>
      <c r="F5" s="163"/>
      <c r="G5" s="163"/>
      <c r="H5" s="161"/>
      <c r="I5" s="161"/>
      <c r="J5" s="162"/>
      <c r="K5" s="161"/>
      <c r="L5" s="161"/>
    </row>
    <row r="6" spans="1:12" ht="15.6" x14ac:dyDescent="0.3">
      <c r="A6" s="179" t="s">
        <v>138</v>
      </c>
      <c r="B6" s="161"/>
      <c r="C6" s="164"/>
      <c r="D6" s="164"/>
      <c r="E6" s="161"/>
      <c r="F6" s="163"/>
      <c r="G6" s="163"/>
      <c r="H6" s="161"/>
      <c r="I6" s="161"/>
      <c r="J6" s="162"/>
      <c r="K6" s="161"/>
      <c r="L6" s="161"/>
    </row>
    <row r="7" spans="1:12" ht="14.4" x14ac:dyDescent="0.3">
      <c r="A7" s="161"/>
      <c r="B7" s="164"/>
      <c r="C7" s="164"/>
      <c r="D7" s="164"/>
      <c r="E7" s="161"/>
      <c r="F7" s="163"/>
      <c r="G7" s="163"/>
      <c r="H7" s="161"/>
      <c r="I7" s="161"/>
      <c r="J7" s="162"/>
      <c r="K7" s="161"/>
      <c r="L7" s="161"/>
    </row>
    <row r="8" spans="1:12" ht="14.4" x14ac:dyDescent="0.3">
      <c r="A8" s="161"/>
      <c r="B8" s="164"/>
      <c r="C8" s="164"/>
      <c r="D8" s="164"/>
      <c r="E8" s="161"/>
      <c r="F8" s="178" t="s">
        <v>193</v>
      </c>
      <c r="G8" s="163"/>
      <c r="H8" s="161"/>
      <c r="I8" s="161"/>
      <c r="J8" s="162"/>
      <c r="K8" s="161"/>
      <c r="L8" s="161"/>
    </row>
    <row r="9" spans="1:12" ht="14.4" x14ac:dyDescent="0.3">
      <c r="A9" s="161"/>
      <c r="B9" s="191" t="s">
        <v>194</v>
      </c>
      <c r="C9" s="192"/>
      <c r="D9" s="164"/>
      <c r="E9" s="161"/>
      <c r="F9" s="163"/>
      <c r="G9" s="163"/>
      <c r="H9" s="161"/>
      <c r="I9" s="161"/>
      <c r="J9" s="162"/>
      <c r="K9" s="161"/>
      <c r="L9" s="161"/>
    </row>
    <row r="10" spans="1:12" ht="43.2" x14ac:dyDescent="0.3">
      <c r="A10" s="177" t="s">
        <v>195</v>
      </c>
      <c r="B10" s="176" t="s">
        <v>196</v>
      </c>
      <c r="C10" s="176" t="s">
        <v>197</v>
      </c>
      <c r="D10" s="176" t="s">
        <v>198</v>
      </c>
      <c r="E10" s="161"/>
      <c r="F10" s="175" t="s">
        <v>199</v>
      </c>
      <c r="G10" s="175" t="s">
        <v>200</v>
      </c>
      <c r="H10" s="175" t="s">
        <v>201</v>
      </c>
      <c r="I10" s="175" t="s">
        <v>199</v>
      </c>
      <c r="J10" s="162"/>
      <c r="K10" s="161"/>
      <c r="L10" s="161"/>
    </row>
    <row r="11" spans="1:12" ht="14.4" x14ac:dyDescent="0.3">
      <c r="A11" s="161" t="s">
        <v>202</v>
      </c>
      <c r="B11" s="174">
        <v>200</v>
      </c>
      <c r="C11" s="174">
        <v>20</v>
      </c>
      <c r="D11" s="174">
        <v>210</v>
      </c>
      <c r="E11" s="161"/>
      <c r="F11" s="173">
        <f>_xlfn.NORM.DIST(D11,B11,C11,TRUE)</f>
        <v>0.69146246127401312</v>
      </c>
      <c r="G11" s="170">
        <f>1-F11</f>
        <v>0.30853753872598688</v>
      </c>
      <c r="H11" s="169" t="s">
        <v>203</v>
      </c>
      <c r="I11" s="161" t="s">
        <v>226</v>
      </c>
      <c r="J11" s="162"/>
      <c r="K11" s="161"/>
      <c r="L11" s="172"/>
    </row>
    <row r="12" spans="1:12" ht="14.4" x14ac:dyDescent="0.3">
      <c r="A12" s="161" t="s">
        <v>204</v>
      </c>
      <c r="B12" s="174">
        <v>40</v>
      </c>
      <c r="C12" s="174">
        <v>5</v>
      </c>
      <c r="D12" s="174">
        <v>45</v>
      </c>
      <c r="E12" s="161"/>
      <c r="F12" s="173">
        <f>_xlfn.NORM.DIST(D12,B12,C12,TRUE)</f>
        <v>0.84134474606854304</v>
      </c>
      <c r="G12" s="170">
        <f>1-F12</f>
        <v>0.15865525393145696</v>
      </c>
      <c r="H12" s="169" t="s">
        <v>203</v>
      </c>
      <c r="I12" s="161" t="s">
        <v>225</v>
      </c>
      <c r="J12" s="162"/>
      <c r="K12" s="161"/>
      <c r="L12" s="172"/>
    </row>
    <row r="13" spans="1:12" ht="14.4" x14ac:dyDescent="0.3">
      <c r="A13" s="161"/>
      <c r="B13" s="164"/>
      <c r="C13" s="164"/>
      <c r="D13" s="164"/>
      <c r="E13" s="161"/>
      <c r="F13" s="163"/>
      <c r="G13" s="163"/>
      <c r="H13" s="169"/>
      <c r="I13" s="161"/>
      <c r="J13" s="162"/>
      <c r="K13" s="161"/>
      <c r="L13" s="161"/>
    </row>
    <row r="14" spans="1:12" ht="14.4" x14ac:dyDescent="0.3">
      <c r="A14" s="161"/>
      <c r="B14" s="164"/>
      <c r="C14" s="164"/>
      <c r="D14" s="164"/>
      <c r="E14" s="161"/>
      <c r="F14" s="171">
        <f>(F11^(-2)+F12^(-2)-1)^(-1/2)</f>
        <v>0.63192109697264587</v>
      </c>
      <c r="G14" s="170">
        <f>1-F14</f>
        <v>0.36807890302735413</v>
      </c>
      <c r="H14" s="169" t="s">
        <v>207</v>
      </c>
      <c r="I14" s="165"/>
      <c r="J14" s="166"/>
      <c r="K14" s="165"/>
      <c r="L14" s="161"/>
    </row>
    <row r="15" spans="1:12" ht="14.4" x14ac:dyDescent="0.3">
      <c r="A15" s="161"/>
      <c r="B15" s="164"/>
      <c r="C15" s="164"/>
      <c r="D15" s="164"/>
      <c r="E15" s="161"/>
      <c r="F15" s="168"/>
      <c r="G15" s="167"/>
      <c r="H15" s="165"/>
      <c r="I15" s="165"/>
      <c r="J15" s="166"/>
      <c r="K15" s="165"/>
      <c r="L15" s="161"/>
    </row>
    <row r="16" spans="1:12" ht="14.4" x14ac:dyDescent="0.3">
      <c r="A16" s="161"/>
      <c r="B16" s="164"/>
      <c r="C16" s="164"/>
      <c r="D16" s="164"/>
      <c r="E16" s="161"/>
      <c r="F16" s="162"/>
      <c r="G16" s="163"/>
      <c r="H16" s="161"/>
      <c r="I16" s="161"/>
      <c r="J16" s="162"/>
      <c r="K16" s="161"/>
      <c r="L16" s="161"/>
    </row>
    <row r="17" spans="1:12" ht="14.4" x14ac:dyDescent="0.3">
      <c r="A17" s="161"/>
      <c r="B17" s="164"/>
      <c r="C17" s="164"/>
      <c r="D17" s="164"/>
      <c r="E17" s="161"/>
      <c r="F17" s="163"/>
      <c r="G17" s="163"/>
      <c r="H17" s="161"/>
      <c r="I17" s="161"/>
      <c r="J17" s="162"/>
      <c r="K17" s="161"/>
      <c r="L17" s="161"/>
    </row>
    <row r="18" spans="1:12" ht="14.4" x14ac:dyDescent="0.3">
      <c r="A18" s="161"/>
      <c r="B18" s="164"/>
      <c r="C18" s="164"/>
      <c r="D18" s="164"/>
      <c r="E18" s="161"/>
      <c r="F18" s="163"/>
      <c r="G18" s="163"/>
      <c r="H18" s="161"/>
      <c r="I18" s="161"/>
      <c r="J18" s="162"/>
      <c r="K18" s="161"/>
      <c r="L18" s="161"/>
    </row>
    <row r="19" spans="1:12" ht="14.4" x14ac:dyDescent="0.3">
      <c r="A19" s="161"/>
      <c r="B19" s="164"/>
      <c r="C19" s="164"/>
      <c r="D19" s="164"/>
      <c r="E19" s="161"/>
      <c r="F19" s="163"/>
      <c r="G19" s="163"/>
      <c r="H19" s="161"/>
      <c r="I19" s="161"/>
      <c r="J19" s="162"/>
      <c r="K19" s="161"/>
      <c r="L19" s="161"/>
    </row>
  </sheetData>
  <mergeCells count="1">
    <mergeCell ref="B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2BB38-D621-42D5-835F-B7D7FE16D5A9}">
  <dimension ref="A1:H135"/>
  <sheetViews>
    <sheetView topLeftCell="A94" workbookViewId="0">
      <selection activeCell="B34" sqref="B34"/>
    </sheetView>
  </sheetViews>
  <sheetFormatPr defaultColWidth="9.109375" defaultRowHeight="14.4" x14ac:dyDescent="0.3"/>
  <cols>
    <col min="1" max="1" width="9.44140625" style="161" customWidth="1"/>
    <col min="2" max="2" width="13.88671875" style="161" customWidth="1"/>
    <col min="3" max="3" width="10.5546875" style="161" bestFit="1" customWidth="1"/>
    <col min="4" max="4" width="12.77734375" style="161" bestFit="1" customWidth="1"/>
    <col min="5" max="5" width="9.88671875" style="161" customWidth="1"/>
    <col min="6" max="6" width="9.109375" style="161"/>
    <col min="7" max="7" width="12.21875" style="161" bestFit="1" customWidth="1"/>
    <col min="8" max="8" width="11.21875" style="161" bestFit="1" customWidth="1"/>
    <col min="9" max="16384" width="9.109375" style="161"/>
  </cols>
  <sheetData>
    <row r="1" spans="1:5" ht="15.6" x14ac:dyDescent="0.3">
      <c r="A1" s="179" t="s">
        <v>133</v>
      </c>
    </row>
    <row r="2" spans="1:5" ht="15.6" x14ac:dyDescent="0.3">
      <c r="A2" s="179" t="s">
        <v>134</v>
      </c>
    </row>
    <row r="3" spans="1:5" ht="15.6" x14ac:dyDescent="0.3">
      <c r="A3" s="179" t="s">
        <v>135</v>
      </c>
    </row>
    <row r="4" spans="1:5" ht="15.6" x14ac:dyDescent="0.3">
      <c r="A4" s="179" t="s">
        <v>136</v>
      </c>
    </row>
    <row r="5" spans="1:5" ht="15.6" x14ac:dyDescent="0.3">
      <c r="A5" s="179" t="s">
        <v>137</v>
      </c>
    </row>
    <row r="6" spans="1:5" ht="15.6" x14ac:dyDescent="0.3">
      <c r="A6" s="179" t="s">
        <v>138</v>
      </c>
    </row>
    <row r="7" spans="1:5" ht="15" thickBot="1" x14ac:dyDescent="0.35"/>
    <row r="8" spans="1:5" ht="19.2" thickTop="1" thickBot="1" x14ac:dyDescent="0.4">
      <c r="A8" s="193" t="s">
        <v>208</v>
      </c>
      <c r="B8" s="194"/>
      <c r="C8" s="194"/>
      <c r="D8" s="194"/>
      <c r="E8" s="195"/>
    </row>
    <row r="9" spans="1:5" ht="15" thickTop="1" x14ac:dyDescent="0.3"/>
    <row r="10" spans="1:5" x14ac:dyDescent="0.3">
      <c r="C10" s="196" t="s">
        <v>209</v>
      </c>
      <c r="D10" s="197"/>
      <c r="E10" s="198"/>
    </row>
    <row r="11" spans="1:5" ht="28.8" x14ac:dyDescent="0.3">
      <c r="A11" s="177" t="s">
        <v>210</v>
      </c>
      <c r="B11" s="177" t="s">
        <v>211</v>
      </c>
      <c r="C11" s="177" t="s">
        <v>227</v>
      </c>
      <c r="D11" s="177" t="s">
        <v>204</v>
      </c>
      <c r="E11" s="176" t="s">
        <v>212</v>
      </c>
    </row>
    <row r="12" spans="1:5" x14ac:dyDescent="0.3">
      <c r="A12" s="161">
        <v>1</v>
      </c>
      <c r="B12" s="161">
        <v>1877</v>
      </c>
      <c r="C12" s="161">
        <v>274</v>
      </c>
      <c r="D12" s="161">
        <v>69</v>
      </c>
      <c r="E12" s="161">
        <v>343</v>
      </c>
    </row>
    <row r="13" spans="1:5" x14ac:dyDescent="0.3">
      <c r="A13" s="161">
        <f t="shared" ref="A13:A44" si="0">+A12+1</f>
        <v>2</v>
      </c>
      <c r="B13" s="161">
        <v>7177</v>
      </c>
      <c r="C13" s="161">
        <v>272</v>
      </c>
      <c r="D13" s="161">
        <v>69</v>
      </c>
      <c r="E13" s="161">
        <v>341</v>
      </c>
    </row>
    <row r="14" spans="1:5" x14ac:dyDescent="0.3">
      <c r="A14" s="161">
        <f t="shared" si="0"/>
        <v>3</v>
      </c>
      <c r="B14" s="161">
        <v>8945</v>
      </c>
      <c r="C14" s="161">
        <v>271</v>
      </c>
      <c r="D14" s="161">
        <v>69</v>
      </c>
      <c r="E14" s="161">
        <v>340</v>
      </c>
    </row>
    <row r="15" spans="1:5" x14ac:dyDescent="0.3">
      <c r="A15" s="161">
        <f t="shared" si="0"/>
        <v>4</v>
      </c>
      <c r="B15" s="161">
        <v>8614</v>
      </c>
      <c r="C15" s="161">
        <v>263</v>
      </c>
      <c r="D15" s="161">
        <v>67</v>
      </c>
      <c r="E15" s="161">
        <v>330</v>
      </c>
    </row>
    <row r="16" spans="1:5" x14ac:dyDescent="0.3">
      <c r="A16" s="161">
        <f t="shared" si="0"/>
        <v>5</v>
      </c>
      <c r="B16" s="161">
        <v>1778</v>
      </c>
      <c r="C16" s="161">
        <v>263</v>
      </c>
      <c r="D16" s="161">
        <v>66</v>
      </c>
      <c r="E16" s="161">
        <v>329</v>
      </c>
    </row>
    <row r="17" spans="1:5" x14ac:dyDescent="0.3">
      <c r="A17" s="161">
        <f t="shared" si="0"/>
        <v>6</v>
      </c>
      <c r="B17" s="161">
        <v>4555</v>
      </c>
      <c r="C17" s="161">
        <v>264</v>
      </c>
      <c r="D17" s="161">
        <v>63</v>
      </c>
      <c r="E17" s="161">
        <v>327</v>
      </c>
    </row>
    <row r="18" spans="1:5" x14ac:dyDescent="0.3">
      <c r="A18" s="161">
        <f t="shared" si="0"/>
        <v>7</v>
      </c>
      <c r="B18" s="161">
        <v>8932</v>
      </c>
      <c r="C18" s="161">
        <v>263</v>
      </c>
      <c r="D18" s="161">
        <v>64</v>
      </c>
      <c r="E18" s="161">
        <v>327</v>
      </c>
    </row>
    <row r="19" spans="1:5" x14ac:dyDescent="0.3">
      <c r="A19" s="161">
        <f t="shared" si="0"/>
        <v>8</v>
      </c>
      <c r="B19" s="161">
        <v>3385</v>
      </c>
      <c r="C19" s="161">
        <v>261</v>
      </c>
      <c r="D19" s="161">
        <v>64</v>
      </c>
      <c r="E19" s="161">
        <v>325</v>
      </c>
    </row>
    <row r="20" spans="1:5" x14ac:dyDescent="0.3">
      <c r="A20" s="161">
        <f t="shared" si="0"/>
        <v>9</v>
      </c>
      <c r="B20" s="161">
        <v>9380</v>
      </c>
      <c r="C20" s="161">
        <v>260</v>
      </c>
      <c r="D20" s="161">
        <v>65</v>
      </c>
      <c r="E20" s="161">
        <v>325</v>
      </c>
    </row>
    <row r="21" spans="1:5" x14ac:dyDescent="0.3">
      <c r="A21" s="161">
        <f t="shared" si="0"/>
        <v>10</v>
      </c>
      <c r="B21" s="161">
        <v>1869</v>
      </c>
      <c r="C21" s="161">
        <v>260</v>
      </c>
      <c r="D21" s="161">
        <v>64</v>
      </c>
      <c r="E21" s="161">
        <v>324</v>
      </c>
    </row>
    <row r="22" spans="1:5" x14ac:dyDescent="0.3">
      <c r="A22" s="161">
        <f t="shared" si="0"/>
        <v>11</v>
      </c>
      <c r="B22" s="161">
        <v>7655</v>
      </c>
      <c r="C22" s="161">
        <v>261</v>
      </c>
      <c r="D22" s="161">
        <v>63</v>
      </c>
      <c r="E22" s="161">
        <v>324</v>
      </c>
    </row>
    <row r="23" spans="1:5" x14ac:dyDescent="0.3">
      <c r="A23" s="161">
        <f t="shared" si="0"/>
        <v>12</v>
      </c>
      <c r="B23" s="161">
        <v>9105</v>
      </c>
      <c r="C23" s="161">
        <v>260</v>
      </c>
      <c r="D23" s="161">
        <v>63</v>
      </c>
      <c r="E23" s="161">
        <v>323</v>
      </c>
    </row>
    <row r="24" spans="1:5" x14ac:dyDescent="0.3">
      <c r="A24" s="161">
        <f t="shared" si="0"/>
        <v>13</v>
      </c>
      <c r="B24" s="161">
        <v>8647</v>
      </c>
      <c r="C24" s="161">
        <v>256</v>
      </c>
      <c r="D24" s="161">
        <v>64</v>
      </c>
      <c r="E24" s="161">
        <v>320</v>
      </c>
    </row>
    <row r="25" spans="1:5" x14ac:dyDescent="0.3">
      <c r="A25" s="161">
        <f t="shared" si="0"/>
        <v>14</v>
      </c>
      <c r="B25" s="161">
        <v>6865</v>
      </c>
      <c r="C25" s="161">
        <v>257</v>
      </c>
      <c r="D25" s="161">
        <v>62</v>
      </c>
      <c r="E25" s="161">
        <v>319</v>
      </c>
    </row>
    <row r="26" spans="1:5" x14ac:dyDescent="0.3">
      <c r="A26" s="161">
        <f t="shared" si="0"/>
        <v>15</v>
      </c>
      <c r="B26" s="161">
        <v>975</v>
      </c>
      <c r="C26" s="161">
        <v>255</v>
      </c>
      <c r="D26" s="161">
        <v>63</v>
      </c>
      <c r="E26" s="161">
        <v>318</v>
      </c>
    </row>
    <row r="27" spans="1:5" x14ac:dyDescent="0.3">
      <c r="A27" s="161">
        <f t="shared" si="0"/>
        <v>16</v>
      </c>
      <c r="B27" s="161">
        <v>1980</v>
      </c>
      <c r="C27" s="161">
        <v>256</v>
      </c>
      <c r="D27" s="161">
        <v>62</v>
      </c>
      <c r="E27" s="161">
        <v>318</v>
      </c>
    </row>
    <row r="28" spans="1:5" x14ac:dyDescent="0.3">
      <c r="A28" s="161">
        <f t="shared" si="0"/>
        <v>17</v>
      </c>
      <c r="B28" s="161">
        <v>4096</v>
      </c>
      <c r="C28" s="161">
        <v>254</v>
      </c>
      <c r="D28" s="161">
        <v>64</v>
      </c>
      <c r="E28" s="161">
        <v>318</v>
      </c>
    </row>
    <row r="29" spans="1:5" x14ac:dyDescent="0.3">
      <c r="A29" s="161">
        <f t="shared" si="0"/>
        <v>18</v>
      </c>
      <c r="B29" s="161">
        <v>3104</v>
      </c>
      <c r="C29" s="161">
        <v>259</v>
      </c>
      <c r="D29" s="161">
        <v>58</v>
      </c>
      <c r="E29" s="161">
        <v>317</v>
      </c>
    </row>
    <row r="30" spans="1:5" x14ac:dyDescent="0.3">
      <c r="A30" s="161">
        <f t="shared" si="0"/>
        <v>19</v>
      </c>
      <c r="B30" s="161">
        <v>4919</v>
      </c>
      <c r="C30" s="161">
        <v>254</v>
      </c>
      <c r="D30" s="161">
        <v>63</v>
      </c>
      <c r="E30" s="161">
        <v>317</v>
      </c>
    </row>
    <row r="31" spans="1:5" x14ac:dyDescent="0.3">
      <c r="A31" s="161">
        <f t="shared" si="0"/>
        <v>20</v>
      </c>
      <c r="B31" s="161">
        <v>9833</v>
      </c>
      <c r="C31" s="161">
        <v>256</v>
      </c>
      <c r="D31" s="161">
        <v>61</v>
      </c>
      <c r="E31" s="161">
        <v>317</v>
      </c>
    </row>
    <row r="32" spans="1:5" x14ac:dyDescent="0.3">
      <c r="A32" s="161">
        <f t="shared" si="0"/>
        <v>21</v>
      </c>
      <c r="B32" s="161">
        <v>4644</v>
      </c>
      <c r="C32" s="161">
        <v>255</v>
      </c>
      <c r="D32" s="161">
        <v>61</v>
      </c>
      <c r="E32" s="161">
        <v>316</v>
      </c>
    </row>
    <row r="33" spans="1:5" x14ac:dyDescent="0.3">
      <c r="A33" s="161">
        <f t="shared" si="0"/>
        <v>22</v>
      </c>
      <c r="B33" s="161">
        <v>1747</v>
      </c>
      <c r="C33" s="161">
        <v>257</v>
      </c>
      <c r="D33" s="161">
        <v>58</v>
      </c>
      <c r="E33" s="161">
        <v>315</v>
      </c>
    </row>
    <row r="34" spans="1:5" x14ac:dyDescent="0.3">
      <c r="A34" s="161">
        <f t="shared" si="0"/>
        <v>23</v>
      </c>
      <c r="B34" s="161">
        <v>2428</v>
      </c>
      <c r="C34" s="161">
        <v>252</v>
      </c>
      <c r="D34" s="161">
        <v>63</v>
      </c>
      <c r="E34" s="161">
        <v>315</v>
      </c>
    </row>
    <row r="35" spans="1:5" x14ac:dyDescent="0.3">
      <c r="A35" s="161">
        <f t="shared" si="0"/>
        <v>24</v>
      </c>
      <c r="B35" s="161">
        <v>9696</v>
      </c>
      <c r="C35" s="161">
        <v>252</v>
      </c>
      <c r="D35" s="161">
        <v>63</v>
      </c>
      <c r="E35" s="161">
        <v>315</v>
      </c>
    </row>
    <row r="36" spans="1:5" x14ac:dyDescent="0.3">
      <c r="A36" s="161">
        <f t="shared" si="0"/>
        <v>25</v>
      </c>
      <c r="B36" s="161">
        <v>124</v>
      </c>
      <c r="C36" s="161">
        <v>250</v>
      </c>
      <c r="D36" s="161">
        <v>64</v>
      </c>
      <c r="E36" s="161">
        <v>314</v>
      </c>
    </row>
    <row r="37" spans="1:5" x14ac:dyDescent="0.3">
      <c r="A37" s="161">
        <f t="shared" si="0"/>
        <v>26</v>
      </c>
      <c r="B37" s="161">
        <v>214</v>
      </c>
      <c r="C37" s="161">
        <v>252</v>
      </c>
      <c r="D37" s="161">
        <v>62</v>
      </c>
      <c r="E37" s="161">
        <v>314</v>
      </c>
    </row>
    <row r="38" spans="1:5" x14ac:dyDescent="0.3">
      <c r="A38" s="161">
        <f t="shared" si="0"/>
        <v>27</v>
      </c>
      <c r="B38" s="161">
        <v>1943</v>
      </c>
      <c r="C38" s="161">
        <v>256</v>
      </c>
      <c r="D38" s="161">
        <v>58</v>
      </c>
      <c r="E38" s="161">
        <v>314</v>
      </c>
    </row>
    <row r="39" spans="1:5" x14ac:dyDescent="0.3">
      <c r="A39" s="161">
        <f t="shared" si="0"/>
        <v>28</v>
      </c>
      <c r="B39" s="161">
        <v>8174</v>
      </c>
      <c r="C39" s="161">
        <v>254</v>
      </c>
      <c r="D39" s="161">
        <v>60</v>
      </c>
      <c r="E39" s="161">
        <v>314</v>
      </c>
    </row>
    <row r="40" spans="1:5" x14ac:dyDescent="0.3">
      <c r="A40" s="161">
        <f t="shared" si="0"/>
        <v>29</v>
      </c>
      <c r="B40" s="161">
        <v>9586</v>
      </c>
      <c r="C40" s="161">
        <v>253</v>
      </c>
      <c r="D40" s="161">
        <v>61</v>
      </c>
      <c r="E40" s="161">
        <v>314</v>
      </c>
    </row>
    <row r="41" spans="1:5" x14ac:dyDescent="0.3">
      <c r="A41" s="161">
        <f t="shared" si="0"/>
        <v>30</v>
      </c>
      <c r="B41" s="161">
        <v>9865</v>
      </c>
      <c r="C41" s="161">
        <v>254</v>
      </c>
      <c r="D41" s="161">
        <v>60</v>
      </c>
      <c r="E41" s="161">
        <v>314</v>
      </c>
    </row>
    <row r="42" spans="1:5" x14ac:dyDescent="0.3">
      <c r="A42" s="161">
        <f t="shared" si="0"/>
        <v>31</v>
      </c>
      <c r="B42" s="161">
        <v>4138</v>
      </c>
      <c r="C42" s="161">
        <v>251</v>
      </c>
      <c r="D42" s="161">
        <v>62</v>
      </c>
      <c r="E42" s="161">
        <v>313</v>
      </c>
    </row>
    <row r="43" spans="1:5" x14ac:dyDescent="0.3">
      <c r="A43" s="161">
        <f t="shared" si="0"/>
        <v>32</v>
      </c>
      <c r="B43" s="161">
        <v>9215</v>
      </c>
      <c r="C43" s="161">
        <v>253</v>
      </c>
      <c r="D43" s="161">
        <v>60</v>
      </c>
      <c r="E43" s="161">
        <v>313</v>
      </c>
    </row>
    <row r="44" spans="1:5" x14ac:dyDescent="0.3">
      <c r="A44" s="161">
        <f t="shared" si="0"/>
        <v>33</v>
      </c>
      <c r="B44" s="161">
        <v>2098</v>
      </c>
      <c r="C44" s="161">
        <v>248</v>
      </c>
      <c r="D44" s="161">
        <v>64</v>
      </c>
      <c r="E44" s="161">
        <v>312</v>
      </c>
    </row>
    <row r="45" spans="1:5" x14ac:dyDescent="0.3">
      <c r="A45" s="161">
        <f t="shared" ref="A45:A76" si="1">+A44+1</f>
        <v>34</v>
      </c>
      <c r="B45" s="161">
        <v>6671</v>
      </c>
      <c r="C45" s="161">
        <v>253</v>
      </c>
      <c r="D45" s="161">
        <v>59</v>
      </c>
      <c r="E45" s="161">
        <v>312</v>
      </c>
    </row>
    <row r="46" spans="1:5" x14ac:dyDescent="0.3">
      <c r="A46" s="161">
        <f t="shared" si="1"/>
        <v>35</v>
      </c>
      <c r="B46" s="161">
        <v>7814</v>
      </c>
      <c r="C46" s="161">
        <v>252</v>
      </c>
      <c r="D46" s="161">
        <v>60</v>
      </c>
      <c r="E46" s="161">
        <v>312</v>
      </c>
    </row>
    <row r="47" spans="1:5" x14ac:dyDescent="0.3">
      <c r="A47" s="161">
        <f t="shared" si="1"/>
        <v>36</v>
      </c>
      <c r="B47" s="161">
        <v>8129</v>
      </c>
      <c r="C47" s="161">
        <v>251</v>
      </c>
      <c r="D47" s="161">
        <v>61</v>
      </c>
      <c r="E47" s="161">
        <v>312</v>
      </c>
    </row>
    <row r="48" spans="1:5" x14ac:dyDescent="0.3">
      <c r="A48" s="161">
        <f t="shared" si="1"/>
        <v>37</v>
      </c>
      <c r="B48" s="161">
        <v>8684</v>
      </c>
      <c r="C48" s="161">
        <v>253</v>
      </c>
      <c r="D48" s="161">
        <v>59</v>
      </c>
      <c r="E48" s="161">
        <v>312</v>
      </c>
    </row>
    <row r="49" spans="1:5" x14ac:dyDescent="0.3">
      <c r="A49" s="161">
        <f t="shared" si="1"/>
        <v>38</v>
      </c>
      <c r="B49" s="161">
        <v>8791</v>
      </c>
      <c r="C49" s="161">
        <v>251</v>
      </c>
      <c r="D49" s="161">
        <v>61</v>
      </c>
      <c r="E49" s="161">
        <v>312</v>
      </c>
    </row>
    <row r="50" spans="1:5" x14ac:dyDescent="0.3">
      <c r="A50" s="161">
        <f t="shared" si="1"/>
        <v>39</v>
      </c>
      <c r="B50" s="161">
        <v>3485</v>
      </c>
      <c r="C50" s="161">
        <v>250</v>
      </c>
      <c r="D50" s="161">
        <v>61</v>
      </c>
      <c r="E50" s="161">
        <v>311</v>
      </c>
    </row>
    <row r="51" spans="1:5" x14ac:dyDescent="0.3">
      <c r="A51" s="161">
        <f t="shared" si="1"/>
        <v>40</v>
      </c>
      <c r="B51" s="161">
        <v>6156</v>
      </c>
      <c r="C51" s="161">
        <v>250</v>
      </c>
      <c r="D51" s="161">
        <v>61</v>
      </c>
      <c r="E51" s="161">
        <v>311</v>
      </c>
    </row>
    <row r="52" spans="1:5" x14ac:dyDescent="0.3">
      <c r="A52" s="161">
        <f t="shared" si="1"/>
        <v>41</v>
      </c>
      <c r="B52" s="161">
        <v>556</v>
      </c>
      <c r="C52" s="161">
        <v>250</v>
      </c>
      <c r="D52" s="161">
        <v>60</v>
      </c>
      <c r="E52" s="161">
        <v>310</v>
      </c>
    </row>
    <row r="53" spans="1:5" x14ac:dyDescent="0.3">
      <c r="A53" s="161">
        <f t="shared" si="1"/>
        <v>42</v>
      </c>
      <c r="B53" s="161">
        <v>4004</v>
      </c>
      <c r="C53" s="161">
        <v>248</v>
      </c>
      <c r="D53" s="161">
        <v>62</v>
      </c>
      <c r="E53" s="161">
        <v>310</v>
      </c>
    </row>
    <row r="54" spans="1:5" x14ac:dyDescent="0.3">
      <c r="A54" s="161">
        <f t="shared" si="1"/>
        <v>43</v>
      </c>
      <c r="B54" s="161">
        <v>5498</v>
      </c>
      <c r="C54" s="161">
        <v>251</v>
      </c>
      <c r="D54" s="161">
        <v>59</v>
      </c>
      <c r="E54" s="161">
        <v>310</v>
      </c>
    </row>
    <row r="55" spans="1:5" x14ac:dyDescent="0.3">
      <c r="A55" s="161">
        <f t="shared" si="1"/>
        <v>44</v>
      </c>
      <c r="B55" s="161">
        <v>7109</v>
      </c>
      <c r="C55" s="161">
        <v>251</v>
      </c>
      <c r="D55" s="161">
        <v>59</v>
      </c>
      <c r="E55" s="161">
        <v>310</v>
      </c>
    </row>
    <row r="56" spans="1:5" x14ac:dyDescent="0.3">
      <c r="A56" s="161">
        <f t="shared" si="1"/>
        <v>45</v>
      </c>
      <c r="B56" s="161">
        <v>9808</v>
      </c>
      <c r="C56" s="161">
        <v>248</v>
      </c>
      <c r="D56" s="161">
        <v>62</v>
      </c>
      <c r="E56" s="161">
        <v>310</v>
      </c>
    </row>
    <row r="57" spans="1:5" x14ac:dyDescent="0.3">
      <c r="A57" s="161">
        <f t="shared" si="1"/>
        <v>46</v>
      </c>
      <c r="B57" s="161">
        <v>582</v>
      </c>
      <c r="C57" s="161">
        <v>250</v>
      </c>
      <c r="D57" s="161">
        <v>59</v>
      </c>
      <c r="E57" s="161">
        <v>309</v>
      </c>
    </row>
    <row r="58" spans="1:5" x14ac:dyDescent="0.3">
      <c r="A58" s="161">
        <f t="shared" si="1"/>
        <v>47</v>
      </c>
      <c r="B58" s="161">
        <v>3805</v>
      </c>
      <c r="C58" s="161">
        <v>250</v>
      </c>
      <c r="D58" s="161">
        <v>59</v>
      </c>
      <c r="E58" s="161">
        <v>309</v>
      </c>
    </row>
    <row r="59" spans="1:5" x14ac:dyDescent="0.3">
      <c r="A59" s="161">
        <f t="shared" si="1"/>
        <v>48</v>
      </c>
      <c r="B59" s="161">
        <v>4633</v>
      </c>
      <c r="C59" s="161">
        <v>253</v>
      </c>
      <c r="D59" s="161">
        <v>56</v>
      </c>
      <c r="E59" s="161">
        <v>309</v>
      </c>
    </row>
    <row r="60" spans="1:5" x14ac:dyDescent="0.3">
      <c r="A60" s="161">
        <f t="shared" si="1"/>
        <v>49</v>
      </c>
      <c r="B60" s="161">
        <v>7332</v>
      </c>
      <c r="C60" s="161">
        <v>249</v>
      </c>
      <c r="D60" s="161">
        <v>60</v>
      </c>
      <c r="E60" s="161">
        <v>309</v>
      </c>
    </row>
    <row r="61" spans="1:5" x14ac:dyDescent="0.3">
      <c r="A61" s="161">
        <f t="shared" si="1"/>
        <v>50</v>
      </c>
      <c r="B61" s="161">
        <v>7688</v>
      </c>
      <c r="C61" s="161">
        <v>250</v>
      </c>
      <c r="D61" s="161">
        <v>59</v>
      </c>
      <c r="E61" s="161">
        <v>309</v>
      </c>
    </row>
    <row r="62" spans="1:5" x14ac:dyDescent="0.3">
      <c r="A62" s="161">
        <f t="shared" si="1"/>
        <v>51</v>
      </c>
      <c r="B62" s="161">
        <v>9139</v>
      </c>
      <c r="C62" s="161">
        <v>248</v>
      </c>
      <c r="D62" s="161">
        <v>61</v>
      </c>
      <c r="E62" s="161">
        <v>309</v>
      </c>
    </row>
    <row r="63" spans="1:5" x14ac:dyDescent="0.3">
      <c r="A63" s="161">
        <f t="shared" si="1"/>
        <v>52</v>
      </c>
      <c r="B63" s="161">
        <v>1072</v>
      </c>
      <c r="C63" s="161">
        <v>249</v>
      </c>
      <c r="D63" s="161">
        <v>59</v>
      </c>
      <c r="E63" s="161">
        <v>308</v>
      </c>
    </row>
    <row r="64" spans="1:5" x14ac:dyDescent="0.3">
      <c r="A64" s="161">
        <f t="shared" si="1"/>
        <v>53</v>
      </c>
      <c r="B64" s="161">
        <v>2451</v>
      </c>
      <c r="C64" s="161">
        <v>251</v>
      </c>
      <c r="D64" s="161">
        <v>57</v>
      </c>
      <c r="E64" s="161">
        <v>308</v>
      </c>
    </row>
    <row r="65" spans="1:5" x14ac:dyDescent="0.3">
      <c r="A65" s="161">
        <f t="shared" si="1"/>
        <v>54</v>
      </c>
      <c r="B65" s="161">
        <v>5298</v>
      </c>
      <c r="C65" s="161">
        <v>248</v>
      </c>
      <c r="D65" s="161">
        <v>60</v>
      </c>
      <c r="E65" s="161">
        <v>308</v>
      </c>
    </row>
    <row r="66" spans="1:5" x14ac:dyDescent="0.3">
      <c r="A66" s="161">
        <f t="shared" si="1"/>
        <v>55</v>
      </c>
      <c r="B66" s="161">
        <v>8352</v>
      </c>
      <c r="C66" s="161">
        <v>249</v>
      </c>
      <c r="D66" s="161">
        <v>59</v>
      </c>
      <c r="E66" s="161">
        <v>308</v>
      </c>
    </row>
    <row r="67" spans="1:5" x14ac:dyDescent="0.3">
      <c r="A67" s="161">
        <f t="shared" si="1"/>
        <v>56</v>
      </c>
      <c r="B67" s="161">
        <v>2191</v>
      </c>
      <c r="C67" s="161">
        <v>251</v>
      </c>
      <c r="D67" s="161">
        <v>56</v>
      </c>
      <c r="E67" s="161">
        <v>307</v>
      </c>
    </row>
    <row r="68" spans="1:5" x14ac:dyDescent="0.3">
      <c r="A68" s="161">
        <f t="shared" si="1"/>
        <v>57</v>
      </c>
      <c r="B68" s="161">
        <v>2350</v>
      </c>
      <c r="C68" s="161">
        <v>252</v>
      </c>
      <c r="D68" s="161">
        <v>55</v>
      </c>
      <c r="E68" s="161">
        <v>307</v>
      </c>
    </row>
    <row r="69" spans="1:5" x14ac:dyDescent="0.3">
      <c r="A69" s="161">
        <f t="shared" si="1"/>
        <v>58</v>
      </c>
      <c r="B69" s="161">
        <v>3395</v>
      </c>
      <c r="C69" s="161">
        <v>247</v>
      </c>
      <c r="D69" s="161">
        <v>60</v>
      </c>
      <c r="E69" s="161">
        <v>307</v>
      </c>
    </row>
    <row r="70" spans="1:5" x14ac:dyDescent="0.3">
      <c r="A70" s="161">
        <f t="shared" si="1"/>
        <v>59</v>
      </c>
      <c r="B70" s="161">
        <v>4751</v>
      </c>
      <c r="C70" s="161">
        <v>249</v>
      </c>
      <c r="D70" s="161">
        <v>58</v>
      </c>
      <c r="E70" s="161">
        <v>307</v>
      </c>
    </row>
    <row r="71" spans="1:5" x14ac:dyDescent="0.3">
      <c r="A71" s="161">
        <f t="shared" si="1"/>
        <v>60</v>
      </c>
      <c r="B71" s="161">
        <v>7294</v>
      </c>
      <c r="C71" s="161">
        <v>255</v>
      </c>
      <c r="D71" s="161">
        <v>52</v>
      </c>
      <c r="E71" s="161">
        <v>307</v>
      </c>
    </row>
    <row r="72" spans="1:5" x14ac:dyDescent="0.3">
      <c r="A72" s="161">
        <f t="shared" si="1"/>
        <v>61</v>
      </c>
      <c r="B72" s="161">
        <v>7767</v>
      </c>
      <c r="C72" s="161">
        <v>248</v>
      </c>
      <c r="D72" s="161">
        <v>59</v>
      </c>
      <c r="E72" s="161">
        <v>307</v>
      </c>
    </row>
    <row r="73" spans="1:5" x14ac:dyDescent="0.3">
      <c r="A73" s="161">
        <f t="shared" si="1"/>
        <v>62</v>
      </c>
      <c r="B73" s="161">
        <v>3505</v>
      </c>
      <c r="C73" s="161">
        <v>246</v>
      </c>
      <c r="D73" s="161">
        <v>60</v>
      </c>
      <c r="E73" s="161">
        <v>306</v>
      </c>
    </row>
    <row r="74" spans="1:5" x14ac:dyDescent="0.3">
      <c r="A74" s="161">
        <f t="shared" si="1"/>
        <v>63</v>
      </c>
      <c r="B74" s="161">
        <v>3701</v>
      </c>
      <c r="C74" s="161">
        <v>249</v>
      </c>
      <c r="D74" s="161">
        <v>57</v>
      </c>
      <c r="E74" s="161">
        <v>306</v>
      </c>
    </row>
    <row r="75" spans="1:5" x14ac:dyDescent="0.3">
      <c r="A75" s="161">
        <f t="shared" si="1"/>
        <v>64</v>
      </c>
      <c r="B75" s="161">
        <v>5037</v>
      </c>
      <c r="C75" s="161">
        <v>247</v>
      </c>
      <c r="D75" s="161">
        <v>59</v>
      </c>
      <c r="E75" s="161">
        <v>306</v>
      </c>
    </row>
    <row r="76" spans="1:5" x14ac:dyDescent="0.3">
      <c r="A76" s="161">
        <f t="shared" si="1"/>
        <v>65</v>
      </c>
      <c r="B76" s="161">
        <v>5234</v>
      </c>
      <c r="C76" s="161">
        <v>246</v>
      </c>
      <c r="D76" s="161">
        <v>60</v>
      </c>
      <c r="E76" s="161">
        <v>306</v>
      </c>
    </row>
    <row r="77" spans="1:5" x14ac:dyDescent="0.3">
      <c r="A77" s="161">
        <f t="shared" ref="A77:A111" si="2">+A76+1</f>
        <v>66</v>
      </c>
      <c r="B77" s="161">
        <v>6303</v>
      </c>
      <c r="C77" s="161">
        <v>247</v>
      </c>
      <c r="D77" s="161">
        <v>59</v>
      </c>
      <c r="E77" s="161">
        <v>306</v>
      </c>
    </row>
    <row r="78" spans="1:5" x14ac:dyDescent="0.3">
      <c r="A78" s="161">
        <f t="shared" si="2"/>
        <v>67</v>
      </c>
      <c r="B78" s="161">
        <v>8126</v>
      </c>
      <c r="C78" s="161">
        <v>245</v>
      </c>
      <c r="D78" s="161">
        <v>61</v>
      </c>
      <c r="E78" s="161">
        <v>306</v>
      </c>
    </row>
    <row r="79" spans="1:5" x14ac:dyDescent="0.3">
      <c r="A79" s="161">
        <f t="shared" si="2"/>
        <v>68</v>
      </c>
      <c r="B79" s="161">
        <v>957</v>
      </c>
      <c r="C79" s="161">
        <v>246</v>
      </c>
      <c r="D79" s="161">
        <v>59</v>
      </c>
      <c r="E79" s="161">
        <v>305</v>
      </c>
    </row>
    <row r="80" spans="1:5" x14ac:dyDescent="0.3">
      <c r="A80" s="161">
        <f t="shared" si="2"/>
        <v>69</v>
      </c>
      <c r="B80" s="161">
        <v>6141</v>
      </c>
      <c r="C80" s="161">
        <v>251</v>
      </c>
      <c r="D80" s="161">
        <v>54</v>
      </c>
      <c r="E80" s="161">
        <v>305</v>
      </c>
    </row>
    <row r="81" spans="1:5" x14ac:dyDescent="0.3">
      <c r="A81" s="161">
        <f t="shared" si="2"/>
        <v>70</v>
      </c>
      <c r="B81" s="161">
        <v>8339</v>
      </c>
      <c r="C81" s="161">
        <v>247</v>
      </c>
      <c r="D81" s="161">
        <v>58</v>
      </c>
      <c r="E81" s="161">
        <v>305</v>
      </c>
    </row>
    <row r="82" spans="1:5" x14ac:dyDescent="0.3">
      <c r="A82" s="161">
        <f t="shared" si="2"/>
        <v>71</v>
      </c>
      <c r="B82" s="161">
        <v>209</v>
      </c>
      <c r="C82" s="161">
        <v>243</v>
      </c>
      <c r="D82" s="161">
        <v>61</v>
      </c>
      <c r="E82" s="161">
        <v>304</v>
      </c>
    </row>
    <row r="83" spans="1:5" x14ac:dyDescent="0.3">
      <c r="A83" s="161">
        <f t="shared" si="2"/>
        <v>72</v>
      </c>
      <c r="B83" s="161">
        <v>7420</v>
      </c>
      <c r="C83" s="161">
        <v>245</v>
      </c>
      <c r="D83" s="161">
        <v>59</v>
      </c>
      <c r="E83" s="161">
        <v>304</v>
      </c>
    </row>
    <row r="84" spans="1:5" x14ac:dyDescent="0.3">
      <c r="A84" s="161">
        <f t="shared" si="2"/>
        <v>73</v>
      </c>
      <c r="B84" s="161">
        <v>7648</v>
      </c>
      <c r="C84" s="161">
        <v>246</v>
      </c>
      <c r="D84" s="161">
        <v>58</v>
      </c>
      <c r="E84" s="161">
        <v>304</v>
      </c>
    </row>
    <row r="85" spans="1:5" x14ac:dyDescent="0.3">
      <c r="A85" s="161">
        <f t="shared" si="2"/>
        <v>74</v>
      </c>
      <c r="B85" s="161">
        <v>8627</v>
      </c>
      <c r="C85" s="161">
        <v>248</v>
      </c>
      <c r="D85" s="161">
        <v>56</v>
      </c>
      <c r="E85" s="161">
        <v>304</v>
      </c>
    </row>
    <row r="86" spans="1:5" x14ac:dyDescent="0.3">
      <c r="A86" s="161">
        <f t="shared" si="2"/>
        <v>75</v>
      </c>
      <c r="B86" s="161">
        <v>9587</v>
      </c>
      <c r="C86" s="161">
        <v>243</v>
      </c>
      <c r="D86" s="161">
        <v>61</v>
      </c>
      <c r="E86" s="161">
        <v>304</v>
      </c>
    </row>
    <row r="87" spans="1:5" x14ac:dyDescent="0.3">
      <c r="A87" s="161">
        <f t="shared" si="2"/>
        <v>76</v>
      </c>
      <c r="B87" s="161">
        <v>18</v>
      </c>
      <c r="C87" s="161">
        <v>247</v>
      </c>
      <c r="D87" s="161">
        <v>56</v>
      </c>
      <c r="E87" s="161">
        <v>303</v>
      </c>
    </row>
    <row r="88" spans="1:5" x14ac:dyDescent="0.3">
      <c r="A88" s="161">
        <f t="shared" si="2"/>
        <v>77</v>
      </c>
      <c r="B88" s="161">
        <v>831</v>
      </c>
      <c r="C88" s="161">
        <v>245</v>
      </c>
      <c r="D88" s="161">
        <v>58</v>
      </c>
      <c r="E88" s="161">
        <v>303</v>
      </c>
    </row>
    <row r="89" spans="1:5" x14ac:dyDescent="0.3">
      <c r="A89" s="161">
        <f t="shared" si="2"/>
        <v>78</v>
      </c>
      <c r="B89" s="161">
        <v>1478</v>
      </c>
      <c r="C89" s="161">
        <v>243</v>
      </c>
      <c r="D89" s="161">
        <v>60</v>
      </c>
      <c r="E89" s="161">
        <v>303</v>
      </c>
    </row>
    <row r="90" spans="1:5" x14ac:dyDescent="0.3">
      <c r="A90" s="161">
        <f t="shared" si="2"/>
        <v>79</v>
      </c>
      <c r="B90" s="161">
        <v>2171</v>
      </c>
      <c r="C90" s="161">
        <v>243</v>
      </c>
      <c r="D90" s="161">
        <v>60</v>
      </c>
      <c r="E90" s="161">
        <v>303</v>
      </c>
    </row>
    <row r="91" spans="1:5" x14ac:dyDescent="0.3">
      <c r="A91" s="161">
        <f t="shared" si="2"/>
        <v>80</v>
      </c>
      <c r="B91" s="161">
        <v>3146</v>
      </c>
      <c r="C91" s="161">
        <v>246</v>
      </c>
      <c r="D91" s="161">
        <v>57</v>
      </c>
      <c r="E91" s="161">
        <v>303</v>
      </c>
    </row>
    <row r="92" spans="1:5" x14ac:dyDescent="0.3">
      <c r="A92" s="161">
        <f t="shared" si="2"/>
        <v>81</v>
      </c>
      <c r="B92" s="161">
        <v>4380</v>
      </c>
      <c r="C92" s="161">
        <v>245</v>
      </c>
      <c r="D92" s="161">
        <v>58</v>
      </c>
      <c r="E92" s="161">
        <v>303</v>
      </c>
    </row>
    <row r="93" spans="1:5" x14ac:dyDescent="0.3">
      <c r="A93" s="161">
        <f t="shared" si="2"/>
        <v>82</v>
      </c>
      <c r="B93" s="161">
        <v>5489</v>
      </c>
      <c r="C93" s="161">
        <v>245</v>
      </c>
      <c r="D93" s="161">
        <v>58</v>
      </c>
      <c r="E93" s="161">
        <v>303</v>
      </c>
    </row>
    <row r="94" spans="1:5" x14ac:dyDescent="0.3">
      <c r="A94" s="161">
        <f t="shared" si="2"/>
        <v>83</v>
      </c>
      <c r="B94" s="161">
        <v>5682</v>
      </c>
      <c r="C94" s="161">
        <v>249</v>
      </c>
      <c r="D94" s="161">
        <v>54</v>
      </c>
      <c r="E94" s="161">
        <v>303</v>
      </c>
    </row>
    <row r="95" spans="1:5" x14ac:dyDescent="0.3">
      <c r="A95" s="161">
        <f t="shared" si="2"/>
        <v>84</v>
      </c>
      <c r="B95" s="161">
        <v>7980</v>
      </c>
      <c r="C95" s="161">
        <v>246</v>
      </c>
      <c r="D95" s="161">
        <v>57</v>
      </c>
      <c r="E95" s="161">
        <v>303</v>
      </c>
    </row>
    <row r="96" spans="1:5" x14ac:dyDescent="0.3">
      <c r="A96" s="161">
        <f t="shared" si="2"/>
        <v>85</v>
      </c>
      <c r="B96" s="161">
        <v>8981</v>
      </c>
      <c r="C96" s="161">
        <v>245</v>
      </c>
      <c r="D96" s="161">
        <v>58</v>
      </c>
      <c r="E96" s="161">
        <v>303</v>
      </c>
    </row>
    <row r="97" spans="1:5" x14ac:dyDescent="0.3">
      <c r="A97" s="161">
        <f t="shared" si="2"/>
        <v>86</v>
      </c>
      <c r="B97" s="161">
        <v>9072</v>
      </c>
      <c r="C97" s="161">
        <v>244</v>
      </c>
      <c r="D97" s="161">
        <v>59</v>
      </c>
      <c r="E97" s="161">
        <v>303</v>
      </c>
    </row>
    <row r="98" spans="1:5" x14ac:dyDescent="0.3">
      <c r="A98" s="161">
        <f t="shared" si="2"/>
        <v>87</v>
      </c>
      <c r="B98" s="161">
        <v>1211</v>
      </c>
      <c r="C98" s="161">
        <v>244</v>
      </c>
      <c r="D98" s="161">
        <v>58</v>
      </c>
      <c r="E98" s="161">
        <v>302</v>
      </c>
    </row>
    <row r="99" spans="1:5" x14ac:dyDescent="0.3">
      <c r="A99" s="161">
        <f t="shared" si="2"/>
        <v>88</v>
      </c>
      <c r="B99" s="161">
        <v>1457</v>
      </c>
      <c r="C99" s="161">
        <v>245</v>
      </c>
      <c r="D99" s="161">
        <v>57</v>
      </c>
      <c r="E99" s="161">
        <v>302</v>
      </c>
    </row>
    <row r="100" spans="1:5" x14ac:dyDescent="0.3">
      <c r="A100" s="161">
        <f t="shared" si="2"/>
        <v>89</v>
      </c>
      <c r="B100" s="161">
        <v>1899</v>
      </c>
      <c r="C100" s="161">
        <v>245</v>
      </c>
      <c r="D100" s="161">
        <v>57</v>
      </c>
      <c r="E100" s="161">
        <v>302</v>
      </c>
    </row>
    <row r="101" spans="1:5" x14ac:dyDescent="0.3">
      <c r="A101" s="161">
        <f t="shared" si="2"/>
        <v>90</v>
      </c>
      <c r="B101" s="161">
        <v>2434</v>
      </c>
      <c r="C101" s="161">
        <v>243</v>
      </c>
      <c r="D101" s="161">
        <v>59</v>
      </c>
      <c r="E101" s="161">
        <v>302</v>
      </c>
    </row>
    <row r="102" spans="1:5" x14ac:dyDescent="0.3">
      <c r="A102" s="161">
        <f t="shared" si="2"/>
        <v>91</v>
      </c>
      <c r="B102" s="161">
        <v>2538</v>
      </c>
      <c r="C102" s="161">
        <v>244</v>
      </c>
      <c r="D102" s="161">
        <v>58</v>
      </c>
      <c r="E102" s="161">
        <v>302</v>
      </c>
    </row>
    <row r="103" spans="1:5" x14ac:dyDescent="0.3">
      <c r="A103" s="161">
        <f t="shared" si="2"/>
        <v>92</v>
      </c>
      <c r="B103" s="161">
        <v>3543</v>
      </c>
      <c r="C103" s="161">
        <v>244</v>
      </c>
      <c r="D103" s="161">
        <v>58</v>
      </c>
      <c r="E103" s="161">
        <v>302</v>
      </c>
    </row>
    <row r="104" spans="1:5" x14ac:dyDescent="0.3">
      <c r="A104" s="161">
        <f t="shared" si="2"/>
        <v>93</v>
      </c>
      <c r="B104" s="161">
        <v>3635</v>
      </c>
      <c r="C104" s="161">
        <v>244</v>
      </c>
      <c r="D104" s="161">
        <v>58</v>
      </c>
      <c r="E104" s="161">
        <v>302</v>
      </c>
    </row>
    <row r="105" spans="1:5" x14ac:dyDescent="0.3">
      <c r="A105" s="161">
        <f t="shared" si="2"/>
        <v>94</v>
      </c>
      <c r="B105" s="161">
        <v>3665</v>
      </c>
      <c r="C105" s="161">
        <v>246</v>
      </c>
      <c r="D105" s="161">
        <v>56</v>
      </c>
      <c r="E105" s="161">
        <v>302</v>
      </c>
    </row>
    <row r="106" spans="1:5" x14ac:dyDescent="0.3">
      <c r="A106" s="161">
        <f t="shared" si="2"/>
        <v>95</v>
      </c>
      <c r="B106" s="161">
        <v>4044</v>
      </c>
      <c r="C106" s="161">
        <v>245</v>
      </c>
      <c r="D106" s="161">
        <v>57</v>
      </c>
      <c r="E106" s="161">
        <v>302</v>
      </c>
    </row>
    <row r="107" spans="1:5" x14ac:dyDescent="0.3">
      <c r="A107" s="161">
        <f t="shared" si="2"/>
        <v>96</v>
      </c>
      <c r="B107" s="161">
        <v>4970</v>
      </c>
      <c r="C107" s="161">
        <v>245</v>
      </c>
      <c r="D107" s="161">
        <v>57</v>
      </c>
      <c r="E107" s="161">
        <v>302</v>
      </c>
    </row>
    <row r="108" spans="1:5" x14ac:dyDescent="0.3">
      <c r="A108" s="161">
        <f t="shared" si="2"/>
        <v>97</v>
      </c>
      <c r="B108" s="161">
        <v>7259</v>
      </c>
      <c r="C108" s="161">
        <v>244</v>
      </c>
      <c r="D108" s="161">
        <v>58</v>
      </c>
      <c r="E108" s="161">
        <v>302</v>
      </c>
    </row>
    <row r="109" spans="1:5" x14ac:dyDescent="0.3">
      <c r="A109" s="161">
        <f t="shared" si="2"/>
        <v>98</v>
      </c>
      <c r="B109" s="161">
        <v>8351</v>
      </c>
      <c r="C109" s="161">
        <v>245</v>
      </c>
      <c r="D109" s="161">
        <v>57</v>
      </c>
      <c r="E109" s="161">
        <v>302</v>
      </c>
    </row>
    <row r="110" spans="1:5" x14ac:dyDescent="0.3">
      <c r="A110" s="161">
        <f t="shared" si="2"/>
        <v>99</v>
      </c>
      <c r="B110" s="161">
        <v>8898</v>
      </c>
      <c r="C110" s="161">
        <v>243</v>
      </c>
      <c r="D110" s="161">
        <v>59</v>
      </c>
      <c r="E110" s="161">
        <v>302</v>
      </c>
    </row>
    <row r="111" spans="1:5" x14ac:dyDescent="0.3">
      <c r="A111" s="161">
        <f t="shared" si="2"/>
        <v>100</v>
      </c>
      <c r="B111" s="161">
        <v>9425</v>
      </c>
      <c r="C111" s="161">
        <v>243</v>
      </c>
      <c r="D111" s="161">
        <v>59</v>
      </c>
      <c r="E111" s="161">
        <v>302</v>
      </c>
    </row>
    <row r="112" spans="1:5" ht="15" thickBot="1" x14ac:dyDescent="0.35"/>
    <row r="113" spans="1:8" ht="15.6" thickTop="1" thickBot="1" x14ac:dyDescent="0.35">
      <c r="B113" s="199" t="s">
        <v>213</v>
      </c>
      <c r="C113" s="200"/>
      <c r="D113" s="200"/>
      <c r="E113" s="201"/>
    </row>
    <row r="114" spans="1:8" ht="15" thickTop="1" x14ac:dyDescent="0.3"/>
    <row r="115" spans="1:8" x14ac:dyDescent="0.3">
      <c r="A115" s="161" t="s">
        <v>214</v>
      </c>
      <c r="C115" s="164">
        <f>SUM(C12:C51)</f>
        <v>10266</v>
      </c>
      <c r="D115" s="164">
        <f>SUM(D12:D51)</f>
        <v>2501</v>
      </c>
      <c r="E115" s="164">
        <f>SUM(E12:E51)</f>
        <v>12767</v>
      </c>
      <c r="G115" s="186"/>
    </row>
    <row r="116" spans="1:8" x14ac:dyDescent="0.3">
      <c r="A116" s="161" t="s">
        <v>215</v>
      </c>
      <c r="C116" s="164">
        <f>+C115/40</f>
        <v>256.64999999999998</v>
      </c>
      <c r="D116" s="164">
        <f>+D115/40</f>
        <v>62.524999999999999</v>
      </c>
      <c r="E116" s="189">
        <f>+E115/40</f>
        <v>319.17500000000001</v>
      </c>
      <c r="F116" s="164"/>
      <c r="G116" s="186"/>
    </row>
    <row r="117" spans="1:8" x14ac:dyDescent="0.3">
      <c r="A117" s="161" t="s">
        <v>216</v>
      </c>
      <c r="C117" s="163">
        <f>+C116/E116</f>
        <v>0.8041043314795957</v>
      </c>
      <c r="D117" s="163">
        <f>+D116/E116</f>
        <v>0.19589566852040416</v>
      </c>
      <c r="E117" s="163">
        <f>+C117+D117</f>
        <v>0.99999999999999989</v>
      </c>
      <c r="F117" s="164"/>
      <c r="G117" s="186"/>
    </row>
    <row r="118" spans="1:8" x14ac:dyDescent="0.3">
      <c r="A118" s="188" t="s">
        <v>217</v>
      </c>
      <c r="C118" s="187">
        <f>+C117*$E$118</f>
        <v>160.82086629591913</v>
      </c>
      <c r="D118" s="187">
        <f>+D117*$E$118</f>
        <v>39.179133704080833</v>
      </c>
      <c r="E118" s="174">
        <v>200</v>
      </c>
      <c r="G118" s="186"/>
      <c r="H118" s="186"/>
    </row>
    <row r="119" spans="1:8" x14ac:dyDescent="0.3">
      <c r="C119" s="185"/>
      <c r="D119" s="185"/>
    </row>
    <row r="120" spans="1:8" ht="15" thickBot="1" x14ac:dyDescent="0.35"/>
    <row r="121" spans="1:8" ht="15.6" thickTop="1" thickBot="1" x14ac:dyDescent="0.35">
      <c r="B121" s="199" t="s">
        <v>218</v>
      </c>
      <c r="C121" s="200"/>
      <c r="D121" s="200"/>
      <c r="E121" s="201"/>
    </row>
    <row r="122" spans="1:8" ht="15" thickTop="1" x14ac:dyDescent="0.3">
      <c r="B122" s="161" t="s">
        <v>219</v>
      </c>
      <c r="D122" s="183">
        <f>5/C118</f>
        <v>3.1090492889148651E-2</v>
      </c>
    </row>
    <row r="123" spans="1:8" x14ac:dyDescent="0.3">
      <c r="D123" s="184"/>
    </row>
    <row r="124" spans="1:8" x14ac:dyDescent="0.3">
      <c r="B124" s="161" t="s">
        <v>220</v>
      </c>
      <c r="D124" s="183">
        <f>4/D118</f>
        <v>0.10209516193522591</v>
      </c>
    </row>
    <row r="126" spans="1:8" ht="15" thickBot="1" x14ac:dyDescent="0.35"/>
    <row r="127" spans="1:8" ht="15.6" thickTop="1" thickBot="1" x14ac:dyDescent="0.35">
      <c r="B127" s="199" t="s">
        <v>221</v>
      </c>
      <c r="C127" s="200"/>
      <c r="D127" s="200"/>
      <c r="E127" s="201"/>
    </row>
    <row r="128" spans="1:8" ht="15" thickTop="1" x14ac:dyDescent="0.3">
      <c r="B128" s="161" t="s">
        <v>222</v>
      </c>
      <c r="D128" s="181">
        <f>5-0.08*C118</f>
        <v>-7.8656693036735312</v>
      </c>
      <c r="E128" s="180"/>
      <c r="F128" s="172"/>
    </row>
    <row r="129" spans="2:8" x14ac:dyDescent="0.3">
      <c r="D129" s="182"/>
    </row>
    <row r="130" spans="2:8" x14ac:dyDescent="0.3">
      <c r="B130" s="161" t="s">
        <v>223</v>
      </c>
      <c r="D130" s="181">
        <f>4-0.08*D118</f>
        <v>0.86566930367353345</v>
      </c>
      <c r="E130" s="180"/>
      <c r="F130" s="172"/>
    </row>
    <row r="131" spans="2:8" x14ac:dyDescent="0.3">
      <c r="E131" s="160"/>
      <c r="F131" s="160"/>
      <c r="G131" s="160"/>
      <c r="H131" s="160"/>
    </row>
    <row r="132" spans="2:8" x14ac:dyDescent="0.3">
      <c r="E132" s="160"/>
      <c r="F132" s="160"/>
      <c r="G132" s="160"/>
      <c r="H132" s="160"/>
    </row>
    <row r="133" spans="2:8" x14ac:dyDescent="0.3">
      <c r="E133" s="160"/>
      <c r="F133" s="160"/>
      <c r="G133" s="160"/>
      <c r="H133" s="160"/>
    </row>
    <row r="134" spans="2:8" x14ac:dyDescent="0.3">
      <c r="E134" s="160"/>
      <c r="F134" s="160"/>
      <c r="G134" s="160"/>
      <c r="H134" s="160"/>
    </row>
    <row r="135" spans="2:8" x14ac:dyDescent="0.3">
      <c r="E135" s="160"/>
      <c r="F135" s="160"/>
      <c r="G135" s="160"/>
      <c r="H135" s="160"/>
    </row>
  </sheetData>
  <mergeCells count="5">
    <mergeCell ref="A8:E8"/>
    <mergeCell ref="C10:E10"/>
    <mergeCell ref="B113:E113"/>
    <mergeCell ref="B121:E121"/>
    <mergeCell ref="B127:E1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8B4E2-1307-4335-8DA3-6B0C0047EEFB}">
  <sheetPr>
    <tabColor rgb="FF0000FF"/>
  </sheetPr>
  <dimension ref="A1:K17"/>
  <sheetViews>
    <sheetView workbookViewId="0"/>
  </sheetViews>
  <sheetFormatPr defaultColWidth="9.109375" defaultRowHeight="13.8" x14ac:dyDescent="0.25"/>
  <cols>
    <col min="1" max="1" width="21.88671875" style="54" customWidth="1"/>
    <col min="2" max="2" width="13.109375" style="55" customWidth="1"/>
    <col min="3" max="3" width="14.33203125" style="55" customWidth="1"/>
    <col min="4" max="4" width="13.6640625" style="55" customWidth="1"/>
    <col min="5" max="5" width="9.109375" style="54"/>
    <col min="6" max="6" width="11.88671875" style="56" customWidth="1"/>
    <col min="7" max="7" width="10.88671875" style="56" customWidth="1"/>
    <col min="8" max="8" width="12" style="54" customWidth="1"/>
    <col min="9" max="9" width="9.109375" style="57"/>
    <col min="10" max="16384" width="9.109375" style="54"/>
  </cols>
  <sheetData>
    <row r="1" spans="1:11" x14ac:dyDescent="0.25">
      <c r="A1" s="53" t="s">
        <v>133</v>
      </c>
      <c r="B1" s="54"/>
    </row>
    <row r="2" spans="1:11" x14ac:dyDescent="0.25">
      <c r="A2" s="53" t="s">
        <v>134</v>
      </c>
      <c r="B2" s="54"/>
    </row>
    <row r="3" spans="1:11" x14ac:dyDescent="0.25">
      <c r="A3" s="53" t="s">
        <v>135</v>
      </c>
      <c r="B3" s="54"/>
    </row>
    <row r="4" spans="1:11" x14ac:dyDescent="0.25">
      <c r="A4" s="53" t="s">
        <v>136</v>
      </c>
      <c r="B4" s="54"/>
    </row>
    <row r="5" spans="1:11" x14ac:dyDescent="0.25">
      <c r="A5" s="53" t="s">
        <v>137</v>
      </c>
      <c r="B5" s="54"/>
    </row>
    <row r="6" spans="1:11" x14ac:dyDescent="0.25">
      <c r="A6" s="53" t="s">
        <v>138</v>
      </c>
      <c r="B6" s="54"/>
    </row>
    <row r="8" spans="1:11" x14ac:dyDescent="0.25">
      <c r="F8" s="58" t="s">
        <v>193</v>
      </c>
    </row>
    <row r="9" spans="1:11" ht="29.25" customHeight="1" x14ac:dyDescent="0.25">
      <c r="B9" s="202" t="s">
        <v>194</v>
      </c>
      <c r="C9" s="203"/>
    </row>
    <row r="10" spans="1:11" ht="41.25" customHeight="1" x14ac:dyDescent="0.25">
      <c r="A10" s="59" t="s">
        <v>195</v>
      </c>
      <c r="B10" s="60" t="s">
        <v>196</v>
      </c>
      <c r="C10" s="60" t="s">
        <v>197</v>
      </c>
      <c r="D10" s="60" t="s">
        <v>198</v>
      </c>
      <c r="F10" s="61" t="s">
        <v>199</v>
      </c>
      <c r="G10" s="61" t="s">
        <v>200</v>
      </c>
      <c r="H10" s="61" t="s">
        <v>201</v>
      </c>
    </row>
    <row r="11" spans="1:11" x14ac:dyDescent="0.25">
      <c r="A11" s="54" t="s">
        <v>202</v>
      </c>
      <c r="B11" s="80">
        <v>200</v>
      </c>
      <c r="C11" s="80">
        <v>20</v>
      </c>
      <c r="D11" s="80">
        <v>210</v>
      </c>
      <c r="F11" s="63"/>
      <c r="G11" s="63"/>
      <c r="H11" s="54" t="s">
        <v>203</v>
      </c>
      <c r="K11" s="64"/>
    </row>
    <row r="12" spans="1:11" x14ac:dyDescent="0.25">
      <c r="A12" s="54" t="s">
        <v>204</v>
      </c>
      <c r="B12" s="80">
        <v>40</v>
      </c>
      <c r="C12" s="80">
        <v>5</v>
      </c>
      <c r="D12" s="80">
        <v>45</v>
      </c>
      <c r="F12" s="63"/>
      <c r="G12" s="63"/>
      <c r="H12" s="54" t="s">
        <v>203</v>
      </c>
      <c r="K12" s="64"/>
    </row>
    <row r="14" spans="1:11" ht="60.75" customHeight="1" x14ac:dyDescent="0.25">
      <c r="G14" s="61" t="s">
        <v>205</v>
      </c>
    </row>
    <row r="15" spans="1:11" ht="18" x14ac:dyDescent="0.35">
      <c r="A15" s="65" t="s">
        <v>206</v>
      </c>
      <c r="E15" s="66"/>
      <c r="F15" s="57"/>
      <c r="G15" s="63"/>
      <c r="H15" s="54" t="s">
        <v>207</v>
      </c>
      <c r="I15" s="67"/>
      <c r="J15" s="68"/>
    </row>
    <row r="16" spans="1:11" x14ac:dyDescent="0.25">
      <c r="F16" s="69"/>
      <c r="G16" s="70"/>
      <c r="H16" s="68"/>
      <c r="I16" s="67"/>
      <c r="J16" s="68"/>
    </row>
    <row r="17" spans="6:6" x14ac:dyDescent="0.25">
      <c r="F17" s="57"/>
    </row>
  </sheetData>
  <mergeCells count="1">
    <mergeCell ref="B9:C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455B-60E6-4796-B54F-3E606FEFFDB1}">
  <sheetPr>
    <tabColor rgb="FF0000FF"/>
  </sheetPr>
  <dimension ref="A1:G130"/>
  <sheetViews>
    <sheetView workbookViewId="0"/>
  </sheetViews>
  <sheetFormatPr defaultColWidth="9.109375" defaultRowHeight="13.8" x14ac:dyDescent="0.25"/>
  <cols>
    <col min="1" max="1" width="9.109375" style="54"/>
    <col min="2" max="2" width="13.88671875" style="54" customWidth="1"/>
    <col min="3" max="3" width="10.5546875" style="54" bestFit="1" customWidth="1"/>
    <col min="4" max="4" width="9.5546875" style="54" customWidth="1"/>
    <col min="5" max="5" width="9.88671875" style="54" customWidth="1"/>
    <col min="6" max="16384" width="9.109375" style="54"/>
  </cols>
  <sheetData>
    <row r="1" spans="1:5" x14ac:dyDescent="0.25">
      <c r="A1" s="53" t="s">
        <v>133</v>
      </c>
    </row>
    <row r="2" spans="1:5" x14ac:dyDescent="0.25">
      <c r="A2" s="53" t="s">
        <v>134</v>
      </c>
    </row>
    <row r="3" spans="1:5" x14ac:dyDescent="0.25">
      <c r="A3" s="53" t="s">
        <v>135</v>
      </c>
    </row>
    <row r="4" spans="1:5" x14ac:dyDescent="0.25">
      <c r="A4" s="53" t="s">
        <v>136</v>
      </c>
    </row>
    <row r="5" spans="1:5" x14ac:dyDescent="0.25">
      <c r="A5" s="53" t="s">
        <v>137</v>
      </c>
    </row>
    <row r="6" spans="1:5" x14ac:dyDescent="0.25">
      <c r="A6" s="53" t="s">
        <v>138</v>
      </c>
    </row>
    <row r="7" spans="1:5" ht="14.4" thickBot="1" x14ac:dyDescent="0.3"/>
    <row r="8" spans="1:5" ht="15.6" thickTop="1" thickBot="1" x14ac:dyDescent="0.35">
      <c r="A8" s="204" t="s">
        <v>208</v>
      </c>
      <c r="B8" s="205"/>
      <c r="C8" s="205"/>
      <c r="D8" s="205"/>
      <c r="E8" s="206"/>
    </row>
    <row r="9" spans="1:5" ht="14.4" thickTop="1" x14ac:dyDescent="0.25"/>
    <row r="10" spans="1:5" x14ac:dyDescent="0.25">
      <c r="C10" s="207" t="s">
        <v>209</v>
      </c>
      <c r="D10" s="208"/>
      <c r="E10" s="209"/>
    </row>
    <row r="11" spans="1:5" ht="27.6" x14ac:dyDescent="0.25">
      <c r="A11" s="59" t="s">
        <v>210</v>
      </c>
      <c r="B11" s="59" t="s">
        <v>211</v>
      </c>
      <c r="C11" s="59" t="s">
        <v>202</v>
      </c>
      <c r="D11" s="59" t="s">
        <v>204</v>
      </c>
      <c r="E11" s="60" t="s">
        <v>212</v>
      </c>
    </row>
    <row r="12" spans="1:5" x14ac:dyDescent="0.25">
      <c r="A12" s="54">
        <v>1</v>
      </c>
      <c r="B12" s="54">
        <v>1877</v>
      </c>
      <c r="C12" s="54">
        <v>274</v>
      </c>
      <c r="D12" s="54">
        <v>69</v>
      </c>
      <c r="E12" s="54">
        <v>343</v>
      </c>
    </row>
    <row r="13" spans="1:5" x14ac:dyDescent="0.25">
      <c r="A13" s="54">
        <f>+A12+1</f>
        <v>2</v>
      </c>
      <c r="B13" s="54">
        <v>7177</v>
      </c>
      <c r="C13" s="54">
        <v>272</v>
      </c>
      <c r="D13" s="54">
        <v>69</v>
      </c>
      <c r="E13" s="54">
        <v>341</v>
      </c>
    </row>
    <row r="14" spans="1:5" x14ac:dyDescent="0.25">
      <c r="A14" s="54">
        <f t="shared" ref="A14:A77" si="0">+A13+1</f>
        <v>3</v>
      </c>
      <c r="B14" s="54">
        <v>8945</v>
      </c>
      <c r="C14" s="54">
        <v>271</v>
      </c>
      <c r="D14" s="54">
        <v>69</v>
      </c>
      <c r="E14" s="54">
        <v>340</v>
      </c>
    </row>
    <row r="15" spans="1:5" x14ac:dyDescent="0.25">
      <c r="A15" s="54">
        <f t="shared" si="0"/>
        <v>4</v>
      </c>
      <c r="B15" s="54">
        <v>8614</v>
      </c>
      <c r="C15" s="54">
        <v>263</v>
      </c>
      <c r="D15" s="54">
        <v>67</v>
      </c>
      <c r="E15" s="54">
        <v>330</v>
      </c>
    </row>
    <row r="16" spans="1:5" x14ac:dyDescent="0.25">
      <c r="A16" s="54">
        <f t="shared" si="0"/>
        <v>5</v>
      </c>
      <c r="B16" s="54">
        <v>1778</v>
      </c>
      <c r="C16" s="54">
        <v>263</v>
      </c>
      <c r="D16" s="54">
        <v>66</v>
      </c>
      <c r="E16" s="54">
        <v>329</v>
      </c>
    </row>
    <row r="17" spans="1:5" x14ac:dyDescent="0.25">
      <c r="A17" s="54">
        <f t="shared" si="0"/>
        <v>6</v>
      </c>
      <c r="B17" s="54">
        <v>4555</v>
      </c>
      <c r="C17" s="54">
        <v>264</v>
      </c>
      <c r="D17" s="54">
        <v>63</v>
      </c>
      <c r="E17" s="54">
        <v>327</v>
      </c>
    </row>
    <row r="18" spans="1:5" x14ac:dyDescent="0.25">
      <c r="A18" s="54">
        <f t="shared" si="0"/>
        <v>7</v>
      </c>
      <c r="B18" s="54">
        <v>8932</v>
      </c>
      <c r="C18" s="54">
        <v>263</v>
      </c>
      <c r="D18" s="54">
        <v>64</v>
      </c>
      <c r="E18" s="54">
        <v>327</v>
      </c>
    </row>
    <row r="19" spans="1:5" x14ac:dyDescent="0.25">
      <c r="A19" s="54">
        <f t="shared" si="0"/>
        <v>8</v>
      </c>
      <c r="B19" s="54">
        <v>3385</v>
      </c>
      <c r="C19" s="54">
        <v>261</v>
      </c>
      <c r="D19" s="54">
        <v>64</v>
      </c>
      <c r="E19" s="54">
        <v>325</v>
      </c>
    </row>
    <row r="20" spans="1:5" x14ac:dyDescent="0.25">
      <c r="A20" s="54">
        <f t="shared" si="0"/>
        <v>9</v>
      </c>
      <c r="B20" s="54">
        <v>9380</v>
      </c>
      <c r="C20" s="54">
        <v>260</v>
      </c>
      <c r="D20" s="54">
        <v>65</v>
      </c>
      <c r="E20" s="54">
        <v>325</v>
      </c>
    </row>
    <row r="21" spans="1:5" x14ac:dyDescent="0.25">
      <c r="A21" s="54">
        <f t="shared" si="0"/>
        <v>10</v>
      </c>
      <c r="B21" s="54">
        <v>1869</v>
      </c>
      <c r="C21" s="54">
        <v>260</v>
      </c>
      <c r="D21" s="54">
        <v>64</v>
      </c>
      <c r="E21" s="54">
        <v>324</v>
      </c>
    </row>
    <row r="22" spans="1:5" x14ac:dyDescent="0.25">
      <c r="A22" s="54">
        <f t="shared" si="0"/>
        <v>11</v>
      </c>
      <c r="B22" s="54">
        <v>7655</v>
      </c>
      <c r="C22" s="54">
        <v>261</v>
      </c>
      <c r="D22" s="54">
        <v>63</v>
      </c>
      <c r="E22" s="54">
        <v>324</v>
      </c>
    </row>
    <row r="23" spans="1:5" x14ac:dyDescent="0.25">
      <c r="A23" s="54">
        <f t="shared" si="0"/>
        <v>12</v>
      </c>
      <c r="B23" s="54">
        <v>9105</v>
      </c>
      <c r="C23" s="54">
        <v>260</v>
      </c>
      <c r="D23" s="54">
        <v>63</v>
      </c>
      <c r="E23" s="54">
        <v>323</v>
      </c>
    </row>
    <row r="24" spans="1:5" x14ac:dyDescent="0.25">
      <c r="A24" s="54">
        <f t="shared" si="0"/>
        <v>13</v>
      </c>
      <c r="B24" s="54">
        <v>8647</v>
      </c>
      <c r="C24" s="54">
        <v>256</v>
      </c>
      <c r="D24" s="54">
        <v>64</v>
      </c>
      <c r="E24" s="54">
        <v>320</v>
      </c>
    </row>
    <row r="25" spans="1:5" x14ac:dyDescent="0.25">
      <c r="A25" s="54">
        <f t="shared" si="0"/>
        <v>14</v>
      </c>
      <c r="B25" s="54">
        <v>6865</v>
      </c>
      <c r="C25" s="54">
        <v>257</v>
      </c>
      <c r="D25" s="54">
        <v>62</v>
      </c>
      <c r="E25" s="54">
        <v>319</v>
      </c>
    </row>
    <row r="26" spans="1:5" x14ac:dyDescent="0.25">
      <c r="A26" s="54">
        <f t="shared" si="0"/>
        <v>15</v>
      </c>
      <c r="B26" s="54">
        <v>975</v>
      </c>
      <c r="C26" s="54">
        <v>255</v>
      </c>
      <c r="D26" s="54">
        <v>63</v>
      </c>
      <c r="E26" s="54">
        <v>318</v>
      </c>
    </row>
    <row r="27" spans="1:5" x14ac:dyDescent="0.25">
      <c r="A27" s="54">
        <f t="shared" si="0"/>
        <v>16</v>
      </c>
      <c r="B27" s="54">
        <v>1980</v>
      </c>
      <c r="C27" s="54">
        <v>256</v>
      </c>
      <c r="D27" s="54">
        <v>62</v>
      </c>
      <c r="E27" s="54">
        <v>318</v>
      </c>
    </row>
    <row r="28" spans="1:5" x14ac:dyDescent="0.25">
      <c r="A28" s="54">
        <f t="shared" si="0"/>
        <v>17</v>
      </c>
      <c r="B28" s="54">
        <v>4096</v>
      </c>
      <c r="C28" s="54">
        <v>254</v>
      </c>
      <c r="D28" s="54">
        <v>64</v>
      </c>
      <c r="E28" s="54">
        <v>318</v>
      </c>
    </row>
    <row r="29" spans="1:5" x14ac:dyDescent="0.25">
      <c r="A29" s="54">
        <f t="shared" si="0"/>
        <v>18</v>
      </c>
      <c r="B29" s="54">
        <v>3104</v>
      </c>
      <c r="C29" s="54">
        <v>259</v>
      </c>
      <c r="D29" s="54">
        <v>58</v>
      </c>
      <c r="E29" s="54">
        <v>317</v>
      </c>
    </row>
    <row r="30" spans="1:5" x14ac:dyDescent="0.25">
      <c r="A30" s="54">
        <f t="shared" si="0"/>
        <v>19</v>
      </c>
      <c r="B30" s="54">
        <v>4919</v>
      </c>
      <c r="C30" s="54">
        <v>254</v>
      </c>
      <c r="D30" s="54">
        <v>63</v>
      </c>
      <c r="E30" s="54">
        <v>317</v>
      </c>
    </row>
    <row r="31" spans="1:5" x14ac:dyDescent="0.25">
      <c r="A31" s="54">
        <f t="shared" si="0"/>
        <v>20</v>
      </c>
      <c r="B31" s="54">
        <v>9833</v>
      </c>
      <c r="C31" s="54">
        <v>256</v>
      </c>
      <c r="D31" s="54">
        <v>61</v>
      </c>
      <c r="E31" s="54">
        <v>317</v>
      </c>
    </row>
    <row r="32" spans="1:5" x14ac:dyDescent="0.25">
      <c r="A32" s="54">
        <f t="shared" si="0"/>
        <v>21</v>
      </c>
      <c r="B32" s="54">
        <v>4644</v>
      </c>
      <c r="C32" s="54">
        <v>255</v>
      </c>
      <c r="D32" s="54">
        <v>61</v>
      </c>
      <c r="E32" s="54">
        <v>316</v>
      </c>
    </row>
    <row r="33" spans="1:5" x14ac:dyDescent="0.25">
      <c r="A33" s="54">
        <f t="shared" si="0"/>
        <v>22</v>
      </c>
      <c r="B33" s="54">
        <v>1747</v>
      </c>
      <c r="C33" s="54">
        <v>257</v>
      </c>
      <c r="D33" s="54">
        <v>58</v>
      </c>
      <c r="E33" s="54">
        <v>315</v>
      </c>
    </row>
    <row r="34" spans="1:5" x14ac:dyDescent="0.25">
      <c r="A34" s="54">
        <f t="shared" si="0"/>
        <v>23</v>
      </c>
      <c r="B34" s="54">
        <v>2428</v>
      </c>
      <c r="C34" s="54">
        <v>252</v>
      </c>
      <c r="D34" s="54">
        <v>63</v>
      </c>
      <c r="E34" s="54">
        <v>315</v>
      </c>
    </row>
    <row r="35" spans="1:5" x14ac:dyDescent="0.25">
      <c r="A35" s="54">
        <f t="shared" si="0"/>
        <v>24</v>
      </c>
      <c r="B35" s="54">
        <v>9696</v>
      </c>
      <c r="C35" s="54">
        <v>252</v>
      </c>
      <c r="D35" s="54">
        <v>63</v>
      </c>
      <c r="E35" s="54">
        <v>315</v>
      </c>
    </row>
    <row r="36" spans="1:5" x14ac:dyDescent="0.25">
      <c r="A36" s="54">
        <f t="shared" si="0"/>
        <v>25</v>
      </c>
      <c r="B36" s="54">
        <v>124</v>
      </c>
      <c r="C36" s="54">
        <v>250</v>
      </c>
      <c r="D36" s="54">
        <v>64</v>
      </c>
      <c r="E36" s="54">
        <v>314</v>
      </c>
    </row>
    <row r="37" spans="1:5" x14ac:dyDescent="0.25">
      <c r="A37" s="54">
        <f t="shared" si="0"/>
        <v>26</v>
      </c>
      <c r="B37" s="54">
        <v>214</v>
      </c>
      <c r="C37" s="54">
        <v>252</v>
      </c>
      <c r="D37" s="54">
        <v>62</v>
      </c>
      <c r="E37" s="54">
        <v>314</v>
      </c>
    </row>
    <row r="38" spans="1:5" x14ac:dyDescent="0.25">
      <c r="A38" s="54">
        <f t="shared" si="0"/>
        <v>27</v>
      </c>
      <c r="B38" s="54">
        <v>1943</v>
      </c>
      <c r="C38" s="54">
        <v>256</v>
      </c>
      <c r="D38" s="54">
        <v>58</v>
      </c>
      <c r="E38" s="54">
        <v>314</v>
      </c>
    </row>
    <row r="39" spans="1:5" x14ac:dyDescent="0.25">
      <c r="A39" s="54">
        <f t="shared" si="0"/>
        <v>28</v>
      </c>
      <c r="B39" s="54">
        <v>8174</v>
      </c>
      <c r="C39" s="54">
        <v>254</v>
      </c>
      <c r="D39" s="54">
        <v>60</v>
      </c>
      <c r="E39" s="54">
        <v>314</v>
      </c>
    </row>
    <row r="40" spans="1:5" x14ac:dyDescent="0.25">
      <c r="A40" s="54">
        <f t="shared" si="0"/>
        <v>29</v>
      </c>
      <c r="B40" s="54">
        <v>9586</v>
      </c>
      <c r="C40" s="54">
        <v>253</v>
      </c>
      <c r="D40" s="54">
        <v>61</v>
      </c>
      <c r="E40" s="54">
        <v>314</v>
      </c>
    </row>
    <row r="41" spans="1:5" x14ac:dyDescent="0.25">
      <c r="A41" s="54">
        <f t="shared" si="0"/>
        <v>30</v>
      </c>
      <c r="B41" s="54">
        <v>9865</v>
      </c>
      <c r="C41" s="54">
        <v>254</v>
      </c>
      <c r="D41" s="54">
        <v>60</v>
      </c>
      <c r="E41" s="54">
        <v>314</v>
      </c>
    </row>
    <row r="42" spans="1:5" x14ac:dyDescent="0.25">
      <c r="A42" s="54">
        <f t="shared" si="0"/>
        <v>31</v>
      </c>
      <c r="B42" s="54">
        <v>4138</v>
      </c>
      <c r="C42" s="54">
        <v>251</v>
      </c>
      <c r="D42" s="54">
        <v>62</v>
      </c>
      <c r="E42" s="54">
        <v>313</v>
      </c>
    </row>
    <row r="43" spans="1:5" x14ac:dyDescent="0.25">
      <c r="A43" s="54">
        <f t="shared" si="0"/>
        <v>32</v>
      </c>
      <c r="B43" s="54">
        <v>9215</v>
      </c>
      <c r="C43" s="54">
        <v>253</v>
      </c>
      <c r="D43" s="54">
        <v>60</v>
      </c>
      <c r="E43" s="54">
        <v>313</v>
      </c>
    </row>
    <row r="44" spans="1:5" x14ac:dyDescent="0.25">
      <c r="A44" s="54">
        <f t="shared" si="0"/>
        <v>33</v>
      </c>
      <c r="B44" s="54">
        <v>2098</v>
      </c>
      <c r="C44" s="54">
        <v>248</v>
      </c>
      <c r="D44" s="54">
        <v>64</v>
      </c>
      <c r="E44" s="54">
        <v>312</v>
      </c>
    </row>
    <row r="45" spans="1:5" x14ac:dyDescent="0.25">
      <c r="A45" s="54">
        <f t="shared" si="0"/>
        <v>34</v>
      </c>
      <c r="B45" s="54">
        <v>6671</v>
      </c>
      <c r="C45" s="54">
        <v>253</v>
      </c>
      <c r="D45" s="54">
        <v>59</v>
      </c>
      <c r="E45" s="54">
        <v>312</v>
      </c>
    </row>
    <row r="46" spans="1:5" x14ac:dyDescent="0.25">
      <c r="A46" s="54">
        <f t="shared" si="0"/>
        <v>35</v>
      </c>
      <c r="B46" s="54">
        <v>7814</v>
      </c>
      <c r="C46" s="54">
        <v>252</v>
      </c>
      <c r="D46" s="54">
        <v>60</v>
      </c>
      <c r="E46" s="54">
        <v>312</v>
      </c>
    </row>
    <row r="47" spans="1:5" x14ac:dyDescent="0.25">
      <c r="A47" s="54">
        <f t="shared" si="0"/>
        <v>36</v>
      </c>
      <c r="B47" s="54">
        <v>8129</v>
      </c>
      <c r="C47" s="54">
        <v>251</v>
      </c>
      <c r="D47" s="54">
        <v>61</v>
      </c>
      <c r="E47" s="54">
        <v>312</v>
      </c>
    </row>
    <row r="48" spans="1:5" x14ac:dyDescent="0.25">
      <c r="A48" s="54">
        <f t="shared" si="0"/>
        <v>37</v>
      </c>
      <c r="B48" s="54">
        <v>8684</v>
      </c>
      <c r="C48" s="54">
        <v>253</v>
      </c>
      <c r="D48" s="54">
        <v>59</v>
      </c>
      <c r="E48" s="54">
        <v>312</v>
      </c>
    </row>
    <row r="49" spans="1:5" x14ac:dyDescent="0.25">
      <c r="A49" s="54">
        <f t="shared" si="0"/>
        <v>38</v>
      </c>
      <c r="B49" s="54">
        <v>8791</v>
      </c>
      <c r="C49" s="54">
        <v>251</v>
      </c>
      <c r="D49" s="54">
        <v>61</v>
      </c>
      <c r="E49" s="54">
        <v>312</v>
      </c>
    </row>
    <row r="50" spans="1:5" x14ac:dyDescent="0.25">
      <c r="A50" s="54">
        <f t="shared" si="0"/>
        <v>39</v>
      </c>
      <c r="B50" s="54">
        <v>3485</v>
      </c>
      <c r="C50" s="54">
        <v>250</v>
      </c>
      <c r="D50" s="54">
        <v>61</v>
      </c>
      <c r="E50" s="54">
        <v>311</v>
      </c>
    </row>
    <row r="51" spans="1:5" x14ac:dyDescent="0.25">
      <c r="A51" s="54">
        <f t="shared" si="0"/>
        <v>40</v>
      </c>
      <c r="B51" s="54">
        <v>6156</v>
      </c>
      <c r="C51" s="54">
        <v>250</v>
      </c>
      <c r="D51" s="54">
        <v>61</v>
      </c>
      <c r="E51" s="54">
        <v>311</v>
      </c>
    </row>
    <row r="52" spans="1:5" x14ac:dyDescent="0.25">
      <c r="A52" s="54">
        <f t="shared" si="0"/>
        <v>41</v>
      </c>
      <c r="B52" s="54">
        <v>556</v>
      </c>
      <c r="C52" s="54">
        <v>250</v>
      </c>
      <c r="D52" s="54">
        <v>60</v>
      </c>
      <c r="E52" s="54">
        <v>310</v>
      </c>
    </row>
    <row r="53" spans="1:5" x14ac:dyDescent="0.25">
      <c r="A53" s="54">
        <f t="shared" si="0"/>
        <v>42</v>
      </c>
      <c r="B53" s="54">
        <v>4004</v>
      </c>
      <c r="C53" s="54">
        <v>248</v>
      </c>
      <c r="D53" s="54">
        <v>62</v>
      </c>
      <c r="E53" s="54">
        <v>310</v>
      </c>
    </row>
    <row r="54" spans="1:5" x14ac:dyDescent="0.25">
      <c r="A54" s="54">
        <f t="shared" si="0"/>
        <v>43</v>
      </c>
      <c r="B54" s="54">
        <v>5498</v>
      </c>
      <c r="C54" s="54">
        <v>251</v>
      </c>
      <c r="D54" s="54">
        <v>59</v>
      </c>
      <c r="E54" s="54">
        <v>310</v>
      </c>
    </row>
    <row r="55" spans="1:5" x14ac:dyDescent="0.25">
      <c r="A55" s="54">
        <f t="shared" si="0"/>
        <v>44</v>
      </c>
      <c r="B55" s="54">
        <v>7109</v>
      </c>
      <c r="C55" s="54">
        <v>251</v>
      </c>
      <c r="D55" s="54">
        <v>59</v>
      </c>
      <c r="E55" s="54">
        <v>310</v>
      </c>
    </row>
    <row r="56" spans="1:5" x14ac:dyDescent="0.25">
      <c r="A56" s="54">
        <f t="shared" si="0"/>
        <v>45</v>
      </c>
      <c r="B56" s="54">
        <v>9808</v>
      </c>
      <c r="C56" s="54">
        <v>248</v>
      </c>
      <c r="D56" s="54">
        <v>62</v>
      </c>
      <c r="E56" s="54">
        <v>310</v>
      </c>
    </row>
    <row r="57" spans="1:5" x14ac:dyDescent="0.25">
      <c r="A57" s="54">
        <f t="shared" si="0"/>
        <v>46</v>
      </c>
      <c r="B57" s="54">
        <v>582</v>
      </c>
      <c r="C57" s="54">
        <v>250</v>
      </c>
      <c r="D57" s="54">
        <v>59</v>
      </c>
      <c r="E57" s="54">
        <v>309</v>
      </c>
    </row>
    <row r="58" spans="1:5" x14ac:dyDescent="0.25">
      <c r="A58" s="54">
        <f t="shared" si="0"/>
        <v>47</v>
      </c>
      <c r="B58" s="54">
        <v>3805</v>
      </c>
      <c r="C58" s="54">
        <v>250</v>
      </c>
      <c r="D58" s="54">
        <v>59</v>
      </c>
      <c r="E58" s="54">
        <v>309</v>
      </c>
    </row>
    <row r="59" spans="1:5" x14ac:dyDescent="0.25">
      <c r="A59" s="54">
        <f t="shared" si="0"/>
        <v>48</v>
      </c>
      <c r="B59" s="54">
        <v>4633</v>
      </c>
      <c r="C59" s="54">
        <v>253</v>
      </c>
      <c r="D59" s="54">
        <v>56</v>
      </c>
      <c r="E59" s="54">
        <v>309</v>
      </c>
    </row>
    <row r="60" spans="1:5" x14ac:dyDescent="0.25">
      <c r="A60" s="54">
        <f t="shared" si="0"/>
        <v>49</v>
      </c>
      <c r="B60" s="54">
        <v>7332</v>
      </c>
      <c r="C60" s="54">
        <v>249</v>
      </c>
      <c r="D60" s="54">
        <v>60</v>
      </c>
      <c r="E60" s="54">
        <v>309</v>
      </c>
    </row>
    <row r="61" spans="1:5" x14ac:dyDescent="0.25">
      <c r="A61" s="54">
        <f t="shared" si="0"/>
        <v>50</v>
      </c>
      <c r="B61" s="54">
        <v>7688</v>
      </c>
      <c r="C61" s="54">
        <v>250</v>
      </c>
      <c r="D61" s="54">
        <v>59</v>
      </c>
      <c r="E61" s="54">
        <v>309</v>
      </c>
    </row>
    <row r="62" spans="1:5" x14ac:dyDescent="0.25">
      <c r="A62" s="54">
        <f t="shared" si="0"/>
        <v>51</v>
      </c>
      <c r="B62" s="54">
        <v>9139</v>
      </c>
      <c r="C62" s="54">
        <v>248</v>
      </c>
      <c r="D62" s="54">
        <v>61</v>
      </c>
      <c r="E62" s="54">
        <v>309</v>
      </c>
    </row>
    <row r="63" spans="1:5" x14ac:dyDescent="0.25">
      <c r="A63" s="54">
        <f t="shared" si="0"/>
        <v>52</v>
      </c>
      <c r="B63" s="54">
        <v>1072</v>
      </c>
      <c r="C63" s="54">
        <v>249</v>
      </c>
      <c r="D63" s="54">
        <v>59</v>
      </c>
      <c r="E63" s="54">
        <v>308</v>
      </c>
    </row>
    <row r="64" spans="1:5" x14ac:dyDescent="0.25">
      <c r="A64" s="54">
        <f t="shared" si="0"/>
        <v>53</v>
      </c>
      <c r="B64" s="54">
        <v>2451</v>
      </c>
      <c r="C64" s="54">
        <v>251</v>
      </c>
      <c r="D64" s="54">
        <v>57</v>
      </c>
      <c r="E64" s="54">
        <v>308</v>
      </c>
    </row>
    <row r="65" spans="1:5" x14ac:dyDescent="0.25">
      <c r="A65" s="54">
        <f t="shared" si="0"/>
        <v>54</v>
      </c>
      <c r="B65" s="54">
        <v>5298</v>
      </c>
      <c r="C65" s="54">
        <v>248</v>
      </c>
      <c r="D65" s="54">
        <v>60</v>
      </c>
      <c r="E65" s="54">
        <v>308</v>
      </c>
    </row>
    <row r="66" spans="1:5" x14ac:dyDescent="0.25">
      <c r="A66" s="54">
        <f t="shared" si="0"/>
        <v>55</v>
      </c>
      <c r="B66" s="54">
        <v>8352</v>
      </c>
      <c r="C66" s="54">
        <v>249</v>
      </c>
      <c r="D66" s="54">
        <v>59</v>
      </c>
      <c r="E66" s="54">
        <v>308</v>
      </c>
    </row>
    <row r="67" spans="1:5" x14ac:dyDescent="0.25">
      <c r="A67" s="54">
        <f t="shared" si="0"/>
        <v>56</v>
      </c>
      <c r="B67" s="54">
        <v>2191</v>
      </c>
      <c r="C67" s="54">
        <v>251</v>
      </c>
      <c r="D67" s="54">
        <v>56</v>
      </c>
      <c r="E67" s="54">
        <v>307</v>
      </c>
    </row>
    <row r="68" spans="1:5" x14ac:dyDescent="0.25">
      <c r="A68" s="54">
        <f t="shared" si="0"/>
        <v>57</v>
      </c>
      <c r="B68" s="54">
        <v>2350</v>
      </c>
      <c r="C68" s="54">
        <v>252</v>
      </c>
      <c r="D68" s="54">
        <v>55</v>
      </c>
      <c r="E68" s="54">
        <v>307</v>
      </c>
    </row>
    <row r="69" spans="1:5" x14ac:dyDescent="0.25">
      <c r="A69" s="54">
        <f t="shared" si="0"/>
        <v>58</v>
      </c>
      <c r="B69" s="54">
        <v>3395</v>
      </c>
      <c r="C69" s="54">
        <v>247</v>
      </c>
      <c r="D69" s="54">
        <v>60</v>
      </c>
      <c r="E69" s="54">
        <v>307</v>
      </c>
    </row>
    <row r="70" spans="1:5" x14ac:dyDescent="0.25">
      <c r="A70" s="54">
        <f t="shared" si="0"/>
        <v>59</v>
      </c>
      <c r="B70" s="54">
        <v>4751</v>
      </c>
      <c r="C70" s="54">
        <v>249</v>
      </c>
      <c r="D70" s="54">
        <v>58</v>
      </c>
      <c r="E70" s="54">
        <v>307</v>
      </c>
    </row>
    <row r="71" spans="1:5" x14ac:dyDescent="0.25">
      <c r="A71" s="54">
        <f t="shared" si="0"/>
        <v>60</v>
      </c>
      <c r="B71" s="54">
        <v>7294</v>
      </c>
      <c r="C71" s="54">
        <v>255</v>
      </c>
      <c r="D71" s="54">
        <v>52</v>
      </c>
      <c r="E71" s="54">
        <v>307</v>
      </c>
    </row>
    <row r="72" spans="1:5" x14ac:dyDescent="0.25">
      <c r="A72" s="54">
        <f t="shared" si="0"/>
        <v>61</v>
      </c>
      <c r="B72" s="54">
        <v>7767</v>
      </c>
      <c r="C72" s="54">
        <v>248</v>
      </c>
      <c r="D72" s="54">
        <v>59</v>
      </c>
      <c r="E72" s="54">
        <v>307</v>
      </c>
    </row>
    <row r="73" spans="1:5" x14ac:dyDescent="0.25">
      <c r="A73" s="54">
        <f t="shared" si="0"/>
        <v>62</v>
      </c>
      <c r="B73" s="54">
        <v>3505</v>
      </c>
      <c r="C73" s="54">
        <v>246</v>
      </c>
      <c r="D73" s="54">
        <v>60</v>
      </c>
      <c r="E73" s="54">
        <v>306</v>
      </c>
    </row>
    <row r="74" spans="1:5" x14ac:dyDescent="0.25">
      <c r="A74" s="54">
        <f t="shared" si="0"/>
        <v>63</v>
      </c>
      <c r="B74" s="54">
        <v>3701</v>
      </c>
      <c r="C74" s="54">
        <v>249</v>
      </c>
      <c r="D74" s="54">
        <v>57</v>
      </c>
      <c r="E74" s="54">
        <v>306</v>
      </c>
    </row>
    <row r="75" spans="1:5" x14ac:dyDescent="0.25">
      <c r="A75" s="54">
        <f t="shared" si="0"/>
        <v>64</v>
      </c>
      <c r="B75" s="54">
        <v>5037</v>
      </c>
      <c r="C75" s="54">
        <v>247</v>
      </c>
      <c r="D75" s="54">
        <v>59</v>
      </c>
      <c r="E75" s="54">
        <v>306</v>
      </c>
    </row>
    <row r="76" spans="1:5" x14ac:dyDescent="0.25">
      <c r="A76" s="54">
        <f t="shared" si="0"/>
        <v>65</v>
      </c>
      <c r="B76" s="54">
        <v>5234</v>
      </c>
      <c r="C76" s="54">
        <v>246</v>
      </c>
      <c r="D76" s="54">
        <v>60</v>
      </c>
      <c r="E76" s="54">
        <v>306</v>
      </c>
    </row>
    <row r="77" spans="1:5" x14ac:dyDescent="0.25">
      <c r="A77" s="54">
        <f t="shared" si="0"/>
        <v>66</v>
      </c>
      <c r="B77" s="54">
        <v>6303</v>
      </c>
      <c r="C77" s="54">
        <v>247</v>
      </c>
      <c r="D77" s="54">
        <v>59</v>
      </c>
      <c r="E77" s="54">
        <v>306</v>
      </c>
    </row>
    <row r="78" spans="1:5" x14ac:dyDescent="0.25">
      <c r="A78" s="54">
        <f t="shared" ref="A78:A111" si="1">+A77+1</f>
        <v>67</v>
      </c>
      <c r="B78" s="54">
        <v>8126</v>
      </c>
      <c r="C78" s="54">
        <v>245</v>
      </c>
      <c r="D78" s="54">
        <v>61</v>
      </c>
      <c r="E78" s="54">
        <v>306</v>
      </c>
    </row>
    <row r="79" spans="1:5" x14ac:dyDescent="0.25">
      <c r="A79" s="54">
        <f t="shared" si="1"/>
        <v>68</v>
      </c>
      <c r="B79" s="54">
        <v>957</v>
      </c>
      <c r="C79" s="54">
        <v>246</v>
      </c>
      <c r="D79" s="54">
        <v>59</v>
      </c>
      <c r="E79" s="54">
        <v>305</v>
      </c>
    </row>
    <row r="80" spans="1:5" x14ac:dyDescent="0.25">
      <c r="A80" s="54">
        <f t="shared" si="1"/>
        <v>69</v>
      </c>
      <c r="B80" s="54">
        <v>6141</v>
      </c>
      <c r="C80" s="54">
        <v>251</v>
      </c>
      <c r="D80" s="54">
        <v>54</v>
      </c>
      <c r="E80" s="54">
        <v>305</v>
      </c>
    </row>
    <row r="81" spans="1:5" x14ac:dyDescent="0.25">
      <c r="A81" s="54">
        <f t="shared" si="1"/>
        <v>70</v>
      </c>
      <c r="B81" s="54">
        <v>8339</v>
      </c>
      <c r="C81" s="54">
        <v>247</v>
      </c>
      <c r="D81" s="54">
        <v>58</v>
      </c>
      <c r="E81" s="54">
        <v>305</v>
      </c>
    </row>
    <row r="82" spans="1:5" x14ac:dyDescent="0.25">
      <c r="A82" s="54">
        <f t="shared" si="1"/>
        <v>71</v>
      </c>
      <c r="B82" s="54">
        <v>209</v>
      </c>
      <c r="C82" s="54">
        <v>243</v>
      </c>
      <c r="D82" s="54">
        <v>61</v>
      </c>
      <c r="E82" s="54">
        <v>304</v>
      </c>
    </row>
    <row r="83" spans="1:5" x14ac:dyDescent="0.25">
      <c r="A83" s="54">
        <f t="shared" si="1"/>
        <v>72</v>
      </c>
      <c r="B83" s="54">
        <v>7420</v>
      </c>
      <c r="C83" s="54">
        <v>245</v>
      </c>
      <c r="D83" s="54">
        <v>59</v>
      </c>
      <c r="E83" s="54">
        <v>304</v>
      </c>
    </row>
    <row r="84" spans="1:5" x14ac:dyDescent="0.25">
      <c r="A84" s="54">
        <f t="shared" si="1"/>
        <v>73</v>
      </c>
      <c r="B84" s="54">
        <v>7648</v>
      </c>
      <c r="C84" s="54">
        <v>246</v>
      </c>
      <c r="D84" s="54">
        <v>58</v>
      </c>
      <c r="E84" s="54">
        <v>304</v>
      </c>
    </row>
    <row r="85" spans="1:5" x14ac:dyDescent="0.25">
      <c r="A85" s="54">
        <f t="shared" si="1"/>
        <v>74</v>
      </c>
      <c r="B85" s="54">
        <v>8627</v>
      </c>
      <c r="C85" s="54">
        <v>248</v>
      </c>
      <c r="D85" s="54">
        <v>56</v>
      </c>
      <c r="E85" s="54">
        <v>304</v>
      </c>
    </row>
    <row r="86" spans="1:5" x14ac:dyDescent="0.25">
      <c r="A86" s="54">
        <f t="shared" si="1"/>
        <v>75</v>
      </c>
      <c r="B86" s="54">
        <v>9587</v>
      </c>
      <c r="C86" s="54">
        <v>243</v>
      </c>
      <c r="D86" s="54">
        <v>61</v>
      </c>
      <c r="E86" s="54">
        <v>304</v>
      </c>
    </row>
    <row r="87" spans="1:5" x14ac:dyDescent="0.25">
      <c r="A87" s="54">
        <f t="shared" si="1"/>
        <v>76</v>
      </c>
      <c r="B87" s="54">
        <v>18</v>
      </c>
      <c r="C87" s="54">
        <v>247</v>
      </c>
      <c r="D87" s="54">
        <v>56</v>
      </c>
      <c r="E87" s="54">
        <v>303</v>
      </c>
    </row>
    <row r="88" spans="1:5" x14ac:dyDescent="0.25">
      <c r="A88" s="54">
        <f t="shared" si="1"/>
        <v>77</v>
      </c>
      <c r="B88" s="54">
        <v>831</v>
      </c>
      <c r="C88" s="54">
        <v>245</v>
      </c>
      <c r="D88" s="54">
        <v>58</v>
      </c>
      <c r="E88" s="54">
        <v>303</v>
      </c>
    </row>
    <row r="89" spans="1:5" x14ac:dyDescent="0.25">
      <c r="A89" s="54">
        <f t="shared" si="1"/>
        <v>78</v>
      </c>
      <c r="B89" s="54">
        <v>1478</v>
      </c>
      <c r="C89" s="54">
        <v>243</v>
      </c>
      <c r="D89" s="54">
        <v>60</v>
      </c>
      <c r="E89" s="54">
        <v>303</v>
      </c>
    </row>
    <row r="90" spans="1:5" x14ac:dyDescent="0.25">
      <c r="A90" s="54">
        <f t="shared" si="1"/>
        <v>79</v>
      </c>
      <c r="B90" s="54">
        <v>2171</v>
      </c>
      <c r="C90" s="54">
        <v>243</v>
      </c>
      <c r="D90" s="54">
        <v>60</v>
      </c>
      <c r="E90" s="54">
        <v>303</v>
      </c>
    </row>
    <row r="91" spans="1:5" x14ac:dyDescent="0.25">
      <c r="A91" s="54">
        <f t="shared" si="1"/>
        <v>80</v>
      </c>
      <c r="B91" s="54">
        <v>3146</v>
      </c>
      <c r="C91" s="54">
        <v>246</v>
      </c>
      <c r="D91" s="54">
        <v>57</v>
      </c>
      <c r="E91" s="54">
        <v>303</v>
      </c>
    </row>
    <row r="92" spans="1:5" x14ac:dyDescent="0.25">
      <c r="A92" s="54">
        <f t="shared" si="1"/>
        <v>81</v>
      </c>
      <c r="B92" s="54">
        <v>4380</v>
      </c>
      <c r="C92" s="54">
        <v>245</v>
      </c>
      <c r="D92" s="54">
        <v>58</v>
      </c>
      <c r="E92" s="54">
        <v>303</v>
      </c>
    </row>
    <row r="93" spans="1:5" x14ac:dyDescent="0.25">
      <c r="A93" s="54">
        <f t="shared" si="1"/>
        <v>82</v>
      </c>
      <c r="B93" s="54">
        <v>5489</v>
      </c>
      <c r="C93" s="54">
        <v>245</v>
      </c>
      <c r="D93" s="54">
        <v>58</v>
      </c>
      <c r="E93" s="54">
        <v>303</v>
      </c>
    </row>
    <row r="94" spans="1:5" x14ac:dyDescent="0.25">
      <c r="A94" s="54">
        <f t="shared" si="1"/>
        <v>83</v>
      </c>
      <c r="B94" s="54">
        <v>5682</v>
      </c>
      <c r="C94" s="54">
        <v>249</v>
      </c>
      <c r="D94" s="54">
        <v>54</v>
      </c>
      <c r="E94" s="54">
        <v>303</v>
      </c>
    </row>
    <row r="95" spans="1:5" x14ac:dyDescent="0.25">
      <c r="A95" s="54">
        <f t="shared" si="1"/>
        <v>84</v>
      </c>
      <c r="B95" s="54">
        <v>7980</v>
      </c>
      <c r="C95" s="54">
        <v>246</v>
      </c>
      <c r="D95" s="54">
        <v>57</v>
      </c>
      <c r="E95" s="54">
        <v>303</v>
      </c>
    </row>
    <row r="96" spans="1:5" x14ac:dyDescent="0.25">
      <c r="A96" s="54">
        <f t="shared" si="1"/>
        <v>85</v>
      </c>
      <c r="B96" s="54">
        <v>8981</v>
      </c>
      <c r="C96" s="54">
        <v>245</v>
      </c>
      <c r="D96" s="54">
        <v>58</v>
      </c>
      <c r="E96" s="54">
        <v>303</v>
      </c>
    </row>
    <row r="97" spans="1:5" x14ac:dyDescent="0.25">
      <c r="A97" s="54">
        <f t="shared" si="1"/>
        <v>86</v>
      </c>
      <c r="B97" s="54">
        <v>9072</v>
      </c>
      <c r="C97" s="54">
        <v>244</v>
      </c>
      <c r="D97" s="54">
        <v>59</v>
      </c>
      <c r="E97" s="54">
        <v>303</v>
      </c>
    </row>
    <row r="98" spans="1:5" x14ac:dyDescent="0.25">
      <c r="A98" s="54">
        <f t="shared" si="1"/>
        <v>87</v>
      </c>
      <c r="B98" s="54">
        <v>1211</v>
      </c>
      <c r="C98" s="54">
        <v>244</v>
      </c>
      <c r="D98" s="54">
        <v>58</v>
      </c>
      <c r="E98" s="54">
        <v>302</v>
      </c>
    </row>
    <row r="99" spans="1:5" x14ac:dyDescent="0.25">
      <c r="A99" s="54">
        <f t="shared" si="1"/>
        <v>88</v>
      </c>
      <c r="B99" s="54">
        <v>1457</v>
      </c>
      <c r="C99" s="54">
        <v>245</v>
      </c>
      <c r="D99" s="54">
        <v>57</v>
      </c>
      <c r="E99" s="54">
        <v>302</v>
      </c>
    </row>
    <row r="100" spans="1:5" x14ac:dyDescent="0.25">
      <c r="A100" s="54">
        <f t="shared" si="1"/>
        <v>89</v>
      </c>
      <c r="B100" s="54">
        <v>1899</v>
      </c>
      <c r="C100" s="54">
        <v>245</v>
      </c>
      <c r="D100" s="54">
        <v>57</v>
      </c>
      <c r="E100" s="54">
        <v>302</v>
      </c>
    </row>
    <row r="101" spans="1:5" x14ac:dyDescent="0.25">
      <c r="A101" s="54">
        <f t="shared" si="1"/>
        <v>90</v>
      </c>
      <c r="B101" s="54">
        <v>2434</v>
      </c>
      <c r="C101" s="54">
        <v>243</v>
      </c>
      <c r="D101" s="54">
        <v>59</v>
      </c>
      <c r="E101" s="54">
        <v>302</v>
      </c>
    </row>
    <row r="102" spans="1:5" x14ac:dyDescent="0.25">
      <c r="A102" s="54">
        <f t="shared" si="1"/>
        <v>91</v>
      </c>
      <c r="B102" s="54">
        <v>2538</v>
      </c>
      <c r="C102" s="54">
        <v>244</v>
      </c>
      <c r="D102" s="54">
        <v>58</v>
      </c>
      <c r="E102" s="54">
        <v>302</v>
      </c>
    </row>
    <row r="103" spans="1:5" x14ac:dyDescent="0.25">
      <c r="A103" s="54">
        <f t="shared" si="1"/>
        <v>92</v>
      </c>
      <c r="B103" s="54">
        <v>3543</v>
      </c>
      <c r="C103" s="54">
        <v>244</v>
      </c>
      <c r="D103" s="54">
        <v>58</v>
      </c>
      <c r="E103" s="54">
        <v>302</v>
      </c>
    </row>
    <row r="104" spans="1:5" x14ac:dyDescent="0.25">
      <c r="A104" s="54">
        <f t="shared" si="1"/>
        <v>93</v>
      </c>
      <c r="B104" s="54">
        <v>3635</v>
      </c>
      <c r="C104" s="54">
        <v>244</v>
      </c>
      <c r="D104" s="54">
        <v>58</v>
      </c>
      <c r="E104" s="54">
        <v>302</v>
      </c>
    </row>
    <row r="105" spans="1:5" x14ac:dyDescent="0.25">
      <c r="A105" s="54">
        <f t="shared" si="1"/>
        <v>94</v>
      </c>
      <c r="B105" s="54">
        <v>3665</v>
      </c>
      <c r="C105" s="54">
        <v>246</v>
      </c>
      <c r="D105" s="54">
        <v>56</v>
      </c>
      <c r="E105" s="54">
        <v>302</v>
      </c>
    </row>
    <row r="106" spans="1:5" x14ac:dyDescent="0.25">
      <c r="A106" s="54">
        <f t="shared" si="1"/>
        <v>95</v>
      </c>
      <c r="B106" s="54">
        <v>4044</v>
      </c>
      <c r="C106" s="54">
        <v>245</v>
      </c>
      <c r="D106" s="54">
        <v>57</v>
      </c>
      <c r="E106" s="54">
        <v>302</v>
      </c>
    </row>
    <row r="107" spans="1:5" x14ac:dyDescent="0.25">
      <c r="A107" s="54">
        <f t="shared" si="1"/>
        <v>96</v>
      </c>
      <c r="B107" s="54">
        <v>4970</v>
      </c>
      <c r="C107" s="54">
        <v>245</v>
      </c>
      <c r="D107" s="54">
        <v>57</v>
      </c>
      <c r="E107" s="54">
        <v>302</v>
      </c>
    </row>
    <row r="108" spans="1:5" x14ac:dyDescent="0.25">
      <c r="A108" s="54">
        <f t="shared" si="1"/>
        <v>97</v>
      </c>
      <c r="B108" s="54">
        <v>7259</v>
      </c>
      <c r="C108" s="54">
        <v>244</v>
      </c>
      <c r="D108" s="54">
        <v>58</v>
      </c>
      <c r="E108" s="54">
        <v>302</v>
      </c>
    </row>
    <row r="109" spans="1:5" x14ac:dyDescent="0.25">
      <c r="A109" s="54">
        <f t="shared" si="1"/>
        <v>98</v>
      </c>
      <c r="B109" s="54">
        <v>8351</v>
      </c>
      <c r="C109" s="54">
        <v>245</v>
      </c>
      <c r="D109" s="54">
        <v>57</v>
      </c>
      <c r="E109" s="54">
        <v>302</v>
      </c>
    </row>
    <row r="110" spans="1:5" x14ac:dyDescent="0.25">
      <c r="A110" s="54">
        <f t="shared" si="1"/>
        <v>99</v>
      </c>
      <c r="B110" s="54">
        <v>8898</v>
      </c>
      <c r="C110" s="54">
        <v>243</v>
      </c>
      <c r="D110" s="54">
        <v>59</v>
      </c>
      <c r="E110" s="54">
        <v>302</v>
      </c>
    </row>
    <row r="111" spans="1:5" x14ac:dyDescent="0.25">
      <c r="A111" s="54">
        <f t="shared" si="1"/>
        <v>100</v>
      </c>
      <c r="B111" s="54">
        <v>9425</v>
      </c>
      <c r="C111" s="54">
        <v>243</v>
      </c>
      <c r="D111" s="54">
        <v>59</v>
      </c>
      <c r="E111" s="54">
        <v>302</v>
      </c>
    </row>
    <row r="112" spans="1:5" ht="14.4" thickBot="1" x14ac:dyDescent="0.3"/>
    <row r="113" spans="1:7" ht="15.6" thickTop="1" thickBot="1" x14ac:dyDescent="0.35">
      <c r="B113" s="204" t="s">
        <v>213</v>
      </c>
      <c r="C113" s="205"/>
      <c r="D113" s="205"/>
      <c r="E113" s="206"/>
    </row>
    <row r="114" spans="1:7" ht="14.4" thickTop="1" x14ac:dyDescent="0.25"/>
    <row r="115" spans="1:7" x14ac:dyDescent="0.25">
      <c r="A115" s="54" t="s">
        <v>214</v>
      </c>
      <c r="C115" s="55"/>
      <c r="D115" s="55"/>
      <c r="E115" s="55"/>
      <c r="G115" s="71"/>
    </row>
    <row r="116" spans="1:7" x14ac:dyDescent="0.25">
      <c r="A116" s="54" t="s">
        <v>215</v>
      </c>
      <c r="C116" s="55"/>
      <c r="D116" s="55"/>
      <c r="E116" s="72"/>
      <c r="F116" s="55"/>
      <c r="G116" s="71"/>
    </row>
    <row r="117" spans="1:7" x14ac:dyDescent="0.25">
      <c r="A117" s="54" t="s">
        <v>216</v>
      </c>
      <c r="C117" s="56"/>
      <c r="D117" s="56"/>
      <c r="E117" s="56"/>
      <c r="F117" s="55"/>
      <c r="G117" s="71"/>
    </row>
    <row r="118" spans="1:7" x14ac:dyDescent="0.25">
      <c r="A118" s="73" t="s">
        <v>217</v>
      </c>
      <c r="C118" s="74"/>
      <c r="D118" s="74"/>
      <c r="E118" s="62"/>
      <c r="G118" s="71"/>
    </row>
    <row r="119" spans="1:7" x14ac:dyDescent="0.25">
      <c r="C119" s="75"/>
      <c r="D119" s="75"/>
    </row>
    <row r="120" spans="1:7" ht="14.4" thickBot="1" x14ac:dyDescent="0.3"/>
    <row r="121" spans="1:7" ht="15.6" thickTop="1" thickBot="1" x14ac:dyDescent="0.35">
      <c r="B121" s="204" t="s">
        <v>218</v>
      </c>
      <c r="C121" s="205"/>
      <c r="D121" s="205"/>
      <c r="E121" s="206"/>
    </row>
    <row r="122" spans="1:7" ht="14.4" thickTop="1" x14ac:dyDescent="0.25">
      <c r="B122" s="54" t="s">
        <v>219</v>
      </c>
      <c r="D122" s="76"/>
    </row>
    <row r="124" spans="1:7" x14ac:dyDescent="0.25">
      <c r="B124" s="54" t="s">
        <v>220</v>
      </c>
      <c r="D124" s="77"/>
    </row>
    <row r="126" spans="1:7" ht="14.4" thickBot="1" x14ac:dyDescent="0.3"/>
    <row r="127" spans="1:7" ht="15.6" thickTop="1" thickBot="1" x14ac:dyDescent="0.35">
      <c r="B127" s="204" t="s">
        <v>221</v>
      </c>
      <c r="C127" s="205"/>
      <c r="D127" s="205"/>
      <c r="E127" s="206"/>
    </row>
    <row r="128" spans="1:7" ht="14.4" thickTop="1" x14ac:dyDescent="0.25">
      <c r="B128" s="54" t="s">
        <v>222</v>
      </c>
      <c r="D128" s="78"/>
    </row>
    <row r="130" spans="2:4" x14ac:dyDescent="0.25">
      <c r="B130" s="54" t="s">
        <v>223</v>
      </c>
      <c r="D130" s="79"/>
    </row>
  </sheetData>
  <mergeCells count="5">
    <mergeCell ref="A8:E8"/>
    <mergeCell ref="C10:E10"/>
    <mergeCell ref="B113:E113"/>
    <mergeCell ref="B121:E121"/>
    <mergeCell ref="B127:E12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B72E-D4F9-428A-A4CA-F2D2A9E0DF0B}">
  <sheetPr>
    <tabColor rgb="FFFFC000"/>
  </sheetPr>
  <dimension ref="A1"/>
  <sheetViews>
    <sheetView zoomScaleNormal="100" workbookViewId="0"/>
  </sheetViews>
  <sheetFormatPr defaultColWidth="8.88671875" defaultRowHeight="13.8" x14ac:dyDescent="0.25"/>
  <cols>
    <col min="1" max="16384" width="8.88671875" style="21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C0507-8903-49F6-8113-684E4AC2D9C5}">
  <sheetPr>
    <tabColor rgb="FFFFC000"/>
  </sheetPr>
  <dimension ref="A1:AZ27"/>
  <sheetViews>
    <sheetView zoomScaleNormal="100" workbookViewId="0"/>
  </sheetViews>
  <sheetFormatPr defaultColWidth="11.44140625" defaultRowHeight="13.8" x14ac:dyDescent="0.25"/>
  <cols>
    <col min="1" max="1" width="61.33203125" style="17" customWidth="1"/>
    <col min="2" max="3" width="12.6640625" style="82" customWidth="1"/>
    <col min="4" max="4" width="12.6640625" style="17" customWidth="1"/>
    <col min="5" max="16384" width="11.44140625" style="17"/>
  </cols>
  <sheetData>
    <row r="1" spans="1:52" ht="14.4" thickBot="1" x14ac:dyDescent="0.3">
      <c r="A1" s="81"/>
    </row>
    <row r="2" spans="1:52" s="83" customFormat="1" ht="14.4" thickBot="1" x14ac:dyDescent="0.3">
      <c r="A2" s="210" t="s">
        <v>128</v>
      </c>
      <c r="B2" s="211"/>
      <c r="C2" s="211"/>
      <c r="D2" s="212"/>
    </row>
    <row r="3" spans="1:52" s="83" customFormat="1" ht="14.4" thickBot="1" x14ac:dyDescent="0.3">
      <c r="A3" s="213" t="s">
        <v>58</v>
      </c>
      <c r="B3" s="214"/>
      <c r="C3" s="214"/>
      <c r="D3" s="215"/>
    </row>
    <row r="4" spans="1:52" x14ac:dyDescent="0.25">
      <c r="A4" s="84"/>
      <c r="B4" s="85"/>
      <c r="C4" s="85"/>
      <c r="D4" s="86"/>
    </row>
    <row r="5" spans="1:52" ht="14.4" thickBot="1" x14ac:dyDescent="0.3">
      <c r="A5" s="87" t="s">
        <v>59</v>
      </c>
      <c r="B5" s="88">
        <v>2021</v>
      </c>
      <c r="C5" s="88">
        <v>2020</v>
      </c>
      <c r="D5" s="89">
        <v>2019</v>
      </c>
      <c r="AZ5" s="90"/>
    </row>
    <row r="6" spans="1:52" ht="14.4" thickBot="1" x14ac:dyDescent="0.3">
      <c r="A6" s="91" t="s">
        <v>60</v>
      </c>
      <c r="B6" s="92">
        <v>692.8648648648649</v>
      </c>
      <c r="C6" s="93">
        <v>701.81081081081084</v>
      </c>
      <c r="D6" s="93">
        <v>675.70270270270271</v>
      </c>
      <c r="AZ6" s="90"/>
    </row>
    <row r="7" spans="1:52" x14ac:dyDescent="0.25">
      <c r="A7" s="91" t="s">
        <v>61</v>
      </c>
      <c r="B7" s="92">
        <v>295.37837837837839</v>
      </c>
      <c r="C7" s="93">
        <v>272.59459459459458</v>
      </c>
      <c r="D7" s="93">
        <v>289.97297297297297</v>
      </c>
    </row>
    <row r="8" spans="1:52" s="14" customFormat="1" ht="18" customHeight="1" thickBot="1" x14ac:dyDescent="0.3">
      <c r="A8" s="94" t="s">
        <v>62</v>
      </c>
      <c r="B8" s="95">
        <v>397.48648648648651</v>
      </c>
      <c r="C8" s="96">
        <v>429.21621621621625</v>
      </c>
      <c r="D8" s="96">
        <v>385.72972972972974</v>
      </c>
    </row>
    <row r="9" spans="1:52" x14ac:dyDescent="0.25">
      <c r="A9" s="97" t="s">
        <v>63</v>
      </c>
      <c r="B9" s="98">
        <v>37.378378378378379</v>
      </c>
      <c r="C9" s="99">
        <v>25.837837837837839</v>
      </c>
      <c r="D9" s="99">
        <v>30.648648648648649</v>
      </c>
    </row>
    <row r="10" spans="1:52" s="14" customFormat="1" ht="14.4" thickBot="1" x14ac:dyDescent="0.3">
      <c r="A10" s="94" t="s">
        <v>64</v>
      </c>
      <c r="B10" s="95">
        <v>360.10810810810813</v>
      </c>
      <c r="C10" s="96">
        <v>403.37837837837844</v>
      </c>
      <c r="D10" s="96">
        <v>355.08108108108109</v>
      </c>
    </row>
    <row r="11" spans="1:52" x14ac:dyDescent="0.25">
      <c r="A11" s="97" t="s">
        <v>65</v>
      </c>
      <c r="B11" s="92">
        <v>317.40540540540542</v>
      </c>
      <c r="C11" s="93">
        <v>345</v>
      </c>
      <c r="D11" s="93">
        <v>335.37837837837839</v>
      </c>
    </row>
    <row r="12" spans="1:52" ht="27.6" x14ac:dyDescent="0.25">
      <c r="A12" s="91" t="s">
        <v>66</v>
      </c>
      <c r="B12" s="92">
        <v>37.864864864864863</v>
      </c>
      <c r="C12" s="93">
        <v>103.83783783783784</v>
      </c>
      <c r="D12" s="93">
        <v>116.18918918918919</v>
      </c>
    </row>
    <row r="13" spans="1:52" x14ac:dyDescent="0.25">
      <c r="A13" s="91" t="s">
        <v>67</v>
      </c>
      <c r="B13" s="100">
        <v>17.648648648648649</v>
      </c>
      <c r="C13" s="101">
        <v>5.4864864864864868</v>
      </c>
      <c r="D13" s="101">
        <v>6.5405405405405403</v>
      </c>
    </row>
    <row r="14" spans="1:52" x14ac:dyDescent="0.25">
      <c r="A14" s="91" t="s">
        <v>68</v>
      </c>
      <c r="B14" s="100">
        <v>12.297297297297296</v>
      </c>
      <c r="C14" s="101">
        <v>4.4324324324324325</v>
      </c>
      <c r="D14" s="101">
        <v>16.72972972972973</v>
      </c>
    </row>
    <row r="15" spans="1:52" x14ac:dyDescent="0.25">
      <c r="A15" s="91" t="s">
        <v>69</v>
      </c>
      <c r="B15" s="92">
        <v>28.45945945945946</v>
      </c>
      <c r="C15" s="101">
        <v>18.081081081081081</v>
      </c>
      <c r="D15" s="101">
        <v>2.9189189189189189</v>
      </c>
    </row>
    <row r="16" spans="1:52" s="14" customFormat="1" ht="14.4" thickBot="1" x14ac:dyDescent="0.3">
      <c r="A16" s="94" t="s">
        <v>70</v>
      </c>
      <c r="B16" s="95">
        <v>413.67567567567568</v>
      </c>
      <c r="C16" s="96">
        <v>476.83783783783787</v>
      </c>
      <c r="D16" s="96">
        <v>477.75675675675677</v>
      </c>
    </row>
    <row r="17" spans="1:4" x14ac:dyDescent="0.25">
      <c r="A17" s="97" t="s">
        <v>71</v>
      </c>
      <c r="B17" s="98">
        <v>320.91891891891891</v>
      </c>
      <c r="C17" s="102">
        <v>359.27027027027026</v>
      </c>
      <c r="D17" s="102">
        <v>338.16216216216219</v>
      </c>
    </row>
    <row r="18" spans="1:4" x14ac:dyDescent="0.25">
      <c r="A18" s="91" t="s">
        <v>72</v>
      </c>
      <c r="B18" s="92">
        <v>427.7837837837838</v>
      </c>
      <c r="C18" s="93">
        <v>510.48648648648646</v>
      </c>
      <c r="D18" s="93">
        <v>403.8648648648649</v>
      </c>
    </row>
    <row r="19" spans="1:4" x14ac:dyDescent="0.25">
      <c r="A19" s="91" t="s">
        <v>73</v>
      </c>
      <c r="B19" s="92">
        <v>33.945945945945944</v>
      </c>
      <c r="C19" s="93">
        <v>156.1081081081081</v>
      </c>
      <c r="D19" s="93">
        <v>3</v>
      </c>
    </row>
    <row r="20" spans="1:4" x14ac:dyDescent="0.25">
      <c r="A20" s="91" t="s">
        <v>74</v>
      </c>
      <c r="B20" s="100">
        <v>13.081081081081081</v>
      </c>
      <c r="C20" s="101">
        <v>19.189189189189189</v>
      </c>
      <c r="D20" s="101">
        <v>3.5945945945945947</v>
      </c>
    </row>
    <row r="21" spans="1:4" s="14" customFormat="1" ht="14.4" thickBot="1" x14ac:dyDescent="0.3">
      <c r="A21" s="94" t="s">
        <v>75</v>
      </c>
      <c r="B21" s="103">
        <v>795.72972972972968</v>
      </c>
      <c r="C21" s="104">
        <v>1045.0540540540539</v>
      </c>
      <c r="D21" s="104">
        <v>748.62162162162167</v>
      </c>
    </row>
    <row r="22" spans="1:4" s="14" customFormat="1" ht="14.4" thickBot="1" x14ac:dyDescent="0.3">
      <c r="A22" s="105" t="s">
        <v>76</v>
      </c>
      <c r="B22" s="106">
        <v>-21.945945945945937</v>
      </c>
      <c r="C22" s="107">
        <v>-164.8378378378377</v>
      </c>
      <c r="D22" s="107">
        <v>84.216216216216253</v>
      </c>
    </row>
    <row r="23" spans="1:4" s="14" customFormat="1" ht="14.4" thickBot="1" x14ac:dyDescent="0.3">
      <c r="A23" s="108" t="s">
        <v>77</v>
      </c>
      <c r="B23" s="109">
        <v>14.756756756756756</v>
      </c>
      <c r="C23" s="110">
        <v>18.243243243243242</v>
      </c>
      <c r="D23" s="110">
        <v>38.513513513513516</v>
      </c>
    </row>
    <row r="24" spans="1:4" s="14" customFormat="1" ht="14.4" thickBot="1" x14ac:dyDescent="0.3">
      <c r="A24" s="108" t="s">
        <v>78</v>
      </c>
      <c r="B24" s="111">
        <v>-36.702702702702695</v>
      </c>
      <c r="C24" s="107">
        <v>-183.08108108108092</v>
      </c>
      <c r="D24" s="107">
        <v>45.702702702702737</v>
      </c>
    </row>
    <row r="25" spans="1:4" x14ac:dyDescent="0.25">
      <c r="A25" s="112"/>
      <c r="B25" s="113"/>
      <c r="C25" s="113"/>
      <c r="D25" s="112"/>
    </row>
    <row r="27" spans="1:4" x14ac:dyDescent="0.25">
      <c r="B27" s="114" t="s">
        <v>79</v>
      </c>
    </row>
  </sheetData>
  <mergeCells count="2"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14107FCD7ED4EBB874EC2878CA50B" ma:contentTypeVersion="12" ma:contentTypeDescription="Create a new document." ma:contentTypeScope="" ma:versionID="84b7b60e1dac179c951f028892d48d9c">
  <xsd:schema xmlns:xsd="http://www.w3.org/2001/XMLSchema" xmlns:xs="http://www.w3.org/2001/XMLSchema" xmlns:p="http://schemas.microsoft.com/office/2006/metadata/properties" xmlns:ns3="9fc96dec-0070-4bf4-82b8-f1fc5f475092" xmlns:ns4="e64e702c-48b0-48cc-a676-0c91bf018d0c" targetNamespace="http://schemas.microsoft.com/office/2006/metadata/properties" ma:root="true" ma:fieldsID="c24de9919614b4dd92d5eb0a53fabb48" ns3:_="" ns4:_="">
    <xsd:import namespace="9fc96dec-0070-4bf4-82b8-f1fc5f475092"/>
    <xsd:import namespace="e64e702c-48b0-48cc-a676-0c91bf018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6dec-0070-4bf4-82b8-f1fc5f47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e702c-48b0-48cc-a676-0c91bf018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A70988-7D8B-42D8-BB83-15850E4F19A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e64e702c-48b0-48cc-a676-0c91bf018d0c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fc96dec-0070-4bf4-82b8-f1fc5f47509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691F5C-EC61-4390-9C82-A19C90A6F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6dec-0070-4bf4-82b8-f1fc5f475092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Exam Questions --&gt;</vt:lpstr>
      <vt:lpstr>Q2(a)(cash flow)</vt:lpstr>
      <vt:lpstr>Q2(a)(rank)</vt:lpstr>
      <vt:lpstr>Q6 (a)i-ii</vt:lpstr>
      <vt:lpstr>Q6 (b)i-ii</vt:lpstr>
      <vt:lpstr>Q6(a)(i)(ii)</vt:lpstr>
      <vt:lpstr>Q6(b)(i)(ii)(iii)</vt:lpstr>
      <vt:lpstr>Case Study Exhibits --&gt;</vt:lpstr>
      <vt:lpstr>Big Ben Inc St 1.5 </vt:lpstr>
      <vt:lpstr>Big Ben BS 1.5</vt:lpstr>
      <vt:lpstr>Lyon Sect 2.11 &amp; 3.4</vt:lpstr>
      <vt:lpstr>SLIC 3.4</vt:lpstr>
      <vt:lpstr>AHA 3.4</vt:lpstr>
      <vt:lpstr>Pryde 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Dulceak</dc:creator>
  <cp:lastModifiedBy>A Zionce</cp:lastModifiedBy>
  <cp:lastPrinted>2019-04-11T00:37:29Z</cp:lastPrinted>
  <dcterms:created xsi:type="dcterms:W3CDTF">2017-02-06T22:20:22Z</dcterms:created>
  <dcterms:modified xsi:type="dcterms:W3CDTF">2023-01-30T15:19:07Z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0x010100F8814107FCD7ED4EBB874EC2878CA50B</vt:lpwstr>
  </property>
</Properties>
</file>