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Aleshia\Fall 2020 solutions\"/>
    </mc:Choice>
  </mc:AlternateContent>
  <xr:revisionPtr revIDLastSave="0" documentId="8_{16BD8E3E-B7E1-43AF-81AE-9308FD1A91B4}" xr6:coauthVersionLast="45" xr6:coauthVersionMax="45" xr10:uidLastSave="{00000000-0000-0000-0000-000000000000}"/>
  <bookViews>
    <workbookView xWindow="33165" yWindow="555" windowWidth="21600" windowHeight="11325" tabRatio="784" xr2:uid="{00000000-000D-0000-FFFF-FFFF00000000}"/>
  </bookViews>
  <sheets>
    <sheet name="Q1" sheetId="42" r:id="rId1"/>
    <sheet name="Q2" sheetId="36" r:id="rId2"/>
    <sheet name="Q3" sheetId="33" r:id="rId3"/>
    <sheet name="Q4" sheetId="39" r:id="rId4"/>
    <sheet name="Q5" sheetId="43" r:id="rId5"/>
    <sheet name="Q6" sheetId="40" r:id="rId6"/>
    <sheet name="Q7" sheetId="44" r:id="rId7"/>
    <sheet name="Q8" sheetId="41" r:id="rId8"/>
  </sheets>
  <definedNames>
    <definedName name="lambda">'Q8'!$G$4</definedName>
    <definedName name="P_1" localSheetId="7">'Q8'!$C$9</definedName>
    <definedName name="P_2" localSheetId="7">'Q8'!$C$10</definedName>
    <definedName name="P_3" localSheetId="7">'Q8'!$C$11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41" l="1"/>
  <c r="G20" i="43"/>
  <c r="G21" i="43"/>
  <c r="I40" i="42"/>
  <c r="I39" i="42"/>
  <c r="I37" i="42"/>
  <c r="I36" i="42"/>
  <c r="I35" i="42"/>
  <c r="I38" i="42"/>
  <c r="M18" i="33" l="1"/>
  <c r="M17" i="33"/>
  <c r="L17" i="33"/>
  <c r="M16" i="33"/>
  <c r="M15" i="33"/>
  <c r="L15" i="33"/>
  <c r="M14" i="33"/>
  <c r="L14" i="33"/>
  <c r="M13" i="33"/>
  <c r="M12" i="33"/>
  <c r="L12" i="33"/>
  <c r="M11" i="33"/>
  <c r="L11" i="33"/>
  <c r="M10" i="33"/>
  <c r="L10" i="33"/>
  <c r="M9" i="33"/>
  <c r="C22" i="41" l="1"/>
  <c r="J27" i="39"/>
  <c r="H9" i="33"/>
  <c r="I9" i="33" l="1"/>
  <c r="B37" i="44"/>
  <c r="B32" i="44"/>
  <c r="C18" i="41"/>
  <c r="C23" i="41"/>
  <c r="C24" i="41" s="1"/>
  <c r="C25" i="41" s="1"/>
  <c r="C26" i="41" s="1"/>
  <c r="C27" i="41" s="1"/>
  <c r="C28" i="41" s="1"/>
  <c r="C29" i="41" s="1"/>
  <c r="C30" i="41" s="1"/>
  <c r="C31" i="41" s="1"/>
  <c r="C32" i="41" s="1"/>
  <c r="C33" i="41" s="1"/>
  <c r="H33" i="43"/>
  <c r="E28" i="43"/>
  <c r="C40" i="42" l="1"/>
  <c r="B40" i="42"/>
  <c r="A40" i="42"/>
  <c r="C39" i="42"/>
  <c r="B39" i="42"/>
  <c r="A39" i="42"/>
  <c r="C38" i="42"/>
  <c r="B38" i="42"/>
  <c r="A38" i="42"/>
  <c r="C37" i="42"/>
  <c r="B37" i="42"/>
  <c r="A37" i="42"/>
  <c r="C36" i="42"/>
  <c r="B36" i="42"/>
  <c r="A36" i="42"/>
  <c r="K36" i="42" s="1"/>
  <c r="C35" i="42"/>
  <c r="A35" i="42"/>
  <c r="K35" i="42" s="1"/>
  <c r="B35" i="42"/>
  <c r="G32" i="42"/>
  <c r="G31" i="42"/>
  <c r="G30" i="42"/>
  <c r="K39" i="42" l="1"/>
  <c r="K37" i="42"/>
  <c r="K40" i="42"/>
  <c r="K38" i="42"/>
  <c r="C31" i="42"/>
  <c r="C30" i="42"/>
  <c r="C32" i="42"/>
  <c r="E21" i="43" l="1"/>
  <c r="D21" i="43"/>
  <c r="D46" i="43" s="1"/>
  <c r="E20" i="43"/>
  <c r="E45" i="43" s="1"/>
  <c r="D20" i="43"/>
  <c r="D45" i="43" s="1"/>
  <c r="E19" i="43"/>
  <c r="E44" i="43" s="1"/>
  <c r="D19" i="43"/>
  <c r="D44" i="43" s="1"/>
  <c r="C21" i="43"/>
  <c r="C46" i="43" s="1"/>
  <c r="C20" i="43"/>
  <c r="H20" i="43" s="1"/>
  <c r="H45" i="43" s="1"/>
  <c r="C19" i="43"/>
  <c r="C44" i="43" s="1"/>
  <c r="B21" i="43"/>
  <c r="B46" i="43" s="1"/>
  <c r="B20" i="43"/>
  <c r="B45" i="43" s="1"/>
  <c r="B19" i="43"/>
  <c r="B44" i="43" s="1"/>
  <c r="G45" i="43" l="1"/>
  <c r="H21" i="43"/>
  <c r="H46" i="43" s="1"/>
  <c r="E46" i="43"/>
  <c r="G19" i="43"/>
  <c r="G44" i="43" s="1"/>
  <c r="C45" i="43"/>
  <c r="F20" i="43"/>
  <c r="H19" i="43"/>
  <c r="F19" i="43"/>
  <c r="F21" i="43"/>
  <c r="G46" i="43"/>
  <c r="D40" i="42"/>
  <c r="H40" i="42" s="1"/>
  <c r="D39" i="42"/>
  <c r="D38" i="42"/>
  <c r="H38" i="42" s="1"/>
  <c r="D36" i="42"/>
  <c r="H36" i="42" s="1"/>
  <c r="E39" i="42" l="1"/>
  <c r="F39" i="42" s="1"/>
  <c r="G39" i="42" s="1"/>
  <c r="H39" i="42"/>
  <c r="E38" i="42"/>
  <c r="F38" i="42" s="1"/>
  <c r="G38" i="42" s="1"/>
  <c r="J38" i="42" s="1"/>
  <c r="L38" i="42" s="1"/>
  <c r="F46" i="43"/>
  <c r="I21" i="43"/>
  <c r="I46" i="43" s="1"/>
  <c r="J46" i="43" s="1"/>
  <c r="H22" i="43"/>
  <c r="E26" i="43" s="1"/>
  <c r="H44" i="43"/>
  <c r="I19" i="43"/>
  <c r="F44" i="43"/>
  <c r="F45" i="43"/>
  <c r="I20" i="43"/>
  <c r="I45" i="43" s="1"/>
  <c r="J45" i="43" s="1"/>
  <c r="G47" i="43"/>
  <c r="G22" i="43"/>
  <c r="F26" i="43" s="1"/>
  <c r="E40" i="42"/>
  <c r="F40" i="42" s="1"/>
  <c r="G40" i="42" s="1"/>
  <c r="J40" i="42" s="1"/>
  <c r="L40" i="42" s="1"/>
  <c r="D37" i="42"/>
  <c r="E36" i="42"/>
  <c r="F36" i="42" s="1"/>
  <c r="G36" i="42" s="1"/>
  <c r="J36" i="42" s="1"/>
  <c r="L36" i="42" s="1"/>
  <c r="D35" i="42"/>
  <c r="H35" i="42" s="1"/>
  <c r="J39" i="42" l="1"/>
  <c r="L39" i="42" s="1"/>
  <c r="E37" i="42"/>
  <c r="F37" i="42" s="1"/>
  <c r="G37" i="42" s="1"/>
  <c r="H37" i="42"/>
  <c r="J37" i="42" s="1"/>
  <c r="L37" i="42" s="1"/>
  <c r="K45" i="43"/>
  <c r="M45" i="43" s="1"/>
  <c r="L45" i="43"/>
  <c r="N45" i="43" s="1"/>
  <c r="L46" i="43"/>
  <c r="N46" i="43" s="1"/>
  <c r="K46" i="43"/>
  <c r="M46" i="43" s="1"/>
  <c r="I44" i="43"/>
  <c r="I22" i="43"/>
  <c r="H47" i="43"/>
  <c r="E35" i="42"/>
  <c r="F35" i="42" s="1"/>
  <c r="G35" i="42" s="1"/>
  <c r="J35" i="42" s="1"/>
  <c r="L35" i="42" s="1"/>
  <c r="E66" i="41"/>
  <c r="C66" i="41"/>
  <c r="D66" i="41" s="1"/>
  <c r="F66" i="41" s="1"/>
  <c r="G66" i="41" s="1"/>
  <c r="I66" i="41" s="1"/>
  <c r="L41" i="42" l="1"/>
  <c r="B43" i="42" s="1"/>
  <c r="C34" i="41"/>
  <c r="C67" i="41"/>
  <c r="D67" i="41" s="1"/>
  <c r="H67" i="41" s="1"/>
  <c r="I67" i="41" s="1"/>
  <c r="E25" i="43"/>
  <c r="E27" i="43" s="1"/>
  <c r="E33" i="43" s="1"/>
  <c r="F25" i="43"/>
  <c r="F27" i="43" s="1"/>
  <c r="J44" i="43"/>
  <c r="I47" i="43"/>
  <c r="D28" i="40"/>
  <c r="D27" i="40"/>
  <c r="D26" i="40"/>
  <c r="D36" i="40" s="1"/>
  <c r="F28" i="43" l="1"/>
  <c r="F33" i="43" s="1"/>
  <c r="G33" i="43" s="1"/>
  <c r="F67" i="41"/>
  <c r="L44" i="43"/>
  <c r="K44" i="43"/>
  <c r="H39" i="39"/>
  <c r="G39" i="39"/>
  <c r="F39" i="39"/>
  <c r="G27" i="39" s="1"/>
  <c r="H27" i="39" s="1"/>
  <c r="I27" i="39" s="1"/>
  <c r="E39" i="39"/>
  <c r="F28" i="39" s="1"/>
  <c r="D39" i="39"/>
  <c r="E29" i="39" s="1"/>
  <c r="F29" i="39" s="1"/>
  <c r="G29" i="39" s="1"/>
  <c r="H29" i="39" s="1"/>
  <c r="I29" i="39" s="1"/>
  <c r="D36" i="39"/>
  <c r="E35" i="39"/>
  <c r="D35" i="39"/>
  <c r="F34" i="39"/>
  <c r="E34" i="39"/>
  <c r="D34" i="39"/>
  <c r="G33" i="39"/>
  <c r="F33" i="39"/>
  <c r="E33" i="39"/>
  <c r="D33" i="39"/>
  <c r="H32" i="39"/>
  <c r="G32" i="39"/>
  <c r="F32" i="39"/>
  <c r="E32" i="39"/>
  <c r="D32" i="39"/>
  <c r="H26" i="39"/>
  <c r="I26" i="39" s="1"/>
  <c r="I25" i="39"/>
  <c r="K47" i="43" l="1"/>
  <c r="M44" i="43"/>
  <c r="M47" i="43" s="1"/>
  <c r="E50" i="43" s="1"/>
  <c r="L47" i="43"/>
  <c r="N44" i="43"/>
  <c r="N47" i="43" s="1"/>
  <c r="F50" i="43" s="1"/>
  <c r="D40" i="39"/>
  <c r="G40" i="39"/>
  <c r="E30" i="39"/>
  <c r="F30" i="39" s="1"/>
  <c r="G30" i="39" s="1"/>
  <c r="H30" i="39" s="1"/>
  <c r="I30" i="39" s="1"/>
  <c r="G28" i="39"/>
  <c r="H28" i="39" s="1"/>
  <c r="I28" i="39" s="1"/>
  <c r="F40" i="39"/>
  <c r="E40" i="39"/>
  <c r="H40" i="39" l="1"/>
  <c r="J26" i="39" s="1"/>
  <c r="H12" i="33"/>
  <c r="I12" i="33" s="1"/>
  <c r="J9" i="33"/>
  <c r="H13" i="33"/>
  <c r="I13" i="33" s="1"/>
  <c r="H16" i="33"/>
  <c r="I16" i="33" s="1"/>
  <c r="H17" i="33"/>
  <c r="I17" i="33" s="1"/>
  <c r="H14" i="33"/>
  <c r="J14" i="33" s="1"/>
  <c r="H10" i="33"/>
  <c r="J10" i="33" s="1"/>
  <c r="H11" i="33"/>
  <c r="J11" i="33" s="1"/>
  <c r="H15" i="33"/>
  <c r="J15" i="33" s="1"/>
  <c r="H18" i="33"/>
  <c r="J18" i="33" s="1"/>
  <c r="B47" i="36"/>
  <c r="B29" i="36"/>
  <c r="B35" i="36" s="1"/>
  <c r="B41" i="36" l="1"/>
  <c r="B48" i="36"/>
  <c r="J12" i="33"/>
  <c r="J16" i="33"/>
  <c r="J17" i="33"/>
  <c r="J13" i="33"/>
  <c r="I15" i="33"/>
  <c r="I14" i="33"/>
  <c r="I18" i="33"/>
  <c r="I11" i="33"/>
  <c r="I10" i="33"/>
  <c r="J19" i="33" l="1"/>
  <c r="I19" i="33"/>
  <c r="K15" i="33" l="1"/>
  <c r="K9" i="33"/>
  <c r="K14" i="33"/>
  <c r="K16" i="33"/>
  <c r="K17" i="33"/>
  <c r="K13" i="33"/>
  <c r="K11" i="33"/>
  <c r="K12" i="33"/>
  <c r="K10" i="33"/>
  <c r="K18" i="33"/>
</calcChain>
</file>

<file path=xl/sharedStrings.xml><?xml version="1.0" encoding="utf-8"?>
<sst xmlns="http://schemas.openxmlformats.org/spreadsheetml/2006/main" count="304" uniqueCount="235">
  <si>
    <t>ANSWER</t>
  </si>
  <si>
    <t>(b)</t>
  </si>
  <si>
    <t>You are given the following information about an insurer’s homeowners line of business:</t>
  </si>
  <si>
    <t>The ratio of premium to owner's equity</t>
  </si>
  <si>
    <t>The expected return on the market portfolio</t>
  </si>
  <si>
    <t>The liability beta</t>
  </si>
  <si>
    <t>The tax rate on underwriting income</t>
  </si>
  <si>
    <t>Group</t>
  </si>
  <si>
    <t>Asset</t>
  </si>
  <si>
    <t>Tax Rate</t>
  </si>
  <si>
    <t>Corporate stocks</t>
  </si>
  <si>
    <t>(c)</t>
  </si>
  <si>
    <r>
      <t>(</t>
    </r>
    <r>
      <rPr>
        <i/>
        <sz val="12"/>
        <color theme="8" tint="-0.499984740745262"/>
        <rFont val="Times New Roman"/>
        <family val="1"/>
      </rPr>
      <t>0.5 points</t>
    </r>
    <r>
      <rPr>
        <sz val="12"/>
        <color theme="8" tint="-0.499984740745262"/>
        <rFont val="Times New Roman"/>
        <family val="1"/>
      </rPr>
      <t>)  Calculate the underwriting beta.</t>
    </r>
  </si>
  <si>
    <t>(d)</t>
  </si>
  <si>
    <t xml:space="preserve">k = </t>
  </si>
  <si>
    <t>beta_u =</t>
  </si>
  <si>
    <t xml:space="preserve">UPM = </t>
  </si>
  <si>
    <t xml:space="preserve">TA = </t>
  </si>
  <si>
    <t>Responses for parts (b)-(d) are to be provided by completing the tables below.</t>
  </si>
  <si>
    <t>ELR</t>
  </si>
  <si>
    <t>w</t>
  </si>
  <si>
    <t>AY</t>
  </si>
  <si>
    <t>Increment</t>
  </si>
  <si>
    <t>Expected increment</t>
  </si>
  <si>
    <t>Normalized residual</t>
  </si>
  <si>
    <t>Response for part (e) is to be provided in the Word document</t>
  </si>
  <si>
    <t>Response for part (a) is to be provided in the Word document</t>
  </si>
  <si>
    <t>Development Year</t>
  </si>
  <si>
    <t>Standard Error</t>
  </si>
  <si>
    <t>Age-to-Age Factors</t>
  </si>
  <si>
    <t>Independent Risk</t>
  </si>
  <si>
    <t>Internal Systemic Risk</t>
  </si>
  <si>
    <t>External Systemic Risk</t>
  </si>
  <si>
    <t>Motor</t>
  </si>
  <si>
    <t>Home</t>
  </si>
  <si>
    <t>Percentage of Liabilities</t>
  </si>
  <si>
    <t>Independent Risk CoV</t>
  </si>
  <si>
    <t>Internal Systemic Risk CoV</t>
  </si>
  <si>
    <t>External Systemic Risk CoV</t>
  </si>
  <si>
    <t>Consolidated CoV</t>
  </si>
  <si>
    <t>Assume independence between each of the sources of uncertainty.</t>
  </si>
  <si>
    <t xml:space="preserve">The annual number of losses has a Poisson distribution with mean </t>
  </si>
  <si>
    <t>Loss Size (millions)</t>
  </si>
  <si>
    <t>Probability</t>
  </si>
  <si>
    <t>Total</t>
  </si>
  <si>
    <t>check total</t>
  </si>
  <si>
    <t>million</t>
  </si>
  <si>
    <t xml:space="preserve">80% after 10% margin on Annual Premium </t>
  </si>
  <si>
    <t>50% of (Loss + Margin – Annual Premium)</t>
  </si>
  <si>
    <t>10 +</t>
  </si>
  <si>
    <t>Premium</t>
  </si>
  <si>
    <t>Margin</t>
  </si>
  <si>
    <t>Profit</t>
  </si>
  <si>
    <t>Pcomm</t>
  </si>
  <si>
    <t>AddPrem</t>
  </si>
  <si>
    <t>Result</t>
  </si>
  <si>
    <t>(i)</t>
  </si>
  <si>
    <t>(ii)</t>
  </si>
  <si>
    <t xml:space="preserve">You are given the following information: </t>
  </si>
  <si>
    <t>Accident Date</t>
  </si>
  <si>
    <t>Untrended Loss</t>
  </si>
  <si>
    <t>Untrended ALAE</t>
  </si>
  <si>
    <t>• All losses of at least 200,000 are shown.</t>
  </si>
  <si>
    <t>• ALAE is allocated to layer in proportion to losses.</t>
  </si>
  <si>
    <t>12-Ultimate</t>
  </si>
  <si>
    <t>24-Ultimate</t>
  </si>
  <si>
    <t>36-Ultimate</t>
  </si>
  <si>
    <t>Trend Period</t>
  </si>
  <si>
    <t>Trended Loss</t>
  </si>
  <si>
    <t>Trended ALAE</t>
  </si>
  <si>
    <t>Losses + ALAE</t>
  </si>
  <si>
    <t>Dev Factor</t>
  </si>
  <si>
    <t>Developed Losses + ALAE</t>
  </si>
  <si>
    <t>Layer</t>
  </si>
  <si>
    <t>Excess of</t>
  </si>
  <si>
    <t>L&amp;LAE Trend</t>
  </si>
  <si>
    <t>Treaty Accident Year</t>
  </si>
  <si>
    <t>LDF</t>
  </si>
  <si>
    <t>Rate</t>
  </si>
  <si>
    <t>Loss for Account</t>
  </si>
  <si>
    <t>i</t>
  </si>
  <si>
    <t>p(i)</t>
  </si>
  <si>
    <t>X</t>
  </si>
  <si>
    <t>Y</t>
  </si>
  <si>
    <r>
      <t>Event (</t>
    </r>
    <r>
      <rPr>
        <b/>
        <i/>
        <sz val="12"/>
        <color theme="8" tint="-0.499984740745262"/>
        <rFont val="Times New Roman"/>
        <family val="1"/>
      </rPr>
      <t>i</t>
    </r>
    <r>
      <rPr>
        <b/>
        <sz val="12"/>
        <color theme="8" tint="-0.499984740745262"/>
        <rFont val="Times New Roman"/>
        <family val="1"/>
      </rPr>
      <t>)</t>
    </r>
  </si>
  <si>
    <t>Event (i)</t>
  </si>
  <si>
    <t>X+Y</t>
  </si>
  <si>
    <t>Var(X)</t>
  </si>
  <si>
    <t>Var(Y)</t>
  </si>
  <si>
    <t>Var(X+Y)</t>
  </si>
  <si>
    <t>Renewal Risk Load</t>
  </si>
  <si>
    <t>Sum</t>
  </si>
  <si>
    <t>Total Variance</t>
  </si>
  <si>
    <t>less: variance of other account</t>
  </si>
  <si>
    <t>Risk load</t>
  </si>
  <si>
    <t>(* lambda)</t>
  </si>
  <si>
    <r>
      <t xml:space="preserve">(b) </t>
    </r>
    <r>
      <rPr>
        <i/>
        <sz val="12"/>
        <color theme="8" tint="-0.499984740745262"/>
        <rFont val="Times New Roman"/>
        <family val="1"/>
      </rPr>
      <t>(0.5 points</t>
    </r>
    <r>
      <rPr>
        <sz val="12"/>
        <color theme="8" tint="-0.499984740745262"/>
        <rFont val="Times New Roman"/>
        <family val="1"/>
      </rPr>
      <t xml:space="preserve">)  Demonstrate that the Marginal Variance method is not renewal additive.   </t>
    </r>
  </si>
  <si>
    <t>Risk load for X+Y &lt;&gt; the sum</t>
  </si>
  <si>
    <r>
      <t>(c) (</t>
    </r>
    <r>
      <rPr>
        <i/>
        <sz val="12"/>
        <color theme="8" tint="-0.499984740745262"/>
        <rFont val="Times New Roman"/>
        <family val="1"/>
      </rPr>
      <t>1.5 points</t>
    </r>
    <r>
      <rPr>
        <sz val="12"/>
        <color theme="8" tint="-0.499984740745262"/>
        <rFont val="Times New Roman"/>
        <family val="1"/>
      </rPr>
      <t>)  Calculate the risk load for each account using the Covariance Share method.</t>
    </r>
  </si>
  <si>
    <t>Cov to share</t>
  </si>
  <si>
    <t>Xshare</t>
  </si>
  <si>
    <t>Yshare</t>
  </si>
  <si>
    <t>X+Xshare</t>
  </si>
  <si>
    <t>Y+Yshare</t>
  </si>
  <si>
    <t>Losses &gt;</t>
  </si>
  <si>
    <t>• All policy limits throughout the experience period are 1,000,000 and are expected to remain at this level through 2021.</t>
  </si>
  <si>
    <t>Policy limits</t>
  </si>
  <si>
    <t>• On level subject premium is 10,000,000 for each year from 2017-2019.</t>
  </si>
  <si>
    <t>per year</t>
  </si>
  <si>
    <t>• Loss and ALAE trend are each 5% per year.</t>
  </si>
  <si>
    <t>Loss and ALAE trend</t>
  </si>
  <si>
    <t>• The following accident year development factors are applicable to both loss and ALAE in the layer 750,000 excess of 250,000:</t>
  </si>
  <si>
    <t>Layer limit</t>
  </si>
  <si>
    <t>Excess</t>
  </si>
  <si>
    <t/>
  </si>
  <si>
    <t>Estimate the experience rating loss cost, including ALAE, as a percentage of the subject premium.</t>
  </si>
  <si>
    <r>
      <t>(</t>
    </r>
    <r>
      <rPr>
        <i/>
        <sz val="12"/>
        <color theme="8" tint="-0.499984740745262"/>
        <rFont val="Times New Roman"/>
        <family val="1"/>
      </rPr>
      <t>1.5 points</t>
    </r>
    <r>
      <rPr>
        <sz val="12"/>
        <color theme="8" tint="-0.499984740745262"/>
        <rFont val="Times New Roman"/>
        <family val="1"/>
      </rPr>
      <t>)  Calculate the underwriting profit margin ignoring taxes.</t>
    </r>
  </si>
  <si>
    <r>
      <t>(</t>
    </r>
    <r>
      <rPr>
        <i/>
        <sz val="12"/>
        <color theme="8" tint="-0.499984740745262"/>
        <rFont val="Times New Roman"/>
        <family val="1"/>
      </rPr>
      <t>1.5 points</t>
    </r>
    <r>
      <rPr>
        <sz val="12"/>
        <color theme="8" tint="-0.499984740745262"/>
        <rFont val="Times New Roman"/>
        <family val="1"/>
      </rPr>
      <t>)  Calculate the underwriting profit using the version of CAPM that accounts for taxes.</t>
    </r>
  </si>
  <si>
    <r>
      <t>(</t>
    </r>
    <r>
      <rPr>
        <i/>
        <sz val="12"/>
        <color theme="8" tint="-0.499984740745262"/>
        <rFont val="Times New Roman"/>
        <family val="1"/>
      </rPr>
      <t>4 points</t>
    </r>
    <r>
      <rPr>
        <sz val="12"/>
        <color theme="8" tint="-0.499984740745262"/>
        <rFont val="Times New Roman"/>
        <family val="1"/>
      </rPr>
      <t>)  You are using the Capital Asset Pricing Model (CAPM) to determine an underwriting profit margin.</t>
    </r>
  </si>
  <si>
    <t>to 1</t>
  </si>
  <si>
    <t>The homeowners line of business has three distinct payment pattern groups:</t>
  </si>
  <si>
    <t>The investment portfolio backing the homeowners line of business has the following characteristics:</t>
  </si>
  <si>
    <r>
      <t>(</t>
    </r>
    <r>
      <rPr>
        <i/>
        <sz val="12"/>
        <color theme="8" tint="-0.499984740745262"/>
        <rFont val="Times New Roman"/>
        <family val="1"/>
      </rPr>
      <t>5 points</t>
    </r>
    <r>
      <rPr>
        <sz val="12"/>
        <color theme="8" tint="-0.499984740745262"/>
        <rFont val="Times New Roman"/>
        <family val="1"/>
      </rPr>
      <t>)  You are given the following data extracted from a triangle of cumulative paid losses:</t>
    </r>
  </si>
  <si>
    <t>Table below also includes the onlevel premiums</t>
  </si>
  <si>
    <t>sigma-squared</t>
  </si>
  <si>
    <t xml:space="preserve">You apply Clark’s stochastic reserving model using the Cape Cod method and a loglogistic  </t>
  </si>
  <si>
    <t>In Clark’s model, the distribution of ultimate reserves is approximated by a discrete distribution.</t>
  </si>
  <si>
    <t>Answer in table above</t>
  </si>
  <si>
    <r>
      <t>(</t>
    </r>
    <r>
      <rPr>
        <i/>
        <sz val="12"/>
        <color theme="8" tint="-0.499984740745262"/>
        <rFont val="Times New Roman"/>
        <family val="1"/>
      </rPr>
      <t>1 point</t>
    </r>
    <r>
      <rPr>
        <sz val="12"/>
        <color theme="8" tint="-0.499984740745262"/>
        <rFont val="Times New Roman"/>
        <family val="1"/>
      </rPr>
      <t xml:space="preserve">)  Create a scatter plot in which the </t>
    </r>
    <r>
      <rPr>
        <i/>
        <sz val="12"/>
        <color theme="8" tint="-0.499984740745262"/>
        <rFont val="Times New Roman"/>
        <family val="1"/>
      </rPr>
      <t>x</t>
    </r>
    <r>
      <rPr>
        <sz val="12"/>
        <color theme="8" tint="-0.499984740745262"/>
        <rFont val="Times New Roman"/>
        <family val="1"/>
      </rPr>
      <t xml:space="preserve"> values are the expected incremental losses and the </t>
    </r>
    <r>
      <rPr>
        <i/>
        <sz val="12"/>
        <color theme="8" tint="-0.499984740745262"/>
        <rFont val="Times New Roman"/>
        <family val="1"/>
      </rPr>
      <t>y</t>
    </r>
    <r>
      <rPr>
        <sz val="12"/>
        <color theme="8" tint="-0.499984740745262"/>
        <rFont val="Times New Roman"/>
        <family val="1"/>
      </rPr>
      <t xml:space="preserve"> values are the normalized residuals.</t>
    </r>
  </si>
  <si>
    <t>x</t>
  </si>
  <si>
    <t>y</t>
  </si>
  <si>
    <t>Answer in table below</t>
  </si>
  <si>
    <r>
      <t>(</t>
    </r>
    <r>
      <rPr>
        <i/>
        <sz val="12"/>
        <color theme="8" tint="-0.499984740745262"/>
        <rFont val="Times New Roman"/>
        <family val="1"/>
      </rPr>
      <t>1 point</t>
    </r>
    <r>
      <rPr>
        <sz val="12"/>
        <color theme="8" tint="-0.499984740745262"/>
        <rFont val="Times New Roman"/>
        <family val="1"/>
      </rPr>
      <t>)  Square the development triangle by completing the remaining shaded cells, where one calculated</t>
    </r>
  </si>
  <si>
    <t>value is provided.</t>
  </si>
  <si>
    <t>(e)</t>
  </si>
  <si>
    <r>
      <t>(</t>
    </r>
    <r>
      <rPr>
        <i/>
        <sz val="12"/>
        <color theme="8" tint="-0.499984740745262"/>
        <rFont val="Times New Roman"/>
        <family val="1"/>
      </rPr>
      <t>3 points</t>
    </r>
    <r>
      <rPr>
        <sz val="12"/>
        <color theme="8" tint="-0.499984740745262"/>
        <rFont val="Times New Roman"/>
        <family val="1"/>
      </rPr>
      <t>)  Calculate the remaining standard errors of the reserve estimators for the individual accident years.</t>
    </r>
  </si>
  <si>
    <t>Response for part (f) is to be provided in the Word document</t>
  </si>
  <si>
    <r>
      <t>f</t>
    </r>
    <r>
      <rPr>
        <i/>
        <vertAlign val="subscript"/>
        <sz val="12"/>
        <color theme="1"/>
        <rFont val="Times New Roman"/>
        <family val="1"/>
      </rPr>
      <t>k</t>
    </r>
  </si>
  <si>
    <r>
      <t>α</t>
    </r>
    <r>
      <rPr>
        <i/>
        <vertAlign val="subscript"/>
        <sz val="12"/>
        <color theme="1"/>
        <rFont val="Times New Roman"/>
        <family val="1"/>
      </rPr>
      <t>k</t>
    </r>
    <r>
      <rPr>
        <vertAlign val="superscript"/>
        <sz val="12"/>
        <color theme="1"/>
        <rFont val="Times New Roman"/>
        <family val="1"/>
      </rPr>
      <t>2</t>
    </r>
  </si>
  <si>
    <r>
      <rPr>
        <i/>
        <sz val="12"/>
        <color theme="8" tint="-0.499984740745262"/>
        <rFont val="Times New Roman"/>
        <family val="1"/>
      </rPr>
      <t>• p(i)</t>
    </r>
    <r>
      <rPr>
        <sz val="12"/>
        <color theme="8" tint="-0.499984740745262"/>
        <rFont val="Times New Roman"/>
        <family val="1"/>
      </rPr>
      <t xml:space="preserve"> represents the probability of Event </t>
    </r>
    <r>
      <rPr>
        <i/>
        <sz val="12"/>
        <color theme="8" tint="-0.499984740745262"/>
        <rFont val="Times New Roman"/>
        <family val="1"/>
      </rPr>
      <t>i</t>
    </r>
    <r>
      <rPr>
        <sz val="12"/>
        <color theme="8" tint="-0.499984740745262"/>
        <rFont val="Times New Roman"/>
        <family val="1"/>
      </rPr>
      <t>.</t>
    </r>
  </si>
  <si>
    <t>• The risk load multiplier, λ, is</t>
  </si>
  <si>
    <t xml:space="preserve">BRC is considering using the Covariance Share method to calculate risk loads.  </t>
  </si>
  <si>
    <t xml:space="preserve">The shared covariance of each event will be allocated to each account in proportion to its loss for that event. </t>
  </si>
  <si>
    <t>Responses for parts (a) and (b) are to be provided in the Word document</t>
  </si>
  <si>
    <t>The correlations between motor and home liabilities for each risk source are:</t>
  </si>
  <si>
    <t>Provide your work for part (c) below. Ensure your answers are in the highlighted cells below.</t>
  </si>
  <si>
    <r>
      <t>(d)</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0.5 points</t>
    </r>
    <r>
      <rPr>
        <sz val="12"/>
        <color theme="8" tint="-0.499984740745262"/>
        <rFont val="Times New Roman"/>
        <family val="1"/>
      </rPr>
      <t xml:space="preserve">)  Calculate the consolidated coefficient of variation from the three sources of uncertainty.  </t>
    </r>
  </si>
  <si>
    <t>Provide your work for part (d) below. Ensure your answer is in the highlighted cell below.</t>
  </si>
  <si>
    <r>
      <t>(</t>
    </r>
    <r>
      <rPr>
        <i/>
        <sz val="12"/>
        <color theme="8" tint="-0.499984740745262"/>
        <rFont val="Times New Roman"/>
        <family val="1"/>
      </rPr>
      <t>5 points</t>
    </r>
    <r>
      <rPr>
        <sz val="12"/>
        <color theme="8" tint="-0.499984740745262"/>
        <rFont val="Times New Roman"/>
        <family val="1"/>
      </rPr>
      <t xml:space="preserve">)  Specialist Reinsurance Company is offering finite reinsurance to Ceding Insurance Company to cover its aggregate annual losses. </t>
    </r>
  </si>
  <si>
    <t>Loss sizes are independent of one another and independent of the number of losses.</t>
  </si>
  <si>
    <t>The underwriting results for different aggregate losses are:</t>
  </si>
  <si>
    <t>(i)     A profit of 0.3 million if aggregate losses are 2 million.</t>
  </si>
  <si>
    <t>Responses for parts (c) and (d) are to be provided in the Word document</t>
  </si>
  <si>
    <t>Question 1</t>
  </si>
  <si>
    <r>
      <t>(</t>
    </r>
    <r>
      <rPr>
        <i/>
        <sz val="12"/>
        <color theme="8" tint="-0.499984740745262"/>
        <rFont val="Times New Roman"/>
        <family val="1"/>
      </rPr>
      <t>5 points</t>
    </r>
    <r>
      <rPr>
        <sz val="12"/>
        <color theme="8" tint="-0.499984740745262"/>
        <rFont val="Times New Roman"/>
        <family val="1"/>
      </rPr>
      <t>)  Casualty Reinsurance Company is writing a casualty per occurrence excess treaty for accident year 2021 covering the layer 750,000 excess of 250,000.</t>
    </r>
  </si>
  <si>
    <t>Loss Experience Evaluated as of Dec. 31, 2019</t>
  </si>
  <si>
    <t>On level premium</t>
  </si>
  <si>
    <t>Question 2</t>
  </si>
  <si>
    <t>The risk-free rate</t>
  </si>
  <si>
    <t>Percentage of the Insurer’s Business</t>
  </si>
  <si>
    <t>Average Time Between Receipt of Premium and Payment of Losses and Expenses</t>
  </si>
  <si>
    <t>Percentage of Total Assets</t>
  </si>
  <si>
    <t>Tax exempt bonds</t>
  </si>
  <si>
    <t>Taxable bonds</t>
  </si>
  <si>
    <t>Question 3</t>
  </si>
  <si>
    <t>Responses for parts (a) and (e) are to be provided in the Word document.</t>
  </si>
  <si>
    <t>Be sure that it is possible to follow your formulas and that your answers are clearly indicated.</t>
  </si>
  <si>
    <t>Additional work should be done in columns L and beyond.</t>
  </si>
  <si>
    <r>
      <t xml:space="preserve">ℓ </t>
    </r>
    <r>
      <rPr>
        <sz val="12"/>
        <rFont val="Times New Roman"/>
        <family val="1"/>
      </rPr>
      <t>=</t>
    </r>
    <r>
      <rPr>
        <i/>
        <sz val="12"/>
        <rFont val="Times New Roman"/>
        <family val="1"/>
      </rPr>
      <t xml:space="preserve"> el</t>
    </r>
  </si>
  <si>
    <r>
      <t>σ</t>
    </r>
    <r>
      <rPr>
        <i/>
        <vertAlign val="superscript"/>
        <sz val="12"/>
        <rFont val="Times New Roman"/>
        <family val="1"/>
      </rPr>
      <t>2</t>
    </r>
  </si>
  <si>
    <t>Accident Year</t>
  </si>
  <si>
    <t>Onlevel Premium</t>
  </si>
  <si>
    <t>From (months)</t>
  </si>
  <si>
    <t>To (months)</t>
  </si>
  <si>
    <t>Diagonal 
Age</t>
  </si>
  <si>
    <t>Accident Year Total</t>
  </si>
  <si>
    <r>
      <t>Σ</t>
    </r>
    <r>
      <rPr>
        <i/>
        <vertAlign val="subscript"/>
        <sz val="12"/>
        <rFont val="Times New Roman"/>
        <family val="1"/>
      </rPr>
      <t>i</t>
    </r>
    <r>
      <rPr>
        <i/>
        <sz val="12"/>
        <rFont val="Times New Roman"/>
        <family val="1"/>
      </rPr>
      <t>[c</t>
    </r>
    <r>
      <rPr>
        <i/>
        <vertAlign val="subscript"/>
        <sz val="12"/>
        <rFont val="Times New Roman"/>
        <family val="1"/>
      </rPr>
      <t>i</t>
    </r>
    <r>
      <rPr>
        <i/>
        <sz val="12"/>
        <rFont val="Times New Roman"/>
        <family val="1"/>
      </rPr>
      <t>ln(μ</t>
    </r>
    <r>
      <rPr>
        <i/>
        <vertAlign val="subscript"/>
        <sz val="12"/>
        <rFont val="Times New Roman"/>
        <family val="1"/>
      </rPr>
      <t>i</t>
    </r>
    <r>
      <rPr>
        <i/>
        <sz val="12"/>
        <rFont val="Times New Roman"/>
        <family val="1"/>
      </rPr>
      <t>)-μ</t>
    </r>
    <r>
      <rPr>
        <i/>
        <vertAlign val="subscript"/>
        <sz val="12"/>
        <rFont val="Times New Roman"/>
        <family val="1"/>
      </rPr>
      <t>i</t>
    </r>
    <r>
      <rPr>
        <i/>
        <sz val="12"/>
        <rFont val="Times New Roman"/>
        <family val="1"/>
      </rPr>
      <t>]</t>
    </r>
  </si>
  <si>
    <r>
      <t xml:space="preserve">distribution with cumulative distribution function </t>
    </r>
    <r>
      <rPr>
        <i/>
        <sz val="12"/>
        <color theme="8" tint="-0.499984740745262"/>
        <rFont val="Times New Roman"/>
        <family val="1"/>
      </rPr>
      <t>G(x)</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x</t>
    </r>
    <r>
      <rPr>
        <i/>
        <vertAlign val="superscript"/>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θ</t>
    </r>
    <r>
      <rPr>
        <i/>
        <vertAlign val="superscript"/>
        <sz val="12"/>
        <color theme="8" tint="-0.499984740745262"/>
        <rFont val="Times New Roman"/>
        <family val="1"/>
      </rPr>
      <t>w</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 </t>
    </r>
  </si>
  <si>
    <r>
      <t xml:space="preserve">Maximum likelihood estimates can be obtained by maximizing the function </t>
    </r>
    <r>
      <rPr>
        <i/>
        <sz val="12"/>
        <color theme="8" tint="-0.499984740745262"/>
        <rFont val="Times New Roman"/>
        <family val="1"/>
      </rPr>
      <t>ℓ</t>
    </r>
    <r>
      <rPr>
        <sz val="12"/>
        <color theme="8" tint="-0.499984740745262"/>
        <rFont val="Times New Roman"/>
        <family val="1"/>
      </rPr>
      <t xml:space="preserve"> = </t>
    </r>
    <r>
      <rPr>
        <sz val="12"/>
        <color theme="8" tint="-0.499984740745262"/>
        <rFont val="Calibri"/>
        <family val="2"/>
      </rPr>
      <t>Σ</t>
    </r>
    <r>
      <rPr>
        <vertAlign val="subscript"/>
        <sz val="12"/>
        <color theme="8" tint="-0.499984740745262"/>
        <rFont val="Times New Roman"/>
        <family val="1"/>
      </rPr>
      <t>i</t>
    </r>
    <r>
      <rPr>
        <sz val="12"/>
        <color theme="8" tint="-0.499984740745262"/>
        <rFont val="Times New Roman"/>
        <family val="1"/>
      </rPr>
      <t>[</t>
    </r>
    <r>
      <rPr>
        <i/>
        <sz val="12"/>
        <color theme="8" tint="-0.499984740745262"/>
        <rFont val="Times New Roman"/>
        <family val="1"/>
      </rPr>
      <t>c</t>
    </r>
    <r>
      <rPr>
        <vertAlign val="subscript"/>
        <sz val="12"/>
        <color theme="8" tint="-0.499984740745262"/>
        <rFont val="Times New Roman"/>
        <family val="1"/>
      </rPr>
      <t>i</t>
    </r>
    <r>
      <rPr>
        <sz val="12"/>
        <color theme="8" tint="-0.499984740745262"/>
        <rFont val="Times New Roman"/>
        <family val="1"/>
      </rPr>
      <t>ln(</t>
    </r>
    <r>
      <rPr>
        <i/>
        <sz val="12"/>
        <color theme="8" tint="-0.499984740745262"/>
        <rFont val="Calibri"/>
        <family val="2"/>
      </rPr>
      <t>μ</t>
    </r>
    <r>
      <rPr>
        <vertAlign val="subscript"/>
        <sz val="12"/>
        <color theme="8" tint="-0.499984740745262"/>
        <rFont val="Times New Roman"/>
        <family val="1"/>
      </rPr>
      <t>i</t>
    </r>
    <r>
      <rPr>
        <sz val="12"/>
        <color theme="8" tint="-0.499984740745262"/>
        <rFont val="Times New Roman"/>
        <family val="1"/>
      </rPr>
      <t>)-</t>
    </r>
    <r>
      <rPr>
        <i/>
        <sz val="12"/>
        <color theme="8" tint="-0.499984740745262"/>
        <rFont val="Times New Roman"/>
        <family val="1"/>
      </rPr>
      <t>μ</t>
    </r>
    <r>
      <rPr>
        <vertAlign val="subscript"/>
        <sz val="12"/>
        <color theme="8" tint="-0.499984740745262"/>
        <rFont val="Times New Roman"/>
        <family val="1"/>
      </rPr>
      <t>i</t>
    </r>
    <r>
      <rPr>
        <sz val="12"/>
        <color theme="8" tint="-0.499984740745262"/>
        <rFont val="Times New Roman"/>
        <family val="1"/>
      </rPr>
      <t>].</t>
    </r>
  </si>
  <si>
    <r>
      <t xml:space="preserve">The maximum likelihood estimates of </t>
    </r>
    <r>
      <rPr>
        <i/>
        <sz val="12"/>
        <color theme="8" tint="-0.499984740745262"/>
        <rFont val="Times New Roman"/>
        <family val="1"/>
      </rPr>
      <t>θ</t>
    </r>
    <r>
      <rPr>
        <sz val="12"/>
        <color theme="8" tint="-0.499984740745262"/>
        <rFont val="Times New Roman"/>
        <family val="1"/>
      </rPr>
      <t xml:space="preserve">, of </t>
    </r>
    <r>
      <rPr>
        <i/>
        <sz val="12"/>
        <color theme="8" tint="-0.499984740745262"/>
        <rFont val="Times New Roman"/>
        <family val="1"/>
      </rPr>
      <t>w</t>
    </r>
    <r>
      <rPr>
        <sz val="12"/>
        <color theme="8" tint="-0.499984740745262"/>
        <rFont val="Times New Roman"/>
        <family val="1"/>
      </rPr>
      <t xml:space="preserve"> and of </t>
    </r>
    <r>
      <rPr>
        <i/>
        <sz val="12"/>
        <color theme="8" tint="-0.499984740745262"/>
        <rFont val="Times New Roman"/>
        <family val="1"/>
      </rPr>
      <t>ELR</t>
    </r>
    <r>
      <rPr>
        <sz val="12"/>
        <color theme="8" tint="-0.499984740745262"/>
        <rFont val="Times New Roman"/>
        <family val="1"/>
      </rPr>
      <t xml:space="preserve"> are as follows:</t>
    </r>
  </si>
  <si>
    <t>θ</t>
  </si>
  <si>
    <r>
      <t>(</t>
    </r>
    <r>
      <rPr>
        <i/>
        <sz val="12"/>
        <color theme="8" tint="-0.499984740745262"/>
        <rFont val="Times New Roman"/>
        <family val="1"/>
      </rPr>
      <t>2 points</t>
    </r>
    <r>
      <rPr>
        <sz val="12"/>
        <color theme="8" tint="-0.499984740745262"/>
        <rFont val="Times New Roman"/>
        <family val="1"/>
      </rPr>
      <t xml:space="preserve">)  Calculate the value of </t>
    </r>
    <r>
      <rPr>
        <i/>
        <sz val="12"/>
        <color theme="8" tint="-0.499984740745262"/>
        <rFont val="Times New Roman"/>
        <family val="1"/>
      </rPr>
      <t xml:space="preserve">ℓ </t>
    </r>
    <r>
      <rPr>
        <sz val="12"/>
        <color theme="8" tint="-0.499984740745262"/>
        <rFont val="Times New Roman"/>
        <family val="1"/>
      </rPr>
      <t>at its maximum.</t>
    </r>
  </si>
  <si>
    <r>
      <t>(</t>
    </r>
    <r>
      <rPr>
        <i/>
        <sz val="12"/>
        <color theme="8" tint="-0.499984740745262"/>
        <rFont val="Times New Roman"/>
        <family val="1"/>
      </rPr>
      <t>1 point</t>
    </r>
    <r>
      <rPr>
        <sz val="12"/>
        <color theme="8" tint="-0.499984740745262"/>
        <rFont val="Times New Roman"/>
        <family val="1"/>
      </rPr>
      <t>)  Estimate the scale factor, σ</t>
    </r>
    <r>
      <rPr>
        <vertAlign val="superscript"/>
        <sz val="12"/>
        <color theme="8" tint="-0.499984740745262"/>
        <rFont val="Times New Roman"/>
        <family val="1"/>
      </rPr>
      <t>2</t>
    </r>
    <r>
      <rPr>
        <sz val="12"/>
        <color theme="8" tint="-0.499984740745262"/>
        <rFont val="Times New Roman"/>
        <family val="1"/>
      </rPr>
      <t xml:space="preserve"> (</t>
    </r>
    <r>
      <rPr>
        <i/>
        <sz val="12"/>
        <color theme="8" tint="-0.499984740745262"/>
        <rFont val="Times New Roman"/>
        <family val="1"/>
      </rPr>
      <t>sigma-sqaured</t>
    </r>
    <r>
      <rPr>
        <sz val="12"/>
        <color theme="8" tint="-0.499984740745262"/>
        <rFont val="Times New Roman"/>
        <family val="1"/>
      </rPr>
      <t>).</t>
    </r>
  </si>
  <si>
    <t>This graph for part (d) will be created based on values calculated in columns H and K</t>
  </si>
  <si>
    <t>Question 4</t>
  </si>
  <si>
    <r>
      <t>(</t>
    </r>
    <r>
      <rPr>
        <i/>
        <sz val="12"/>
        <color theme="8" tint="-0.499984740745262"/>
        <rFont val="Times New Roman"/>
        <family val="1"/>
      </rPr>
      <t>9 points</t>
    </r>
    <r>
      <rPr>
        <sz val="12"/>
        <color theme="8" tint="-0.499984740745262"/>
        <rFont val="Times New Roman"/>
        <family val="1"/>
      </rPr>
      <t>)  You are interested in determining the variability of unpaid claim estimates.  The triangle of paid claims data you are working with, by accident year (AY) and development year, is presented below.  It is assumed that all claims are fully developed after seven years.</t>
    </r>
  </si>
  <si>
    <t>Mack’s method of estimating reserve variability is to be applied to this triangle.</t>
  </si>
  <si>
    <t>Refer to answer area below for the triangle of paid claims and development factors.</t>
  </si>
  <si>
    <r>
      <t>(</t>
    </r>
    <r>
      <rPr>
        <i/>
        <sz val="12"/>
        <color theme="8" tint="-0.499984740745262"/>
        <rFont val="Times New Roman"/>
        <family val="1"/>
      </rPr>
      <t>1 point</t>
    </r>
    <r>
      <rPr>
        <sz val="12"/>
        <color theme="8" tint="-0.499984740745262"/>
        <rFont val="Times New Roman"/>
        <family val="1"/>
      </rPr>
      <t>)  Complete the triangle of age-to-age factors.</t>
    </r>
  </si>
  <si>
    <r>
      <t>(</t>
    </r>
    <r>
      <rPr>
        <i/>
        <sz val="12"/>
        <color theme="8" tint="-0.499984740745262"/>
        <rFont val="Times New Roman"/>
        <family val="1"/>
      </rPr>
      <t>1.5 points</t>
    </r>
    <r>
      <rPr>
        <sz val="12"/>
        <color theme="8" tint="-0.499984740745262"/>
        <rFont val="Times New Roman"/>
        <family val="1"/>
      </rPr>
      <t xml:space="preserve">)  Calculate the remaining values of  </t>
    </r>
    <r>
      <rPr>
        <i/>
        <sz val="12"/>
        <color theme="8" tint="-0.499984740745262"/>
        <rFont val="Times New Roman"/>
        <family val="1"/>
      </rPr>
      <t>f</t>
    </r>
    <r>
      <rPr>
        <i/>
        <vertAlign val="subscript"/>
        <sz val="12"/>
        <color theme="8" tint="-0.499984740745262"/>
        <rFont val="Times New Roman"/>
        <family val="1"/>
      </rPr>
      <t>k</t>
    </r>
    <r>
      <rPr>
        <i/>
        <sz val="12"/>
        <color theme="8" tint="-0.499984740745262"/>
        <rFont val="Times New Roman"/>
        <family val="1"/>
      </rPr>
      <t xml:space="preserve"> </t>
    </r>
    <r>
      <rPr>
        <sz val="12"/>
        <color theme="8" tint="-0.499984740745262"/>
        <rFont val="Times New Roman"/>
        <family val="1"/>
      </rPr>
      <t xml:space="preserve">and </t>
    </r>
    <r>
      <rPr>
        <i/>
        <sz val="12"/>
        <color theme="8" tint="-0.499984740745262"/>
        <rFont val="Times New Roman"/>
        <family val="1"/>
      </rPr>
      <t>α</t>
    </r>
    <r>
      <rPr>
        <i/>
        <vertAlign val="subscript"/>
        <sz val="12"/>
        <color theme="8" tint="-0.499984740745262"/>
        <rFont val="Times New Roman"/>
        <family val="1"/>
      </rPr>
      <t>k</t>
    </r>
    <r>
      <rPr>
        <vertAlign val="superscript"/>
        <sz val="12"/>
        <color theme="8" tint="-0.499984740745262"/>
        <rFont val="Times New Roman"/>
        <family val="1"/>
      </rPr>
      <t>2</t>
    </r>
    <r>
      <rPr>
        <sz val="12"/>
        <color theme="8" tint="-0.499984740745262"/>
        <rFont val="Times New Roman"/>
        <family val="1"/>
      </rPr>
      <t>.</t>
    </r>
  </si>
  <si>
    <t>Question 5</t>
  </si>
  <si>
    <r>
      <t>(</t>
    </r>
    <r>
      <rPr>
        <i/>
        <sz val="12"/>
        <color theme="8" tint="-0.499984740745262"/>
        <rFont val="Times New Roman"/>
        <family val="1"/>
      </rPr>
      <t>4 points</t>
    </r>
    <r>
      <rPr>
        <sz val="12"/>
        <color theme="8" tint="-0.499984740745262"/>
        <rFont val="Times New Roman"/>
        <family val="1"/>
      </rPr>
      <t xml:space="preserve">)  Big Reinsurance Company (BRC) is renewing two accounts, X and Y, each of which is exposed to three independent claim events, 1, 2 and 3.  </t>
    </r>
  </si>
  <si>
    <t>You are given the following information:</t>
  </si>
  <si>
    <r>
      <t>(a)         (</t>
    </r>
    <r>
      <rPr>
        <i/>
        <sz val="12"/>
        <color theme="8" tint="-0.499984740745262"/>
        <rFont val="Times New Roman"/>
        <family val="1"/>
      </rPr>
      <t>2 points</t>
    </r>
    <r>
      <rPr>
        <sz val="12"/>
        <color theme="8" tint="-0.499984740745262"/>
        <rFont val="Times New Roman"/>
        <family val="1"/>
      </rPr>
      <t xml:space="preserve">)  Calculate the renewal risk load for each account using the Marginal Variance method. </t>
    </r>
  </si>
  <si>
    <t>Question 6</t>
  </si>
  <si>
    <r>
      <t>(</t>
    </r>
    <r>
      <rPr>
        <i/>
        <sz val="12"/>
        <color theme="8" tint="-0.499984740745262"/>
        <rFont val="Times New Roman"/>
        <family val="1"/>
      </rPr>
      <t>4 points</t>
    </r>
    <r>
      <rPr>
        <sz val="12"/>
        <color theme="8" tint="-0.499984740745262"/>
        <rFont val="Times New Roman"/>
        <family val="1"/>
      </rPr>
      <t>)  You are calculating a risk margin for outstanding claim liabilities as discussed in “A Framework for Assessing Risk Margins.”  There are two lines of business, motor and home.</t>
    </r>
  </si>
  <si>
    <t>You are provided the following information about the risks associated with these lines of business:</t>
  </si>
  <si>
    <r>
      <t>(c)</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1.5 points</t>
    </r>
    <r>
      <rPr>
        <sz val="12"/>
        <color theme="8" tint="-0.499984740745262"/>
        <rFont val="Times New Roman"/>
        <family val="1"/>
      </rPr>
      <t>)  Calculate the coefficient of variation for each risk source for both lines combined.</t>
    </r>
  </si>
  <si>
    <t>Question 7</t>
  </si>
  <si>
    <r>
      <t>(</t>
    </r>
    <r>
      <rPr>
        <i/>
        <sz val="12"/>
        <color rgb="FF002060"/>
        <rFont val="Times New Roman"/>
        <family val="1"/>
      </rPr>
      <t>4 points</t>
    </r>
    <r>
      <rPr>
        <sz val="12"/>
        <color rgb="FF002060"/>
        <rFont val="Times New Roman"/>
        <family val="1"/>
      </rPr>
      <t>)  You are given the following quantities with respect to a retrospective rating plan:</t>
    </r>
  </si>
  <si>
    <r>
      <t xml:space="preserve">Expected loss, </t>
    </r>
    <r>
      <rPr>
        <i/>
        <sz val="12"/>
        <color rgb="FF002060"/>
        <rFont val="Times New Roman"/>
        <family val="1"/>
      </rPr>
      <t>E</t>
    </r>
  </si>
  <si>
    <r>
      <t xml:space="preserve">Total expenses, </t>
    </r>
    <r>
      <rPr>
        <i/>
        <sz val="12"/>
        <color rgb="FF002060"/>
        <rFont val="Times New Roman"/>
        <family val="1"/>
      </rPr>
      <t>e</t>
    </r>
  </si>
  <si>
    <r>
      <t xml:space="preserve">Loss conversion factor, </t>
    </r>
    <r>
      <rPr>
        <i/>
        <sz val="12"/>
        <color rgb="FF002060"/>
        <rFont val="Times New Roman"/>
        <family val="1"/>
      </rPr>
      <t>C</t>
    </r>
  </si>
  <si>
    <r>
      <t xml:space="preserve">Minimum premium, </t>
    </r>
    <r>
      <rPr>
        <i/>
        <sz val="12"/>
        <color rgb="FF002060"/>
        <rFont val="Times New Roman"/>
        <family val="1"/>
      </rPr>
      <t>H</t>
    </r>
  </si>
  <si>
    <r>
      <t xml:space="preserve">Maximum premium, </t>
    </r>
    <r>
      <rPr>
        <i/>
        <sz val="12"/>
        <color rgb="FF002060"/>
        <rFont val="Times New Roman"/>
        <family val="1"/>
      </rPr>
      <t>G</t>
    </r>
  </si>
  <si>
    <t>Table M</t>
  </si>
  <si>
    <t>r</t>
  </si>
  <si>
    <r>
      <rPr>
        <i/>
        <sz val="12"/>
        <color rgb="FF002060"/>
        <rFont val="Calibri"/>
        <family val="2"/>
      </rPr>
      <t>ɸ</t>
    </r>
    <r>
      <rPr>
        <sz val="12"/>
        <color rgb="FF002060"/>
        <rFont val="Times New Roman"/>
        <family val="1"/>
      </rPr>
      <t>(</t>
    </r>
    <r>
      <rPr>
        <i/>
        <sz val="12"/>
        <color rgb="FF002060"/>
        <rFont val="Times New Roman"/>
        <family val="1"/>
      </rPr>
      <t>r</t>
    </r>
    <r>
      <rPr>
        <sz val="12"/>
        <color rgb="FF002060"/>
        <rFont val="Times New Roman"/>
        <family val="1"/>
      </rPr>
      <t>)</t>
    </r>
  </si>
  <si>
    <r>
      <rPr>
        <i/>
        <sz val="12"/>
        <color rgb="FF002060"/>
        <rFont val="Calibri"/>
        <family val="2"/>
        <scheme val="minor"/>
      </rPr>
      <t>ψ</t>
    </r>
    <r>
      <rPr>
        <sz val="12"/>
        <color rgb="FF002060"/>
        <rFont val="Times New Roman"/>
        <family val="1"/>
      </rPr>
      <t>(</t>
    </r>
    <r>
      <rPr>
        <i/>
        <sz val="12"/>
        <color rgb="FF002060"/>
        <rFont val="Times New Roman"/>
        <family val="1"/>
      </rPr>
      <t>r</t>
    </r>
    <r>
      <rPr>
        <sz val="12"/>
        <color rgb="FF002060"/>
        <rFont val="Times New Roman"/>
        <family val="1"/>
      </rPr>
      <t>)</t>
    </r>
  </si>
  <si>
    <r>
      <t xml:space="preserve">•  </t>
    </r>
    <r>
      <rPr>
        <i/>
        <sz val="12"/>
        <color rgb="FF002060"/>
        <rFont val="Times New Roman"/>
        <family val="1"/>
      </rPr>
      <t xml:space="preserve">G </t>
    </r>
    <r>
      <rPr>
        <sz val="12"/>
        <color rgb="FF002060"/>
        <rFont val="Calibri"/>
        <family val="2"/>
      </rPr>
      <t>−</t>
    </r>
    <r>
      <rPr>
        <sz val="12"/>
        <color rgb="FF002060"/>
        <rFont val="Times New Roman"/>
        <family val="1"/>
      </rPr>
      <t xml:space="preserve"> </t>
    </r>
    <r>
      <rPr>
        <i/>
        <sz val="12"/>
        <color rgb="FF002060"/>
        <rFont val="Times New Roman"/>
        <family val="1"/>
      </rPr>
      <t>H</t>
    </r>
    <r>
      <rPr>
        <sz val="12"/>
        <color rgb="FF002060"/>
        <rFont val="Times New Roman"/>
        <family val="1"/>
      </rPr>
      <t xml:space="preserve"> = </t>
    </r>
    <r>
      <rPr>
        <i/>
        <sz val="12"/>
        <color rgb="FF002060"/>
        <rFont val="Times New Roman"/>
        <family val="1"/>
      </rPr>
      <t>CE</t>
    </r>
    <r>
      <rPr>
        <sz val="12"/>
        <color rgb="FF002060"/>
        <rFont val="Times New Roman"/>
        <family val="1"/>
      </rPr>
      <t>(</t>
    </r>
    <r>
      <rPr>
        <i/>
        <sz val="12"/>
        <color rgb="FF002060"/>
        <rFont val="Times New Roman"/>
        <family val="1"/>
      </rPr>
      <t>r</t>
    </r>
    <r>
      <rPr>
        <i/>
        <vertAlign val="subscript"/>
        <sz val="12"/>
        <color rgb="FF002060"/>
        <rFont val="Times New Roman"/>
        <family val="1"/>
      </rPr>
      <t>G</t>
    </r>
    <r>
      <rPr>
        <sz val="12"/>
        <color rgb="FF002060"/>
        <rFont val="Times New Roman"/>
        <family val="1"/>
      </rPr>
      <t xml:space="preserve"> −  </t>
    </r>
    <r>
      <rPr>
        <i/>
        <sz val="12"/>
        <color rgb="FF002060"/>
        <rFont val="Times New Roman"/>
        <family val="1"/>
      </rPr>
      <t>r</t>
    </r>
    <r>
      <rPr>
        <i/>
        <vertAlign val="subscript"/>
        <sz val="12"/>
        <color rgb="FF002060"/>
        <rFont val="Times New Roman"/>
        <family val="1"/>
      </rPr>
      <t>H</t>
    </r>
    <r>
      <rPr>
        <sz val="12"/>
        <color rgb="FF002060"/>
        <rFont val="Times New Roman"/>
        <family val="1"/>
      </rPr>
      <t>)</t>
    </r>
  </si>
  <si>
    <r>
      <t>•  (</t>
    </r>
    <r>
      <rPr>
        <i/>
        <sz val="12"/>
        <color rgb="FF002060"/>
        <rFont val="Times New Roman"/>
        <family val="1"/>
      </rPr>
      <t xml:space="preserve">e </t>
    </r>
    <r>
      <rPr>
        <sz val="12"/>
        <color rgb="FF002060"/>
        <rFont val="Calibri"/>
        <family val="2"/>
      </rPr>
      <t>+</t>
    </r>
    <r>
      <rPr>
        <sz val="12"/>
        <color rgb="FF002060"/>
        <rFont val="Times New Roman"/>
        <family val="1"/>
      </rPr>
      <t xml:space="preserve"> </t>
    </r>
    <r>
      <rPr>
        <i/>
        <sz val="12"/>
        <color rgb="FF002060"/>
        <rFont val="Times New Roman"/>
        <family val="1"/>
      </rPr>
      <t>E</t>
    </r>
    <r>
      <rPr>
        <sz val="12"/>
        <color rgb="FF002060"/>
        <rFont val="Times New Roman"/>
        <family val="1"/>
      </rPr>
      <t xml:space="preserve">) − </t>
    </r>
    <r>
      <rPr>
        <i/>
        <sz val="12"/>
        <color rgb="FF002060"/>
        <rFont val="Times New Roman"/>
        <family val="1"/>
      </rPr>
      <t>H</t>
    </r>
    <r>
      <rPr>
        <sz val="12"/>
        <color rgb="FF002060"/>
        <rFont val="Times New Roman"/>
        <family val="1"/>
      </rPr>
      <t xml:space="preserve"> = </t>
    </r>
    <r>
      <rPr>
        <i/>
        <sz val="12"/>
        <color rgb="FF002060"/>
        <rFont val="Times New Roman"/>
        <family val="1"/>
      </rPr>
      <t>CE</t>
    </r>
    <r>
      <rPr>
        <sz val="12"/>
        <color rgb="FF002060"/>
        <rFont val="Times New Roman"/>
        <family val="1"/>
      </rPr>
      <t>[</t>
    </r>
    <r>
      <rPr>
        <i/>
        <sz val="12"/>
        <color rgb="FF002060"/>
        <rFont val="Calibri"/>
        <family val="2"/>
        <scheme val="minor"/>
      </rPr>
      <t>ɸ</t>
    </r>
    <r>
      <rPr>
        <i/>
        <sz val="12"/>
        <color rgb="FF002060"/>
        <rFont val="Times New Roman"/>
        <family val="1"/>
      </rPr>
      <t>(r</t>
    </r>
    <r>
      <rPr>
        <i/>
        <vertAlign val="subscript"/>
        <sz val="12"/>
        <color rgb="FF002060"/>
        <rFont val="Times New Roman"/>
        <family val="1"/>
      </rPr>
      <t>H</t>
    </r>
    <r>
      <rPr>
        <i/>
        <sz val="12"/>
        <color rgb="FF002060"/>
        <rFont val="Times New Roman"/>
        <family val="1"/>
      </rPr>
      <t>)</t>
    </r>
    <r>
      <rPr>
        <sz val="12"/>
        <color rgb="FF002060"/>
        <rFont val="Times New Roman"/>
        <family val="1"/>
      </rPr>
      <t xml:space="preserve"> −  </t>
    </r>
    <r>
      <rPr>
        <i/>
        <sz val="12"/>
        <color rgb="FF002060"/>
        <rFont val="Calibri"/>
        <family val="2"/>
        <scheme val="minor"/>
      </rPr>
      <t>ɸ</t>
    </r>
    <r>
      <rPr>
        <sz val="12"/>
        <color rgb="FF002060"/>
        <rFont val="Times New Roman"/>
        <family val="1"/>
      </rPr>
      <t>(</t>
    </r>
    <r>
      <rPr>
        <i/>
        <sz val="12"/>
        <color rgb="FF002060"/>
        <rFont val="Times New Roman"/>
        <family val="1"/>
      </rPr>
      <t>r</t>
    </r>
    <r>
      <rPr>
        <i/>
        <vertAlign val="subscript"/>
        <sz val="12"/>
        <color rgb="FF002060"/>
        <rFont val="Times New Roman"/>
        <family val="1"/>
      </rPr>
      <t>G</t>
    </r>
    <r>
      <rPr>
        <sz val="12"/>
        <color rgb="FF002060"/>
        <rFont val="Times New Roman"/>
        <family val="1"/>
      </rPr>
      <t>)]</t>
    </r>
  </si>
  <si>
    <r>
      <t>(b)</t>
    </r>
    <r>
      <rPr>
        <sz val="7"/>
        <color theme="8" tint="-0.499984740745262"/>
        <rFont val="Times New Roman"/>
        <family val="1"/>
      </rPr>
      <t xml:space="preserve">               </t>
    </r>
    <r>
      <rPr>
        <sz val="12"/>
        <color theme="8" tint="-0.499984740745262"/>
        <rFont val="Times New Roman"/>
        <family val="1"/>
      </rPr>
      <t>(</t>
    </r>
    <r>
      <rPr>
        <i/>
        <sz val="12"/>
        <color theme="8" tint="-0.499984740745262"/>
        <rFont val="Times New Roman"/>
        <family val="1"/>
      </rPr>
      <t>1 point</t>
    </r>
    <r>
      <rPr>
        <sz val="12"/>
        <color theme="8" tint="-0.499984740745262"/>
        <rFont val="Times New Roman"/>
        <family val="1"/>
      </rPr>
      <t>)  Calculate the net insurance charge.</t>
    </r>
  </si>
  <si>
    <r>
      <t>(c)         (</t>
    </r>
    <r>
      <rPr>
        <i/>
        <sz val="12"/>
        <color theme="8" tint="-0.499984740745262"/>
        <rFont val="Times New Roman"/>
        <family val="1"/>
      </rPr>
      <t>1 point</t>
    </r>
    <r>
      <rPr>
        <sz val="12"/>
        <color theme="8" tint="-0.499984740745262"/>
        <rFont val="Times New Roman"/>
        <family val="1"/>
      </rPr>
      <t xml:space="preserve">)  Calculate the basic premium.   </t>
    </r>
  </si>
  <si>
    <t>Question 8</t>
  </si>
  <si>
    <t xml:space="preserve">The loss size distribution is: </t>
  </si>
  <si>
    <r>
      <t>(a)               (</t>
    </r>
    <r>
      <rPr>
        <i/>
        <sz val="12"/>
        <color theme="8" tint="-0.499984740745262"/>
        <rFont val="Times New Roman"/>
        <family val="1"/>
      </rPr>
      <t>2 points</t>
    </r>
    <r>
      <rPr>
        <sz val="12"/>
        <color theme="8" tint="-0.499984740745262"/>
        <rFont val="Times New Roman"/>
        <family val="1"/>
      </rPr>
      <t>)  Complete the following aggregate loss probability table:</t>
    </r>
  </si>
  <si>
    <t>Aggregate Losses (millions)</t>
  </si>
  <si>
    <t>Underwriting Result 
(millions)</t>
  </si>
  <si>
    <t>The finite risk cover has the following terms:</t>
  </si>
  <si>
    <t xml:space="preserve">• Annual Premium:  </t>
  </si>
  <si>
    <t xml:space="preserve">• Limit:  </t>
  </si>
  <si>
    <t xml:space="preserve">• Profit Commission: </t>
  </si>
  <si>
    <t xml:space="preserve">• Additional Premium: </t>
  </si>
  <si>
    <t>Aggregate Losses (million)</t>
  </si>
  <si>
    <t>Loss above Retention</t>
  </si>
  <si>
    <t>Loss in Layer</t>
  </si>
  <si>
    <t>Covered ALAE</t>
  </si>
  <si>
    <t>(a)</t>
  </si>
  <si>
    <r>
      <t>(</t>
    </r>
    <r>
      <rPr>
        <i/>
        <sz val="12"/>
        <color theme="8" tint="-0.499984740745262"/>
        <rFont val="Times New Roman"/>
        <family val="1"/>
      </rPr>
      <t>0.5 points</t>
    </r>
    <r>
      <rPr>
        <sz val="12"/>
        <color theme="8" tint="-0.499984740745262"/>
        <rFont val="Times New Roman"/>
        <family val="1"/>
      </rPr>
      <t xml:space="preserve">)  Calculate the funds generating coefficient estimate, </t>
    </r>
    <r>
      <rPr>
        <i/>
        <sz val="12"/>
        <color theme="8" tint="-0.499984740745262"/>
        <rFont val="Times New Roman"/>
        <family val="1"/>
      </rPr>
      <t>k</t>
    </r>
    <r>
      <rPr>
        <sz val="12"/>
        <color theme="8" tint="-0.499984740745262"/>
        <rFont val="Times New Roman"/>
        <family val="1"/>
      </rPr>
      <t>.</t>
    </r>
  </si>
  <si>
    <t>G at the beginning of the interval</t>
  </si>
  <si>
    <t>G at the end of the interval</t>
  </si>
  <si>
    <t>Marginal Variance</t>
  </si>
  <si>
    <r>
      <t>(b)               (</t>
    </r>
    <r>
      <rPr>
        <i/>
        <sz val="12"/>
        <color theme="8" tint="-0.499984740745262"/>
        <rFont val="Times New Roman"/>
        <family val="1"/>
      </rPr>
      <t>2 points</t>
    </r>
    <r>
      <rPr>
        <sz val="12"/>
        <color theme="8" tint="-0.499984740745262"/>
        <rFont val="Times New Roman"/>
        <family val="1"/>
      </rPr>
      <t>) Verify the following underwriting results for Specialist:</t>
    </r>
  </si>
  <si>
    <t>(ii)    A loss of 1.125 million if aggregate losses are 5 million.</t>
  </si>
  <si>
    <t>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</si>
</sst>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
    <numFmt numFmtId="165" formatCode="0.0000"/>
    <numFmt numFmtId="166" formatCode="_(* #,##0.000_);_(* \(#,##0.000\);_(* &quot;-&quot;??_);_(@_)"/>
    <numFmt numFmtId="167" formatCode="_(* #,##0_);_(* \(#,##0\);_(* &quot;-&quot;??_);_(@_)"/>
    <numFmt numFmtId="168" formatCode="0.0%"/>
    <numFmt numFmtId="169" formatCode="[$-409]mmmm\ d\,\ yyyy;@"/>
    <numFmt numFmtId="170" formatCode="0.000%"/>
  </numFmts>
  <fonts count="41" x14ac:knownFonts="1">
    <font>
      <sz val="11"/>
      <color theme="1"/>
      <name val="Calibri"/>
      <family val="2"/>
      <scheme val="minor"/>
    </font>
    <font>
      <sz val="12"/>
      <color theme="1"/>
      <name val="Times New Roman"/>
      <family val="1"/>
    </font>
    <font>
      <sz val="12"/>
      <color rgb="FF002060"/>
      <name val="Times New Roman"/>
      <family val="1"/>
    </font>
    <font>
      <sz val="11"/>
      <color rgb="FF002060"/>
      <name val="Calibri"/>
      <family val="2"/>
      <scheme val="minor"/>
    </font>
    <font>
      <sz val="11"/>
      <color theme="8" tint="-0.499984740745262"/>
      <name val="Calibri"/>
      <family val="2"/>
      <scheme val="minor"/>
    </font>
    <font>
      <sz val="12"/>
      <color theme="8" tint="-0.499984740745262"/>
      <name val="Times New Roman"/>
      <family val="1"/>
    </font>
    <font>
      <i/>
      <sz val="12"/>
      <color theme="8" tint="-0.499984740745262"/>
      <name val="Times New Roman"/>
      <family val="1"/>
    </font>
    <font>
      <b/>
      <sz val="12"/>
      <color theme="8" tint="-0.499984740745262"/>
      <name val="Times New Roman"/>
      <family val="1"/>
    </font>
    <font>
      <sz val="7"/>
      <color theme="8" tint="-0.499984740745262"/>
      <name val="Times New Roman"/>
      <family val="1"/>
    </font>
    <font>
      <sz val="12"/>
      <name val="Times New Roman"/>
      <family val="1"/>
    </font>
    <font>
      <sz val="11"/>
      <color theme="1"/>
      <name val="Calibri"/>
      <family val="2"/>
      <scheme val="minor"/>
    </font>
    <font>
      <sz val="11"/>
      <color theme="1"/>
      <name val="Times New Roman"/>
      <family val="1"/>
    </font>
    <font>
      <sz val="11"/>
      <color theme="8" tint="-0.499984740745262"/>
      <name val="Times New Roman"/>
      <family val="1"/>
    </font>
    <font>
      <b/>
      <sz val="12"/>
      <color theme="1"/>
      <name val="Times New Roman"/>
      <family val="1"/>
    </font>
    <font>
      <b/>
      <i/>
      <sz val="12"/>
      <color theme="8" tint="-0.499984740745262"/>
      <name val="Times New Roman"/>
      <family val="1"/>
    </font>
    <font>
      <b/>
      <sz val="12"/>
      <color rgb="FF002060"/>
      <name val="Times New Roman"/>
      <family val="1"/>
    </font>
    <font>
      <b/>
      <i/>
      <sz val="12"/>
      <color theme="4" tint="-0.499984740745262"/>
      <name val="Times New Roman"/>
      <family val="1"/>
    </font>
    <font>
      <i/>
      <sz val="12"/>
      <color theme="4" tint="-0.499984740745262"/>
      <name val="Times New Roman"/>
      <family val="1"/>
    </font>
    <font>
      <i/>
      <sz val="12"/>
      <name val="Times New Roman"/>
      <family val="1"/>
    </font>
    <font>
      <sz val="12"/>
      <color theme="4" tint="-0.499984740745262"/>
      <name val="Times New Roman"/>
      <family val="1"/>
    </font>
    <font>
      <i/>
      <vertAlign val="subscript"/>
      <sz val="12"/>
      <color theme="8" tint="-0.499984740745262"/>
      <name val="Times New Roman"/>
      <family val="1"/>
    </font>
    <font>
      <vertAlign val="superscript"/>
      <sz val="12"/>
      <color theme="8" tint="-0.499984740745262"/>
      <name val="Times New Roman"/>
      <family val="1"/>
    </font>
    <font>
      <i/>
      <sz val="12"/>
      <color theme="1"/>
      <name val="Times New Roman"/>
      <family val="1"/>
    </font>
    <font>
      <i/>
      <sz val="11"/>
      <color theme="1"/>
      <name val="Calibri"/>
      <family val="2"/>
      <scheme val="minor"/>
    </font>
    <font>
      <i/>
      <vertAlign val="subscript"/>
      <sz val="12"/>
      <color theme="1"/>
      <name val="Times New Roman"/>
      <family val="1"/>
    </font>
    <font>
      <vertAlign val="superscript"/>
      <sz val="12"/>
      <color theme="1"/>
      <name val="Times New Roman"/>
      <family val="1"/>
    </font>
    <font>
      <b/>
      <sz val="11"/>
      <color theme="1"/>
      <name val="Times New Roman"/>
      <family val="1"/>
    </font>
    <font>
      <b/>
      <sz val="14"/>
      <color rgb="FF002060"/>
      <name val="Times New Roman"/>
      <family val="1"/>
    </font>
    <font>
      <i/>
      <vertAlign val="superscript"/>
      <sz val="12"/>
      <name val="Times New Roman"/>
      <family val="1"/>
    </font>
    <font>
      <i/>
      <vertAlign val="subscript"/>
      <sz val="12"/>
      <name val="Times New Roman"/>
      <family val="1"/>
    </font>
    <font>
      <i/>
      <vertAlign val="superscript"/>
      <sz val="12"/>
      <color theme="8" tint="-0.499984740745262"/>
      <name val="Times New Roman"/>
      <family val="1"/>
    </font>
    <font>
      <sz val="12"/>
      <color theme="8" tint="-0.499984740745262"/>
      <name val="Calibri"/>
      <family val="2"/>
    </font>
    <font>
      <vertAlign val="subscript"/>
      <sz val="12"/>
      <color theme="8" tint="-0.499984740745262"/>
      <name val="Times New Roman"/>
      <family val="1"/>
    </font>
    <font>
      <i/>
      <sz val="12"/>
      <color theme="8" tint="-0.499984740745262"/>
      <name val="Calibri"/>
      <family val="2"/>
    </font>
    <font>
      <i/>
      <sz val="12"/>
      <color rgb="FF002060"/>
      <name val="Times New Roman"/>
      <family val="1"/>
    </font>
    <font>
      <b/>
      <i/>
      <sz val="12"/>
      <color rgb="FF002060"/>
      <name val="Times New Roman"/>
      <family val="1"/>
    </font>
    <font>
      <sz val="12"/>
      <color rgb="FF002060"/>
      <name val="Times New Roman"/>
      <family val="2"/>
    </font>
    <font>
      <i/>
      <sz val="12"/>
      <color rgb="FF002060"/>
      <name val="Calibri"/>
      <family val="2"/>
    </font>
    <font>
      <i/>
      <sz val="12"/>
      <color rgb="FF002060"/>
      <name val="Calibri"/>
      <family val="2"/>
      <scheme val="minor"/>
    </font>
    <font>
      <sz val="12"/>
      <color rgb="FF002060"/>
      <name val="Calibri"/>
      <family val="2"/>
    </font>
    <font>
      <i/>
      <vertAlign val="subscript"/>
      <sz val="12"/>
      <color rgb="FF002060"/>
      <name val="Times New Roman"/>
      <family val="1"/>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66">
    <xf numFmtId="0" fontId="0" fillId="0" borderId="0" xfId="0"/>
    <xf numFmtId="0" fontId="3" fillId="3" borderId="0" xfId="0" applyFont="1" applyFill="1"/>
    <xf numFmtId="0" fontId="2" fillId="3" borderId="0" xfId="0" applyFont="1" applyFill="1" applyAlignment="1">
      <alignment vertical="center"/>
    </xf>
    <xf numFmtId="0" fontId="1" fillId="3" borderId="0" xfId="0" applyFont="1" applyFill="1"/>
    <xf numFmtId="0" fontId="2" fillId="3" borderId="0" xfId="0" applyFont="1" applyFill="1"/>
    <xf numFmtId="0" fontId="4" fillId="3" borderId="0" xfId="0" applyFont="1" applyFill="1"/>
    <xf numFmtId="0" fontId="5" fillId="3" borderId="0" xfId="0" applyFont="1" applyFill="1"/>
    <xf numFmtId="0" fontId="1" fillId="0" borderId="0" xfId="0" applyFont="1"/>
    <xf numFmtId="0" fontId="1" fillId="0" borderId="0" xfId="0" applyFont="1" applyFill="1"/>
    <xf numFmtId="0" fontId="5" fillId="3" borderId="1" xfId="0" applyFont="1" applyFill="1" applyBorder="1"/>
    <xf numFmtId="0" fontId="5" fillId="3" borderId="0" xfId="0" applyFont="1" applyFill="1" applyAlignment="1">
      <alignment horizontal="left" vertical="center" indent="5"/>
    </xf>
    <xf numFmtId="0" fontId="5" fillId="4" borderId="0" xfId="0" applyFont="1" applyFill="1" applyAlignment="1">
      <alignment horizontal="center"/>
    </xf>
    <xf numFmtId="0" fontId="5" fillId="2" borderId="0" xfId="0" applyFont="1" applyFill="1" applyAlignment="1">
      <alignment horizontal="center"/>
    </xf>
    <xf numFmtId="0" fontId="1" fillId="0" borderId="0" xfId="0" applyFont="1" applyAlignment="1">
      <alignment horizontal="center"/>
    </xf>
    <xf numFmtId="0" fontId="9" fillId="0" borderId="0" xfId="0" applyFont="1"/>
    <xf numFmtId="0" fontId="1" fillId="0" borderId="1" xfId="0" applyFont="1" applyBorder="1"/>
    <xf numFmtId="0" fontId="1" fillId="0" borderId="1" xfId="0" applyFont="1" applyBorder="1" applyAlignment="1">
      <alignment horizontal="center"/>
    </xf>
    <xf numFmtId="0" fontId="11" fillId="0" borderId="0" xfId="0" applyFont="1" applyFill="1"/>
    <xf numFmtId="0" fontId="11" fillId="0" borderId="0" xfId="0" applyFont="1" applyFill="1" applyAlignment="1">
      <alignment horizontal="right"/>
    </xf>
    <xf numFmtId="165" fontId="1" fillId="0" borderId="0" xfId="0" applyNumberFormat="1" applyFont="1"/>
    <xf numFmtId="0" fontId="12" fillId="3" borderId="0" xfId="0" applyFont="1" applyFill="1"/>
    <xf numFmtId="167" fontId="1" fillId="0" borderId="1" xfId="1" applyNumberFormat="1" applyFont="1" applyBorder="1"/>
    <xf numFmtId="9" fontId="1" fillId="0" borderId="0" xfId="0" applyNumberFormat="1" applyFont="1"/>
    <xf numFmtId="167" fontId="1" fillId="0" borderId="0" xfId="1" applyNumberFormat="1" applyFont="1"/>
    <xf numFmtId="0" fontId="5" fillId="3" borderId="0" xfId="0" applyFont="1" applyFill="1" applyAlignment="1">
      <alignment vertical="center"/>
    </xf>
    <xf numFmtId="0" fontId="7" fillId="3" borderId="1" xfId="0" applyFont="1" applyFill="1" applyBorder="1" applyAlignment="1">
      <alignment horizontal="center" wrapText="1"/>
    </xf>
    <xf numFmtId="167" fontId="5" fillId="3" borderId="1" xfId="1" applyNumberFormat="1" applyFont="1" applyFill="1" applyBorder="1"/>
    <xf numFmtId="167" fontId="1" fillId="0" borderId="1" xfId="0" applyNumberFormat="1" applyFont="1" applyBorder="1"/>
    <xf numFmtId="2" fontId="1" fillId="0" borderId="1" xfId="0" applyNumberFormat="1" applyFont="1" applyBorder="1"/>
    <xf numFmtId="0" fontId="1" fillId="0" borderId="1" xfId="0" applyFont="1" applyBorder="1" applyAlignment="1">
      <alignment horizontal="center" wrapText="1"/>
    </xf>
    <xf numFmtId="14" fontId="1" fillId="0" borderId="1" xfId="0" applyNumberFormat="1" applyFont="1" applyBorder="1"/>
    <xf numFmtId="43" fontId="1" fillId="0" borderId="1" xfId="0" applyNumberFormat="1" applyFont="1" applyBorder="1"/>
    <xf numFmtId="168" fontId="13" fillId="0" borderId="0" xfId="2" applyNumberFormat="1" applyFont="1"/>
    <xf numFmtId="0" fontId="5" fillId="3" borderId="0" xfId="0" applyFont="1" applyFill="1" applyAlignment="1">
      <alignment horizontal="left" vertical="center" indent="2"/>
    </xf>
    <xf numFmtId="9" fontId="1" fillId="0" borderId="1" xfId="2" applyFont="1" applyBorder="1"/>
    <xf numFmtId="43" fontId="1" fillId="0" borderId="0" xfId="0" applyNumberFormat="1" applyFont="1"/>
    <xf numFmtId="0" fontId="3" fillId="3" borderId="3" xfId="0" applyFont="1" applyFill="1" applyBorder="1"/>
    <xf numFmtId="37" fontId="5" fillId="3" borderId="1" xfId="1" applyNumberFormat="1" applyFont="1" applyFill="1" applyBorder="1"/>
    <xf numFmtId="0" fontId="1" fillId="0" borderId="1" xfId="0" applyFont="1" applyFill="1" applyBorder="1"/>
    <xf numFmtId="0" fontId="5" fillId="3" borderId="0" xfId="0" applyFont="1" applyFill="1" applyAlignment="1">
      <alignment horizontal="center"/>
    </xf>
    <xf numFmtId="169" fontId="5" fillId="3" borderId="1" xfId="0" applyNumberFormat="1" applyFont="1" applyFill="1" applyBorder="1" applyAlignment="1">
      <alignment horizontal="center"/>
    </xf>
    <xf numFmtId="3" fontId="5" fillId="3" borderId="1" xfId="0" applyNumberFormat="1" applyFont="1" applyFill="1" applyBorder="1"/>
    <xf numFmtId="0" fontId="1" fillId="3" borderId="1" xfId="0" applyFont="1" applyFill="1" applyBorder="1"/>
    <xf numFmtId="37" fontId="5" fillId="3" borderId="0" xfId="1" applyNumberFormat="1" applyFont="1" applyFill="1" applyAlignment="1">
      <alignment horizontal="center"/>
    </xf>
    <xf numFmtId="10" fontId="5" fillId="3" borderId="1" xfId="0" applyNumberFormat="1" applyFont="1" applyFill="1" applyBorder="1"/>
    <xf numFmtId="9" fontId="5" fillId="3" borderId="0" xfId="0" applyNumberFormat="1" applyFont="1" applyFill="1" applyAlignment="1">
      <alignment horizontal="center"/>
    </xf>
    <xf numFmtId="0" fontId="6" fillId="3" borderId="1" xfId="0" applyFont="1" applyFill="1" applyBorder="1" applyAlignment="1">
      <alignment horizontal="right"/>
    </xf>
    <xf numFmtId="0" fontId="5" fillId="3" borderId="1" xfId="0" applyFont="1" applyFill="1" applyBorder="1" applyAlignment="1">
      <alignment horizontal="center" vertical="center"/>
    </xf>
    <xf numFmtId="2" fontId="5" fillId="3" borderId="1" xfId="1" applyNumberFormat="1" applyFont="1" applyFill="1" applyBorder="1" applyAlignment="1">
      <alignment horizontal="center"/>
    </xf>
    <xf numFmtId="0" fontId="1" fillId="3" borderId="0" xfId="0" quotePrefix="1" applyFont="1" applyFill="1"/>
    <xf numFmtId="9" fontId="2" fillId="3" borderId="4" xfId="2" applyFont="1" applyFill="1" applyBorder="1" applyAlignment="1">
      <alignment vertical="center"/>
    </xf>
    <xf numFmtId="9" fontId="2" fillId="3" borderId="4" xfId="0" applyNumberFormat="1" applyFont="1" applyFill="1" applyBorder="1" applyAlignment="1">
      <alignment vertical="center"/>
    </xf>
    <xf numFmtId="0" fontId="2" fillId="3" borderId="4" xfId="0" applyFont="1" applyFill="1" applyBorder="1" applyAlignment="1">
      <alignment vertical="center"/>
    </xf>
    <xf numFmtId="9" fontId="2" fillId="3" borderId="5" xfId="2" applyFont="1" applyFill="1" applyBorder="1" applyAlignment="1">
      <alignment vertical="center"/>
    </xf>
    <xf numFmtId="0" fontId="3" fillId="3" borderId="6" xfId="0" applyFont="1" applyFill="1" applyBorder="1"/>
    <xf numFmtId="0" fontId="15" fillId="3" borderId="1" xfId="0" applyFont="1" applyFill="1" applyBorder="1" applyAlignment="1">
      <alignment horizontal="center"/>
    </xf>
    <xf numFmtId="0" fontId="2" fillId="3" borderId="1" xfId="0" applyFont="1" applyFill="1" applyBorder="1" applyAlignment="1">
      <alignment horizontal="center"/>
    </xf>
    <xf numFmtId="0" fontId="16" fillId="3" borderId="0" xfId="0" applyFont="1" applyFill="1"/>
    <xf numFmtId="0" fontId="6" fillId="3" borderId="0" xfId="0" applyFont="1" applyFill="1"/>
    <xf numFmtId="0" fontId="17" fillId="3" borderId="0" xfId="0" applyFont="1" applyFill="1"/>
    <xf numFmtId="0" fontId="18" fillId="3" borderId="1" xfId="0" applyFont="1" applyFill="1" applyBorder="1" applyAlignment="1">
      <alignment horizontal="center"/>
    </xf>
    <xf numFmtId="0" fontId="19" fillId="3" borderId="0" xfId="0" applyFont="1" applyFill="1"/>
    <xf numFmtId="0" fontId="6" fillId="3" borderId="1" xfId="0" applyFont="1" applyFill="1" applyBorder="1"/>
    <xf numFmtId="0" fontId="14" fillId="3" borderId="0" xfId="0" applyFont="1" applyFill="1"/>
    <xf numFmtId="0" fontId="0" fillId="3" borderId="0" xfId="0" applyFill="1"/>
    <xf numFmtId="0" fontId="5" fillId="4" borderId="0" xfId="0" applyFont="1" applyFill="1" applyAlignment="1">
      <alignment horizontal="center" vertical="center"/>
    </xf>
    <xf numFmtId="0" fontId="5" fillId="3" borderId="0" xfId="0" applyFont="1" applyFill="1" applyAlignment="1">
      <alignment horizontal="left" vertical="center"/>
    </xf>
    <xf numFmtId="0" fontId="22" fillId="3" borderId="0" xfId="0" applyFont="1" applyFill="1" applyAlignment="1">
      <alignment horizontal="center"/>
    </xf>
    <xf numFmtId="0" fontId="23" fillId="3" borderId="0" xfId="0" applyFont="1" applyFill="1"/>
    <xf numFmtId="0" fontId="5" fillId="3" borderId="0" xfId="0" applyFont="1" applyFill="1" applyAlignment="1">
      <alignment horizontal="center" vertical="center"/>
    </xf>
    <xf numFmtId="0" fontId="5" fillId="6" borderId="0" xfId="0" applyFont="1" applyFill="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horizontal="left" vertical="center" indent="8"/>
    </xf>
    <xf numFmtId="0" fontId="5" fillId="5" borderId="0" xfId="0" applyFont="1" applyFill="1" applyAlignment="1">
      <alignment horizontal="center" vertical="center"/>
    </xf>
    <xf numFmtId="0" fontId="22" fillId="0" borderId="1" xfId="0" applyFont="1" applyBorder="1" applyAlignment="1">
      <alignment horizontal="center"/>
    </xf>
    <xf numFmtId="164" fontId="5" fillId="6" borderId="1" xfId="0" applyNumberFormat="1" applyFont="1" applyFill="1" applyBorder="1"/>
    <xf numFmtId="3" fontId="5" fillId="6" borderId="1" xfId="0" applyNumberFormat="1" applyFont="1" applyFill="1" applyBorder="1"/>
    <xf numFmtId="0" fontId="5" fillId="0" borderId="1" xfId="0" applyFont="1" applyBorder="1" applyAlignment="1">
      <alignment horizontal="center"/>
    </xf>
    <xf numFmtId="164" fontId="5" fillId="4" borderId="1" xfId="0" applyNumberFormat="1" applyFont="1" applyFill="1" applyBorder="1"/>
    <xf numFmtId="164" fontId="1" fillId="4" borderId="1" xfId="0" applyNumberFormat="1" applyFont="1" applyFill="1" applyBorder="1"/>
    <xf numFmtId="0" fontId="5" fillId="5" borderId="0" xfId="0" applyFont="1" applyFill="1" applyAlignment="1">
      <alignment horizontal="center"/>
    </xf>
    <xf numFmtId="0" fontId="7" fillId="0" borderId="1" xfId="0" applyFont="1" applyBorder="1" applyAlignment="1">
      <alignment horizontal="center" vertical="top"/>
    </xf>
    <xf numFmtId="0" fontId="5" fillId="0" borderId="1" xfId="0" applyFont="1" applyBorder="1" applyAlignment="1">
      <alignment horizontal="center" vertical="top"/>
    </xf>
    <xf numFmtId="0" fontId="5" fillId="5" borderId="1" xfId="0" applyFont="1" applyFill="1" applyBorder="1" applyAlignment="1">
      <alignment horizontal="center" vertical="top" wrapText="1"/>
    </xf>
    <xf numFmtId="3" fontId="5" fillId="0" borderId="1" xfId="0" applyNumberFormat="1" applyFont="1" applyBorder="1"/>
    <xf numFmtId="3" fontId="5" fillId="5" borderId="1" xfId="0" applyNumberFormat="1" applyFont="1" applyFill="1" applyBorder="1"/>
    <xf numFmtId="3" fontId="1" fillId="2" borderId="1" xfId="0" applyNumberFormat="1" applyFont="1" applyFill="1" applyBorder="1"/>
    <xf numFmtId="3" fontId="1" fillId="5" borderId="1" xfId="0" applyNumberFormat="1" applyFont="1" applyFill="1" applyBorder="1"/>
    <xf numFmtId="3" fontId="5" fillId="2" borderId="1" xfId="0" applyNumberFormat="1" applyFont="1" applyFill="1" applyBorder="1"/>
    <xf numFmtId="0" fontId="5" fillId="3" borderId="0" xfId="0" applyFont="1" applyFill="1" applyAlignment="1">
      <alignment horizontal="left"/>
    </xf>
    <xf numFmtId="0" fontId="5" fillId="0" borderId="0" xfId="0" applyFont="1" applyFill="1"/>
    <xf numFmtId="170" fontId="1" fillId="7" borderId="0" xfId="2" applyNumberFormat="1" applyFont="1" applyFill="1"/>
    <xf numFmtId="0" fontId="5" fillId="3" borderId="0" xfId="0" applyFont="1" applyFill="1" applyAlignment="1">
      <alignment horizontal="center" vertical="center" wrapText="1"/>
    </xf>
    <xf numFmtId="0" fontId="5" fillId="0" borderId="0" xfId="0" applyFont="1"/>
    <xf numFmtId="0" fontId="5" fillId="3" borderId="0" xfId="0" applyFont="1" applyFill="1" applyAlignment="1">
      <alignment horizontal="right" vertical="center" indent="2"/>
    </xf>
    <xf numFmtId="0" fontId="5" fillId="3" borderId="0" xfId="0" applyFont="1" applyFill="1" applyAlignment="1">
      <alignment horizontal="left" vertical="center" indent="10"/>
    </xf>
    <xf numFmtId="0" fontId="26" fillId="7" borderId="0" xfId="0" applyFont="1" applyFill="1"/>
    <xf numFmtId="0" fontId="2" fillId="3" borderId="2" xfId="0" applyFont="1" applyFill="1" applyBorder="1"/>
    <xf numFmtId="0" fontId="2" fillId="3" borderId="3" xfId="0" applyFont="1" applyFill="1" applyBorder="1"/>
    <xf numFmtId="0" fontId="2" fillId="3" borderId="4" xfId="0" applyFont="1" applyFill="1" applyBorder="1"/>
    <xf numFmtId="0" fontId="2" fillId="3" borderId="0" xfId="0" applyFont="1" applyFill="1" applyAlignment="1">
      <alignment vertical="top" wrapText="1"/>
    </xf>
    <xf numFmtId="0" fontId="5" fillId="3" borderId="0" xfId="0" applyFont="1" applyFill="1" applyAlignment="1">
      <alignment vertical="top" wrapText="1"/>
    </xf>
    <xf numFmtId="0" fontId="27" fillId="8" borderId="0" xfId="0" applyFont="1" applyFill="1"/>
    <xf numFmtId="0" fontId="2" fillId="8" borderId="0" xfId="0" applyFont="1" applyFill="1"/>
    <xf numFmtId="0" fontId="1" fillId="8" borderId="0" xfId="0" applyFont="1" applyFill="1"/>
    <xf numFmtId="0" fontId="18" fillId="3" borderId="1" xfId="0" applyFont="1" applyFill="1" applyBorder="1" applyAlignment="1">
      <alignment horizont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xf>
    <xf numFmtId="0" fontId="18" fillId="3" borderId="1" xfId="0" applyFont="1" applyFill="1" applyBorder="1" applyAlignment="1">
      <alignment horizontal="center" vertical="center" wrapText="1"/>
    </xf>
    <xf numFmtId="3" fontId="5" fillId="3" borderId="1" xfId="0" applyNumberFormat="1" applyFont="1" applyFill="1" applyBorder="1" applyAlignment="1">
      <alignment horizontal="center"/>
    </xf>
    <xf numFmtId="3" fontId="5" fillId="3" borderId="1" xfId="0" applyNumberFormat="1" applyFont="1" applyFill="1" applyBorder="1" applyAlignment="1">
      <alignment horizontal="right"/>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7" fillId="3" borderId="1" xfId="0" applyFont="1" applyFill="1" applyBorder="1" applyAlignment="1">
      <alignment horizontal="center"/>
    </xf>
    <xf numFmtId="9" fontId="5" fillId="3" borderId="1" xfId="2" applyFont="1" applyFill="1" applyBorder="1" applyAlignment="1">
      <alignment horizontal="center"/>
    </xf>
    <xf numFmtId="9" fontId="5" fillId="3" borderId="0" xfId="2" applyFont="1" applyFill="1" applyBorder="1" applyAlignment="1">
      <alignment horizontal="center"/>
    </xf>
    <xf numFmtId="0" fontId="6" fillId="3" borderId="0" xfId="0" applyFont="1" applyFill="1" applyAlignment="1">
      <alignment horizontal="left" indent="6"/>
    </xf>
    <xf numFmtId="0" fontId="5" fillId="3" borderId="0" xfId="0" applyFont="1" applyFill="1" applyAlignment="1">
      <alignment horizontal="left" indent="5"/>
    </xf>
    <xf numFmtId="0" fontId="6" fillId="3" borderId="0" xfId="0" applyFont="1" applyFill="1" applyAlignment="1">
      <alignment horizontal="left" indent="5"/>
    </xf>
    <xf numFmtId="0" fontId="35" fillId="8" borderId="0" xfId="0" applyFont="1" applyFill="1"/>
    <xf numFmtId="0" fontId="2" fillId="3" borderId="2" xfId="0" applyFont="1" applyFill="1" applyBorder="1" applyAlignment="1">
      <alignment horizontal="left" vertical="center"/>
    </xf>
    <xf numFmtId="0" fontId="2" fillId="3" borderId="1" xfId="0" applyFont="1" applyFill="1" applyBorder="1"/>
    <xf numFmtId="0" fontId="34" fillId="3" borderId="1" xfId="0" applyFont="1" applyFill="1" applyBorder="1" applyAlignment="1">
      <alignment horizontal="center" vertical="center"/>
    </xf>
    <xf numFmtId="0" fontId="36" fillId="3" borderId="1" xfId="0" applyFont="1" applyFill="1" applyBorder="1" applyAlignment="1">
      <alignment horizontal="center" vertical="center"/>
    </xf>
    <xf numFmtId="2" fontId="2" fillId="3" borderId="1" xfId="0" applyNumberFormat="1" applyFont="1" applyFill="1" applyBorder="1" applyAlignment="1">
      <alignment horizontal="center"/>
    </xf>
    <xf numFmtId="2" fontId="2" fillId="3" borderId="0" xfId="0" applyNumberFormat="1" applyFont="1" applyFill="1" applyAlignment="1">
      <alignment horizontal="center"/>
    </xf>
    <xf numFmtId="0" fontId="36" fillId="3" borderId="0" xfId="0" applyFont="1" applyFill="1" applyAlignment="1">
      <alignment horizontal="center" vertical="center"/>
    </xf>
    <xf numFmtId="0" fontId="7" fillId="3"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165" fontId="5" fillId="3" borderId="1" xfId="0" applyNumberFormat="1" applyFont="1" applyFill="1" applyBorder="1" applyAlignment="1">
      <alignment horizontal="center" vertical="center" wrapText="1"/>
    </xf>
    <xf numFmtId="166" fontId="5" fillId="3" borderId="1" xfId="1" applyNumberFormat="1" applyFont="1" applyFill="1" applyBorder="1" applyAlignment="1">
      <alignment horizontal="center" vertical="center" wrapText="1"/>
    </xf>
    <xf numFmtId="10" fontId="1" fillId="0" borderId="0" xfId="2" applyNumberFormat="1" applyFont="1"/>
    <xf numFmtId="0" fontId="1" fillId="0" borderId="0" xfId="0" applyFont="1" applyAlignment="1">
      <alignment wrapText="1"/>
    </xf>
    <xf numFmtId="0" fontId="5" fillId="3" borderId="0" xfId="0" applyFont="1" applyFill="1" applyAlignment="1">
      <alignment vertical="center" wrapText="1"/>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3" xfId="0" applyFont="1" applyFill="1" applyBorder="1" applyAlignment="1">
      <alignment horizontal="center"/>
    </xf>
    <xf numFmtId="0" fontId="2" fillId="3" borderId="0" xfId="0" applyFont="1" applyFill="1" applyAlignment="1">
      <alignment vertical="top" wrapText="1"/>
    </xf>
    <xf numFmtId="0" fontId="2" fillId="3" borderId="2" xfId="0" applyFont="1" applyFill="1" applyBorder="1" applyAlignment="1">
      <alignment vertical="top" wrapText="1"/>
    </xf>
    <xf numFmtId="0" fontId="2" fillId="3" borderId="4" xfId="0" applyFont="1" applyFill="1" applyBorder="1" applyAlignment="1">
      <alignment vertical="top" wrapText="1"/>
    </xf>
    <xf numFmtId="0" fontId="2" fillId="3" borderId="3" xfId="0" applyFont="1" applyFill="1" applyBorder="1" applyAlignment="1">
      <alignment vertical="top" wrapText="1"/>
    </xf>
    <xf numFmtId="0" fontId="2" fillId="3" borderId="2" xfId="0" applyFont="1" applyFill="1" applyBorder="1"/>
    <xf numFmtId="0" fontId="2" fillId="3" borderId="4" xfId="0" applyFont="1" applyFill="1" applyBorder="1"/>
    <xf numFmtId="0" fontId="2" fillId="3" borderId="3" xfId="0" applyFont="1" applyFill="1" applyBorder="1"/>
    <xf numFmtId="9" fontId="2" fillId="3" borderId="2" xfId="2" applyFont="1" applyFill="1" applyBorder="1" applyAlignment="1">
      <alignment horizontal="center"/>
    </xf>
    <xf numFmtId="9" fontId="2" fillId="3" borderId="3" xfId="2" applyFont="1" applyFill="1" applyBorder="1" applyAlignment="1">
      <alignment horizontal="center"/>
    </xf>
    <xf numFmtId="0" fontId="15" fillId="3" borderId="2" xfId="0" applyFont="1" applyFill="1" applyBorder="1" applyAlignment="1">
      <alignment horizontal="center" wrapText="1"/>
    </xf>
    <xf numFmtId="0" fontId="15" fillId="3" borderId="3" xfId="0" applyFont="1" applyFill="1" applyBorder="1" applyAlignment="1">
      <alignment horizontal="center" wrapText="1"/>
    </xf>
    <xf numFmtId="0" fontId="15" fillId="3" borderId="4" xfId="0" applyFont="1" applyFill="1" applyBorder="1" applyAlignment="1">
      <alignment horizontal="center" wrapText="1"/>
    </xf>
    <xf numFmtId="0" fontId="2" fillId="3" borderId="1" xfId="0" applyFont="1" applyFill="1" applyBorder="1" applyAlignment="1">
      <alignment horizontal="center"/>
    </xf>
    <xf numFmtId="0" fontId="15" fillId="3" borderId="1" xfId="0" applyFont="1" applyFill="1" applyBorder="1" applyAlignment="1">
      <alignment horizontal="center"/>
    </xf>
    <xf numFmtId="9" fontId="2" fillId="3" borderId="1" xfId="2" applyFont="1" applyFill="1" applyBorder="1" applyAlignment="1">
      <alignment horizontal="center"/>
    </xf>
    <xf numFmtId="0" fontId="15" fillId="3" borderId="2" xfId="0" applyFont="1" applyFill="1" applyBorder="1"/>
    <xf numFmtId="0" fontId="15" fillId="3" borderId="3" xfId="0" applyFont="1" applyFill="1" applyBorder="1"/>
    <xf numFmtId="0" fontId="7" fillId="0" borderId="0" xfId="0" applyFont="1" applyAlignment="1">
      <alignment horizontal="center"/>
    </xf>
    <xf numFmtId="0" fontId="5" fillId="3" borderId="0" xfId="0" applyFont="1" applyFill="1" applyAlignment="1">
      <alignmen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7" fillId="3" borderId="1" xfId="0" applyFont="1" applyFill="1" applyBorder="1"/>
    <xf numFmtId="0" fontId="5" fillId="3" borderId="1" xfId="0"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'Q3'!$K$8</c:f>
              <c:strCache>
                <c:ptCount val="1"/>
                <c:pt idx="0">
                  <c:v>Normalized residual</c:v>
                </c:pt>
              </c:strCache>
            </c:strRef>
          </c:tx>
          <c:spPr>
            <a:ln w="19050" cap="rnd">
              <a:noFill/>
              <a:round/>
            </a:ln>
            <a:effectLst/>
          </c:spPr>
          <c:marker>
            <c:symbol val="circle"/>
            <c:size val="5"/>
            <c:spPr>
              <a:solidFill>
                <a:schemeClr val="accent1"/>
              </a:solidFill>
              <a:ln w="9525">
                <a:solidFill>
                  <a:schemeClr val="accent1"/>
                </a:solidFill>
              </a:ln>
              <a:effectLst/>
            </c:spPr>
          </c:marker>
          <c:xVal>
            <c:numRef>
              <c:f>'Q3'!$H$9:$H$18</c:f>
              <c:numCache>
                <c:formatCode>General</c:formatCode>
                <c:ptCount val="10"/>
                <c:pt idx="0">
                  <c:v>2998.140930281641</c:v>
                </c:pt>
                <c:pt idx="1">
                  <c:v>1639.6388306211652</c:v>
                </c:pt>
                <c:pt idx="2">
                  <c:v>569.95863159629573</c:v>
                </c:pt>
                <c:pt idx="3">
                  <c:v>289.6301658775817</c:v>
                </c:pt>
                <c:pt idx="4">
                  <c:v>3597.7691163379691</c:v>
                </c:pt>
                <c:pt idx="5">
                  <c:v>1967.5665967453981</c:v>
                </c:pt>
                <c:pt idx="6">
                  <c:v>683.95035791555495</c:v>
                </c:pt>
                <c:pt idx="7">
                  <c:v>4497.2113954224624</c:v>
                </c:pt>
                <c:pt idx="8">
                  <c:v>2459.458245931748</c:v>
                </c:pt>
                <c:pt idx="9">
                  <c:v>5396.6536745069543</c:v>
                </c:pt>
              </c:numCache>
            </c:numRef>
          </c:xVal>
          <c:yVal>
            <c:numRef>
              <c:f>'Q3'!$K$9:$K$18</c:f>
              <c:numCache>
                <c:formatCode>General</c:formatCode>
                <c:ptCount val="10"/>
                <c:pt idx="0">
                  <c:v>-1.3779788184736008</c:v>
                </c:pt>
                <c:pt idx="1">
                  <c:v>0.59984832874908711</c:v>
                </c:pt>
                <c:pt idx="2">
                  <c:v>-0.44384974486215417</c:v>
                </c:pt>
                <c:pt idx="3">
                  <c:v>-0.79771661880091582</c:v>
                </c:pt>
                <c:pt idx="4">
                  <c:v>1.2682448476817034</c:v>
                </c:pt>
                <c:pt idx="5">
                  <c:v>0.11075010265749811</c:v>
                </c:pt>
                <c:pt idx="6">
                  <c:v>1.2512889135349312</c:v>
                </c:pt>
                <c:pt idx="7">
                  <c:v>0.23216120816300093</c:v>
                </c:pt>
                <c:pt idx="8">
                  <c:v>-0.79243579880083492</c:v>
                </c:pt>
                <c:pt idx="9">
                  <c:v>-0.19928399977815087</c:v>
                </c:pt>
              </c:numCache>
            </c:numRef>
          </c:yVal>
          <c:smooth val="0"/>
          <c:extLst>
            <c:ext xmlns:c16="http://schemas.microsoft.com/office/drawing/2014/chart" uri="{C3380CC4-5D6E-409C-BE32-E72D297353CC}">
              <c16:uniqueId val="{00000000-6AB1-407D-9C2E-7E584477D406}"/>
            </c:ext>
          </c:extLst>
        </c:ser>
        <c:dLbls>
          <c:showLegendKey val="0"/>
          <c:showVal val="0"/>
          <c:showCatName val="0"/>
          <c:showSerName val="0"/>
          <c:showPercent val="0"/>
          <c:showBubbleSize val="0"/>
        </c:dLbls>
        <c:axId val="591795720"/>
        <c:axId val="591798016"/>
      </c:scatterChart>
      <c:valAx>
        <c:axId val="591795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98016"/>
        <c:crosses val="autoZero"/>
        <c:crossBetween val="midCat"/>
      </c:valAx>
      <c:valAx>
        <c:axId val="59179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95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68580</xdr:colOff>
      <xdr:row>40</xdr:row>
      <xdr:rowOff>179070</xdr:rowOff>
    </xdr:from>
    <xdr:to>
      <xdr:col>8</xdr:col>
      <xdr:colOff>114300</xdr:colOff>
      <xdr:row>54</xdr:row>
      <xdr:rowOff>87630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200025</xdr:colOff>
      <xdr:row>37</xdr:row>
      <xdr:rowOff>119062</xdr:rowOff>
    </xdr:from>
    <xdr:ext cx="65" cy="172227"/>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7896225" y="7377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59FF-A44D-4446-A841-33AD054B6D82}">
  <dimension ref="A1:L46"/>
  <sheetViews>
    <sheetView tabSelected="1" zoomScaleNormal="100" workbookViewId="0"/>
  </sheetViews>
  <sheetFormatPr defaultColWidth="9.140625" defaultRowHeight="15.75" x14ac:dyDescent="0.25"/>
  <cols>
    <col min="1" max="1" width="11" style="7" customWidth="1"/>
    <col min="2" max="4" width="18.7109375" style="7" customWidth="1"/>
    <col min="5" max="6" width="12.28515625" style="7" bestFit="1" customWidth="1"/>
    <col min="7" max="8" width="10.42578125" style="7" bestFit="1" customWidth="1"/>
    <col min="9" max="9" width="12.7109375" style="7" bestFit="1" customWidth="1"/>
    <col min="10" max="10" width="21.7109375" style="7" customWidth="1"/>
    <col min="11" max="11" width="12.5703125" style="7" customWidth="1"/>
    <col min="12" max="13" width="12.28515625" style="7" bestFit="1" customWidth="1"/>
    <col min="14" max="16384" width="9.140625" style="7"/>
  </cols>
  <sheetData>
    <row r="1" spans="1:12" ht="18.75" x14ac:dyDescent="0.3">
      <c r="A1" s="102" t="s">
        <v>153</v>
      </c>
      <c r="B1" s="103"/>
      <c r="C1" s="4"/>
      <c r="D1" s="103"/>
      <c r="E1" s="103"/>
      <c r="F1" s="103"/>
      <c r="G1" s="103"/>
      <c r="H1" s="103"/>
      <c r="I1" s="6"/>
      <c r="J1" s="6"/>
      <c r="K1" s="6"/>
      <c r="L1" s="3"/>
    </row>
    <row r="2" spans="1:12" ht="31.5" customHeight="1" x14ac:dyDescent="0.25">
      <c r="A2" s="137" t="s">
        <v>154</v>
      </c>
      <c r="B2" s="137"/>
      <c r="C2" s="137"/>
      <c r="D2" s="137"/>
      <c r="E2" s="137"/>
      <c r="F2" s="137"/>
      <c r="G2" s="137"/>
      <c r="H2" s="137"/>
      <c r="I2" s="6"/>
      <c r="J2" s="6"/>
      <c r="K2" s="6"/>
      <c r="L2" s="3"/>
    </row>
    <row r="3" spans="1:12" x14ac:dyDescent="0.25">
      <c r="A3" s="6"/>
      <c r="B3" s="6"/>
      <c r="C3" s="6"/>
      <c r="D3" s="6"/>
      <c r="E3" s="6"/>
      <c r="F3" s="6"/>
      <c r="G3" s="6"/>
      <c r="H3" s="6"/>
      <c r="I3" s="6"/>
      <c r="J3" s="6"/>
      <c r="K3" s="6"/>
      <c r="L3" s="3"/>
    </row>
    <row r="4" spans="1:12" x14ac:dyDescent="0.25">
      <c r="A4" s="24" t="s">
        <v>58</v>
      </c>
      <c r="B4" s="6"/>
      <c r="C4" s="6"/>
      <c r="D4" s="6"/>
      <c r="E4" s="6"/>
      <c r="F4" s="6"/>
      <c r="G4" s="6"/>
      <c r="H4" s="6"/>
      <c r="I4" s="6"/>
      <c r="J4" s="6"/>
      <c r="K4" s="6"/>
      <c r="L4" s="3"/>
    </row>
    <row r="5" spans="1:12" x14ac:dyDescent="0.25">
      <c r="A5" s="6"/>
      <c r="B5" s="6"/>
      <c r="C5" s="6"/>
      <c r="D5" s="6"/>
      <c r="E5" s="6"/>
      <c r="F5" s="6"/>
      <c r="G5" s="6"/>
      <c r="H5" s="6"/>
      <c r="I5" s="6"/>
      <c r="J5" s="6"/>
      <c r="K5" s="6"/>
      <c r="L5" s="3"/>
    </row>
    <row r="6" spans="1:12" x14ac:dyDescent="0.25">
      <c r="A6" s="6"/>
      <c r="B6" s="138" t="s">
        <v>155</v>
      </c>
      <c r="C6" s="139"/>
      <c r="D6" s="140"/>
      <c r="E6" s="6"/>
      <c r="F6" s="6"/>
      <c r="G6" s="6"/>
      <c r="H6" s="6"/>
      <c r="I6" s="6"/>
      <c r="J6" s="6"/>
      <c r="K6" s="6"/>
      <c r="L6" s="3"/>
    </row>
    <row r="7" spans="1:12" x14ac:dyDescent="0.25">
      <c r="A7" s="6"/>
      <c r="B7" s="25" t="s">
        <v>59</v>
      </c>
      <c r="C7" s="25" t="s">
        <v>60</v>
      </c>
      <c r="D7" s="25" t="s">
        <v>61</v>
      </c>
      <c r="E7" s="6"/>
      <c r="F7" s="6"/>
      <c r="G7" s="6"/>
      <c r="H7" s="6"/>
      <c r="I7" s="6"/>
      <c r="J7" s="6"/>
      <c r="K7" s="6"/>
      <c r="L7" s="3"/>
    </row>
    <row r="8" spans="1:12" x14ac:dyDescent="0.25">
      <c r="A8" s="6"/>
      <c r="B8" s="40">
        <v>42917</v>
      </c>
      <c r="C8" s="26">
        <v>200000</v>
      </c>
      <c r="D8" s="37">
        <v>150000</v>
      </c>
      <c r="E8" s="6"/>
      <c r="F8" s="6"/>
      <c r="G8" s="6"/>
      <c r="H8" s="6"/>
      <c r="I8" s="6"/>
      <c r="J8" s="6"/>
      <c r="K8" s="6"/>
      <c r="L8" s="3"/>
    </row>
    <row r="9" spans="1:12" x14ac:dyDescent="0.25">
      <c r="A9" s="6"/>
      <c r="B9" s="40">
        <v>42917</v>
      </c>
      <c r="C9" s="26">
        <v>350000</v>
      </c>
      <c r="D9" s="37">
        <v>400000</v>
      </c>
      <c r="E9" s="6"/>
      <c r="F9" s="6"/>
      <c r="G9" s="6"/>
      <c r="H9" s="6"/>
      <c r="I9" s="6"/>
      <c r="J9" s="6"/>
      <c r="K9" s="6"/>
      <c r="L9" s="3"/>
    </row>
    <row r="10" spans="1:12" x14ac:dyDescent="0.25">
      <c r="A10" s="6"/>
      <c r="B10" s="40">
        <v>43282</v>
      </c>
      <c r="C10" s="26">
        <v>225000</v>
      </c>
      <c r="D10" s="37">
        <v>0</v>
      </c>
      <c r="E10" s="6"/>
      <c r="F10" s="6"/>
      <c r="G10" s="6"/>
      <c r="H10" s="6"/>
      <c r="I10" s="6"/>
      <c r="J10" s="6"/>
      <c r="K10" s="6"/>
      <c r="L10" s="3"/>
    </row>
    <row r="11" spans="1:12" x14ac:dyDescent="0.25">
      <c r="A11" s="6"/>
      <c r="B11" s="40">
        <v>43282</v>
      </c>
      <c r="C11" s="26">
        <v>900000</v>
      </c>
      <c r="D11" s="37">
        <v>450000</v>
      </c>
      <c r="E11" s="6"/>
      <c r="F11" s="6"/>
      <c r="G11" s="6"/>
      <c r="H11" s="6"/>
      <c r="I11" s="6"/>
      <c r="J11" s="6"/>
      <c r="K11" s="6"/>
      <c r="L11" s="3"/>
    </row>
    <row r="12" spans="1:12" x14ac:dyDescent="0.25">
      <c r="A12" s="6"/>
      <c r="B12" s="40">
        <v>43647</v>
      </c>
      <c r="C12" s="26">
        <v>250000</v>
      </c>
      <c r="D12" s="37">
        <v>50000</v>
      </c>
      <c r="E12" s="6"/>
      <c r="F12" s="6"/>
      <c r="G12" s="6"/>
      <c r="H12" s="6"/>
      <c r="I12" s="6"/>
      <c r="J12" s="6"/>
      <c r="K12" s="6"/>
      <c r="L12" s="3"/>
    </row>
    <row r="13" spans="1:12" x14ac:dyDescent="0.25">
      <c r="A13" s="6"/>
      <c r="B13" s="40">
        <v>43647</v>
      </c>
      <c r="C13" s="26">
        <v>800000</v>
      </c>
      <c r="D13" s="37">
        <v>275000</v>
      </c>
      <c r="E13" s="6"/>
      <c r="F13" s="6"/>
      <c r="G13" s="6"/>
      <c r="H13" s="6"/>
      <c r="I13" s="6"/>
      <c r="J13" s="6"/>
      <c r="K13" s="6"/>
      <c r="L13" s="3"/>
    </row>
    <row r="14" spans="1:12" x14ac:dyDescent="0.25">
      <c r="A14" s="6"/>
      <c r="B14" s="6"/>
      <c r="C14" s="6"/>
      <c r="D14" s="6"/>
      <c r="E14" s="6"/>
      <c r="F14" s="6"/>
      <c r="G14" s="6"/>
      <c r="H14" s="6"/>
      <c r="I14" s="6"/>
      <c r="J14" s="6"/>
      <c r="K14" s="6"/>
      <c r="L14" s="3"/>
    </row>
    <row r="15" spans="1:12" x14ac:dyDescent="0.25">
      <c r="A15" s="6" t="s">
        <v>62</v>
      </c>
      <c r="B15" s="6"/>
      <c r="C15" s="6"/>
      <c r="D15" s="6"/>
      <c r="E15" s="6"/>
      <c r="F15" s="6"/>
      <c r="G15" s="6"/>
      <c r="H15" s="6"/>
      <c r="I15" s="6"/>
      <c r="J15" s="9" t="s">
        <v>104</v>
      </c>
      <c r="K15" s="41">
        <v>200000</v>
      </c>
      <c r="L15" s="42"/>
    </row>
    <row r="16" spans="1:12" x14ac:dyDescent="0.25">
      <c r="A16" s="6" t="s">
        <v>105</v>
      </c>
      <c r="B16" s="6"/>
      <c r="C16" s="6"/>
      <c r="D16" s="6"/>
      <c r="E16" s="6"/>
      <c r="F16" s="6"/>
      <c r="G16" s="6"/>
      <c r="H16" s="6"/>
      <c r="I16" s="6"/>
      <c r="J16" s="9" t="s">
        <v>106</v>
      </c>
      <c r="K16" s="41">
        <v>1000000</v>
      </c>
      <c r="L16" s="42"/>
    </row>
    <row r="17" spans="1:12" x14ac:dyDescent="0.25">
      <c r="A17" s="6" t="s">
        <v>107</v>
      </c>
      <c r="B17" s="6"/>
      <c r="C17" s="43"/>
      <c r="D17" s="6"/>
      <c r="E17" s="6"/>
      <c r="F17" s="6"/>
      <c r="G17" s="6"/>
      <c r="H17" s="6"/>
      <c r="I17" s="6"/>
      <c r="J17" s="9" t="s">
        <v>156</v>
      </c>
      <c r="K17" s="41">
        <v>10000000</v>
      </c>
      <c r="L17" s="9" t="s">
        <v>108</v>
      </c>
    </row>
    <row r="18" spans="1:12" x14ac:dyDescent="0.25">
      <c r="A18" s="6" t="s">
        <v>63</v>
      </c>
      <c r="B18" s="6"/>
      <c r="C18" s="6"/>
      <c r="D18" s="6"/>
      <c r="E18" s="6"/>
      <c r="F18" s="6"/>
      <c r="G18" s="6"/>
      <c r="H18" s="6"/>
      <c r="I18" s="6"/>
      <c r="J18" s="9"/>
      <c r="K18" s="44"/>
      <c r="L18" s="9"/>
    </row>
    <row r="19" spans="1:12" x14ac:dyDescent="0.25">
      <c r="A19" s="6" t="s">
        <v>109</v>
      </c>
      <c r="B19" s="6"/>
      <c r="C19" s="45"/>
      <c r="D19" s="6"/>
      <c r="E19" s="6"/>
      <c r="F19" s="6"/>
      <c r="G19" s="6"/>
      <c r="H19" s="6"/>
      <c r="I19" s="6"/>
      <c r="J19" s="9" t="s">
        <v>110</v>
      </c>
      <c r="K19" s="44">
        <v>0.05</v>
      </c>
      <c r="L19" s="9" t="s">
        <v>108</v>
      </c>
    </row>
    <row r="20" spans="1:12" x14ac:dyDescent="0.25">
      <c r="A20" s="6" t="s">
        <v>111</v>
      </c>
      <c r="B20" s="6"/>
      <c r="C20" s="6"/>
      <c r="D20" s="6"/>
      <c r="E20" s="6"/>
      <c r="F20" s="6"/>
      <c r="G20" s="6"/>
      <c r="H20" s="6"/>
      <c r="I20" s="6"/>
      <c r="J20" s="9"/>
      <c r="K20" s="46" t="s">
        <v>112</v>
      </c>
      <c r="L20" s="46" t="s">
        <v>113</v>
      </c>
    </row>
    <row r="21" spans="1:12" x14ac:dyDescent="0.25">
      <c r="A21" s="6"/>
      <c r="B21" s="6"/>
      <c r="C21" s="6"/>
      <c r="D21" s="6"/>
      <c r="E21" s="6"/>
      <c r="F21" s="6"/>
      <c r="G21" s="6"/>
      <c r="H21" s="6"/>
      <c r="I21" s="6"/>
      <c r="J21" s="9" t="s">
        <v>73</v>
      </c>
      <c r="K21" s="41">
        <v>750000</v>
      </c>
      <c r="L21" s="41">
        <v>250000</v>
      </c>
    </row>
    <row r="22" spans="1:12" x14ac:dyDescent="0.25">
      <c r="A22" s="6"/>
      <c r="B22" s="47" t="s">
        <v>64</v>
      </c>
      <c r="C22" s="48">
        <v>2.4</v>
      </c>
      <c r="D22" s="6"/>
      <c r="E22" s="6"/>
      <c r="F22" s="6"/>
      <c r="G22" s="6"/>
      <c r="H22" s="6"/>
      <c r="I22" s="6"/>
      <c r="J22" s="6"/>
      <c r="K22" s="6"/>
      <c r="L22" s="49" t="s">
        <v>114</v>
      </c>
    </row>
    <row r="23" spans="1:12" x14ac:dyDescent="0.25">
      <c r="A23" s="6"/>
      <c r="B23" s="47" t="s">
        <v>65</v>
      </c>
      <c r="C23" s="48">
        <v>1.4</v>
      </c>
      <c r="D23" s="6"/>
      <c r="E23" s="6"/>
      <c r="F23" s="6"/>
      <c r="G23" s="6"/>
      <c r="H23" s="6"/>
      <c r="I23" s="6"/>
      <c r="J23" s="6"/>
      <c r="K23" s="6"/>
      <c r="L23" s="3"/>
    </row>
    <row r="24" spans="1:12" x14ac:dyDescent="0.25">
      <c r="A24" s="6"/>
      <c r="B24" s="47" t="s">
        <v>66</v>
      </c>
      <c r="C24" s="48">
        <v>1.1000000000000001</v>
      </c>
      <c r="D24" s="6"/>
      <c r="E24" s="6"/>
      <c r="F24" s="6"/>
      <c r="G24" s="6"/>
      <c r="H24" s="6"/>
      <c r="I24" s="6"/>
      <c r="J24" s="6"/>
      <c r="K24" s="6"/>
      <c r="L24" s="3"/>
    </row>
    <row r="25" spans="1:12" x14ac:dyDescent="0.25">
      <c r="A25" s="6"/>
      <c r="B25" s="6"/>
      <c r="C25" s="6"/>
      <c r="D25" s="6"/>
      <c r="E25" s="6"/>
      <c r="F25" s="6"/>
      <c r="G25" s="6"/>
      <c r="H25" s="6"/>
      <c r="I25" s="6"/>
      <c r="J25" s="6"/>
      <c r="K25" s="6"/>
      <c r="L25" s="3"/>
    </row>
    <row r="26" spans="1:12" x14ac:dyDescent="0.25">
      <c r="A26" s="6" t="s">
        <v>115</v>
      </c>
      <c r="B26" s="6"/>
      <c r="C26" s="6"/>
      <c r="D26" s="6"/>
      <c r="E26" s="6"/>
      <c r="F26" s="6"/>
      <c r="G26" s="6"/>
      <c r="H26" s="6"/>
      <c r="I26" s="6"/>
      <c r="J26" s="6"/>
      <c r="K26" s="6"/>
      <c r="L26" s="3"/>
    </row>
    <row r="27" spans="1:12" x14ac:dyDescent="0.25">
      <c r="A27" s="7" t="s">
        <v>0</v>
      </c>
    </row>
    <row r="29" spans="1:12" x14ac:dyDescent="0.25">
      <c r="A29" s="7" t="s">
        <v>76</v>
      </c>
      <c r="C29" s="7">
        <v>2021</v>
      </c>
      <c r="F29" s="15" t="s">
        <v>21</v>
      </c>
      <c r="G29" s="15" t="s">
        <v>77</v>
      </c>
    </row>
    <row r="30" spans="1:12" x14ac:dyDescent="0.25">
      <c r="A30" s="7" t="s">
        <v>73</v>
      </c>
      <c r="C30" s="23">
        <f>K21</f>
        <v>750000</v>
      </c>
      <c r="F30" s="15">
        <v>2017</v>
      </c>
      <c r="G30" s="31">
        <f>C24</f>
        <v>1.1000000000000001</v>
      </c>
    </row>
    <row r="31" spans="1:12" x14ac:dyDescent="0.25">
      <c r="A31" s="7" t="s">
        <v>74</v>
      </c>
      <c r="C31" s="23">
        <f>L21</f>
        <v>250000</v>
      </c>
      <c r="F31" s="15">
        <v>2018</v>
      </c>
      <c r="G31" s="31">
        <f>C23</f>
        <v>1.4</v>
      </c>
    </row>
    <row r="32" spans="1:12" x14ac:dyDescent="0.25">
      <c r="A32" s="7" t="s">
        <v>75</v>
      </c>
      <c r="C32" s="22">
        <f>K19</f>
        <v>0.05</v>
      </c>
      <c r="F32" s="15">
        <v>2019</v>
      </c>
      <c r="G32" s="31">
        <f>C22</f>
        <v>2.4</v>
      </c>
    </row>
    <row r="34" spans="1:12" ht="47.25" x14ac:dyDescent="0.25">
      <c r="A34" s="29" t="s">
        <v>59</v>
      </c>
      <c r="B34" s="29" t="s">
        <v>60</v>
      </c>
      <c r="C34" s="29" t="s">
        <v>61</v>
      </c>
      <c r="D34" s="29" t="s">
        <v>67</v>
      </c>
      <c r="E34" s="29" t="s">
        <v>68</v>
      </c>
      <c r="F34" s="29" t="s">
        <v>224</v>
      </c>
      <c r="G34" s="29" t="s">
        <v>225</v>
      </c>
      <c r="H34" s="29" t="s">
        <v>69</v>
      </c>
      <c r="I34" s="29" t="s">
        <v>226</v>
      </c>
      <c r="J34" s="29" t="s">
        <v>70</v>
      </c>
      <c r="K34" s="29" t="s">
        <v>71</v>
      </c>
      <c r="L34" s="29" t="s">
        <v>72</v>
      </c>
    </row>
    <row r="35" spans="1:12" x14ac:dyDescent="0.25">
      <c r="A35" s="30">
        <f t="shared" ref="A35:C40" si="0">B8</f>
        <v>42917</v>
      </c>
      <c r="B35" s="27">
        <f t="shared" si="0"/>
        <v>200000</v>
      </c>
      <c r="C35" s="27">
        <f t="shared" si="0"/>
        <v>150000</v>
      </c>
      <c r="D35" s="21">
        <f t="shared" ref="D35:D40" si="1">$C$29-YEAR(A35)</f>
        <v>4</v>
      </c>
      <c r="E35" s="21">
        <f t="shared" ref="E35:E40" si="2">B35*(1+$C$32)^$D35</f>
        <v>243101.25</v>
      </c>
      <c r="F35" s="27">
        <f t="shared" ref="F35:F40" si="3">MAX(0,E35-$C$31)</f>
        <v>0</v>
      </c>
      <c r="G35" s="27">
        <f t="shared" ref="G35:G40" si="4">MIN(F35,$C$30)</f>
        <v>0</v>
      </c>
      <c r="H35" s="21">
        <f t="shared" ref="H35:H40" si="5">C35*(1+$C$32)^$D35</f>
        <v>182325.9375</v>
      </c>
      <c r="I35" s="27">
        <f t="shared" ref="I35:I37" si="6">H35*(G35/MIN($K$16,E35))</f>
        <v>0</v>
      </c>
      <c r="J35" s="27">
        <f>I35+G35</f>
        <v>0</v>
      </c>
      <c r="K35" s="28">
        <f t="shared" ref="K35:K40" si="7">VLOOKUP(YEAR(A35),$F$30:$G$32,2)</f>
        <v>1.1000000000000001</v>
      </c>
      <c r="L35" s="21">
        <f>J35*K35</f>
        <v>0</v>
      </c>
    </row>
    <row r="36" spans="1:12" x14ac:dyDescent="0.25">
      <c r="A36" s="30">
        <f t="shared" si="0"/>
        <v>42917</v>
      </c>
      <c r="B36" s="27">
        <f t="shared" si="0"/>
        <v>350000</v>
      </c>
      <c r="C36" s="27">
        <f t="shared" si="0"/>
        <v>400000</v>
      </c>
      <c r="D36" s="21">
        <f t="shared" si="1"/>
        <v>4</v>
      </c>
      <c r="E36" s="21">
        <f t="shared" si="2"/>
        <v>425427.1875</v>
      </c>
      <c r="F36" s="27">
        <f t="shared" si="3"/>
        <v>175427.1875</v>
      </c>
      <c r="G36" s="27">
        <f t="shared" si="4"/>
        <v>175427.1875</v>
      </c>
      <c r="H36" s="21">
        <f t="shared" si="5"/>
        <v>486202.5</v>
      </c>
      <c r="I36" s="27">
        <f t="shared" si="6"/>
        <v>200488.21428571429</v>
      </c>
      <c r="J36" s="27">
        <f t="shared" ref="J36:J40" si="8">I36+G36</f>
        <v>375915.40178571432</v>
      </c>
      <c r="K36" s="28">
        <f t="shared" si="7"/>
        <v>1.1000000000000001</v>
      </c>
      <c r="L36" s="21">
        <f t="shared" ref="L36:L40" si="9">J36*K36</f>
        <v>413506.9419642858</v>
      </c>
    </row>
    <row r="37" spans="1:12" x14ac:dyDescent="0.25">
      <c r="A37" s="30">
        <f t="shared" si="0"/>
        <v>43282</v>
      </c>
      <c r="B37" s="27">
        <f t="shared" si="0"/>
        <v>225000</v>
      </c>
      <c r="C37" s="27">
        <f t="shared" si="0"/>
        <v>0</v>
      </c>
      <c r="D37" s="21">
        <f t="shared" si="1"/>
        <v>3</v>
      </c>
      <c r="E37" s="21">
        <f t="shared" si="2"/>
        <v>260465.62500000003</v>
      </c>
      <c r="F37" s="27">
        <f t="shared" si="3"/>
        <v>10465.625000000029</v>
      </c>
      <c r="G37" s="27">
        <f t="shared" si="4"/>
        <v>10465.625000000029</v>
      </c>
      <c r="H37" s="21">
        <f t="shared" si="5"/>
        <v>0</v>
      </c>
      <c r="I37" s="27">
        <f t="shared" si="6"/>
        <v>0</v>
      </c>
      <c r="J37" s="27">
        <f t="shared" si="8"/>
        <v>10465.625000000029</v>
      </c>
      <c r="K37" s="28">
        <f t="shared" si="7"/>
        <v>1.4</v>
      </c>
      <c r="L37" s="21">
        <f t="shared" si="9"/>
        <v>14651.87500000004</v>
      </c>
    </row>
    <row r="38" spans="1:12" x14ac:dyDescent="0.25">
      <c r="A38" s="30">
        <f t="shared" si="0"/>
        <v>43282</v>
      </c>
      <c r="B38" s="27">
        <f t="shared" si="0"/>
        <v>900000</v>
      </c>
      <c r="C38" s="27">
        <f t="shared" si="0"/>
        <v>450000</v>
      </c>
      <c r="D38" s="21">
        <f t="shared" si="1"/>
        <v>3</v>
      </c>
      <c r="E38" s="21">
        <f t="shared" si="2"/>
        <v>1041862.5000000001</v>
      </c>
      <c r="F38" s="27">
        <f t="shared" si="3"/>
        <v>791862.50000000012</v>
      </c>
      <c r="G38" s="27">
        <f t="shared" si="4"/>
        <v>750000</v>
      </c>
      <c r="H38" s="21">
        <f t="shared" si="5"/>
        <v>520931.25000000006</v>
      </c>
      <c r="I38" s="27">
        <f>H38*(G38/MIN($K$16,E38))</f>
        <v>390698.43750000006</v>
      </c>
      <c r="J38" s="27">
        <f t="shared" si="8"/>
        <v>1140698.4375</v>
      </c>
      <c r="K38" s="28">
        <f t="shared" si="7"/>
        <v>1.4</v>
      </c>
      <c r="L38" s="21">
        <f t="shared" si="9"/>
        <v>1596977.8125</v>
      </c>
    </row>
    <row r="39" spans="1:12" x14ac:dyDescent="0.25">
      <c r="A39" s="30">
        <f t="shared" si="0"/>
        <v>43647</v>
      </c>
      <c r="B39" s="27">
        <f t="shared" si="0"/>
        <v>250000</v>
      </c>
      <c r="C39" s="27">
        <f t="shared" si="0"/>
        <v>50000</v>
      </c>
      <c r="D39" s="21">
        <f t="shared" si="1"/>
        <v>2</v>
      </c>
      <c r="E39" s="21">
        <f t="shared" si="2"/>
        <v>275625</v>
      </c>
      <c r="F39" s="27">
        <f t="shared" si="3"/>
        <v>25625</v>
      </c>
      <c r="G39" s="27">
        <f t="shared" si="4"/>
        <v>25625</v>
      </c>
      <c r="H39" s="21">
        <f t="shared" si="5"/>
        <v>55125</v>
      </c>
      <c r="I39" s="27">
        <f t="shared" ref="I39:I40" si="10">H39*(G39/MIN($K$16,E39))</f>
        <v>5125</v>
      </c>
      <c r="J39" s="27">
        <f t="shared" si="8"/>
        <v>30750</v>
      </c>
      <c r="K39" s="28">
        <f t="shared" si="7"/>
        <v>2.4</v>
      </c>
      <c r="L39" s="21">
        <f t="shared" si="9"/>
        <v>73800</v>
      </c>
    </row>
    <row r="40" spans="1:12" x14ac:dyDescent="0.25">
      <c r="A40" s="30">
        <f t="shared" si="0"/>
        <v>43647</v>
      </c>
      <c r="B40" s="27">
        <f t="shared" si="0"/>
        <v>800000</v>
      </c>
      <c r="C40" s="27">
        <f t="shared" si="0"/>
        <v>275000</v>
      </c>
      <c r="D40" s="21">
        <f t="shared" si="1"/>
        <v>2</v>
      </c>
      <c r="E40" s="21">
        <f t="shared" si="2"/>
        <v>882000</v>
      </c>
      <c r="F40" s="27">
        <f t="shared" si="3"/>
        <v>632000</v>
      </c>
      <c r="G40" s="27">
        <f t="shared" si="4"/>
        <v>632000</v>
      </c>
      <c r="H40" s="21">
        <f t="shared" si="5"/>
        <v>303187.5</v>
      </c>
      <c r="I40" s="27">
        <f t="shared" si="10"/>
        <v>217250.00000000003</v>
      </c>
      <c r="J40" s="27">
        <f t="shared" si="8"/>
        <v>849250</v>
      </c>
      <c r="K40" s="28">
        <f t="shared" si="7"/>
        <v>2.4</v>
      </c>
      <c r="L40" s="21">
        <f t="shared" si="9"/>
        <v>2038200</v>
      </c>
    </row>
    <row r="41" spans="1:12" x14ac:dyDescent="0.25">
      <c r="A41" s="15"/>
      <c r="B41" s="15"/>
      <c r="C41" s="15"/>
      <c r="D41" s="15"/>
      <c r="E41" s="15"/>
      <c r="F41" s="15"/>
      <c r="G41" s="15"/>
      <c r="H41" s="15"/>
      <c r="I41" s="15"/>
      <c r="J41" s="15"/>
      <c r="K41" s="15"/>
      <c r="L41" s="21">
        <f>SUM(L35:L40)</f>
        <v>4137136.6294642859</v>
      </c>
    </row>
    <row r="43" spans="1:12" x14ac:dyDescent="0.25">
      <c r="A43" s="7" t="s">
        <v>78</v>
      </c>
      <c r="B43" s="32">
        <f>L41/(3*K17)</f>
        <v>0.13790455431547619</v>
      </c>
    </row>
    <row r="46" spans="1:12" x14ac:dyDescent="0.25">
      <c r="I46" s="35"/>
    </row>
  </sheetData>
  <mergeCells count="2">
    <mergeCell ref="A2:H2"/>
    <mergeCell ref="B6:D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F2EF-6738-43CF-B0C3-D3E25AB4BD2F}">
  <dimension ref="A1:N51"/>
  <sheetViews>
    <sheetView workbookViewId="0"/>
  </sheetViews>
  <sheetFormatPr defaultRowHeight="15.75" customHeight="1" x14ac:dyDescent="0.25"/>
  <cols>
    <col min="6" max="6" width="13.42578125" customWidth="1"/>
    <col min="7" max="12" width="11.7109375" customWidth="1"/>
  </cols>
  <sheetData>
    <row r="1" spans="1:14" ht="15.75" customHeight="1" x14ac:dyDescent="0.3">
      <c r="A1" s="102" t="s">
        <v>157</v>
      </c>
      <c r="B1" s="103"/>
      <c r="C1" s="4"/>
      <c r="D1" s="103"/>
      <c r="E1" s="103"/>
      <c r="F1" s="103"/>
      <c r="G1" s="103"/>
      <c r="H1" s="103"/>
      <c r="I1" s="103"/>
      <c r="J1" s="103"/>
      <c r="K1" s="103"/>
      <c r="L1" s="104"/>
      <c r="M1" s="1"/>
      <c r="N1" s="1"/>
    </row>
    <row r="2" spans="1:14" ht="15.75" customHeight="1" x14ac:dyDescent="0.25">
      <c r="A2" s="24" t="s">
        <v>118</v>
      </c>
      <c r="B2" s="1"/>
      <c r="C2" s="1"/>
      <c r="D2" s="1"/>
      <c r="E2" s="1"/>
      <c r="F2" s="1"/>
      <c r="G2" s="1"/>
      <c r="H2" s="1"/>
      <c r="I2" s="1"/>
      <c r="J2" s="1"/>
      <c r="K2" s="1"/>
      <c r="L2" s="1"/>
      <c r="M2" s="1"/>
      <c r="N2" s="1"/>
    </row>
    <row r="3" spans="1:14" ht="15.75" customHeight="1" x14ac:dyDescent="0.25">
      <c r="A3" s="141"/>
      <c r="B3" s="141"/>
      <c r="C3" s="141"/>
      <c r="D3" s="141"/>
      <c r="E3" s="141"/>
      <c r="F3" s="141"/>
      <c r="G3" s="141"/>
      <c r="H3" s="141"/>
      <c r="I3" s="1"/>
      <c r="J3" s="1"/>
      <c r="K3" s="1"/>
      <c r="L3" s="1"/>
      <c r="M3" s="1"/>
      <c r="N3" s="1"/>
    </row>
    <row r="4" spans="1:14" ht="15.75" customHeight="1" x14ac:dyDescent="0.25">
      <c r="A4" s="141" t="s">
        <v>2</v>
      </c>
      <c r="B4" s="141"/>
      <c r="C4" s="141"/>
      <c r="D4" s="141"/>
      <c r="E4" s="141"/>
      <c r="F4" s="141"/>
      <c r="G4" s="141"/>
      <c r="H4" s="141"/>
      <c r="I4" s="141"/>
      <c r="J4" s="141"/>
      <c r="K4" s="141"/>
      <c r="L4" s="141"/>
      <c r="M4" s="141"/>
      <c r="N4" s="141"/>
    </row>
    <row r="5" spans="1:14" ht="15.75" customHeight="1" x14ac:dyDescent="0.25">
      <c r="A5" s="100"/>
      <c r="B5" s="100"/>
      <c r="C5" s="100"/>
      <c r="D5" s="100"/>
      <c r="E5" s="1"/>
      <c r="F5" s="2"/>
      <c r="G5" s="1"/>
      <c r="H5" s="1"/>
      <c r="I5" s="1"/>
      <c r="J5" s="1"/>
      <c r="K5" s="1"/>
      <c r="L5" s="1"/>
      <c r="M5" s="1"/>
      <c r="N5" s="1"/>
    </row>
    <row r="6" spans="1:14" ht="15.75" customHeight="1" x14ac:dyDescent="0.25">
      <c r="A6" s="142" t="s">
        <v>158</v>
      </c>
      <c r="B6" s="143"/>
      <c r="C6" s="143"/>
      <c r="D6" s="143"/>
      <c r="E6" s="144"/>
      <c r="F6" s="50">
        <v>0.02</v>
      </c>
      <c r="G6" s="36"/>
      <c r="H6" s="1"/>
      <c r="I6" s="1"/>
      <c r="J6" s="1"/>
      <c r="K6" s="1"/>
      <c r="L6" s="1"/>
      <c r="M6" s="1"/>
      <c r="N6" s="1"/>
    </row>
    <row r="7" spans="1:14" ht="15.75" customHeight="1" x14ac:dyDescent="0.25">
      <c r="A7" s="142" t="s">
        <v>4</v>
      </c>
      <c r="B7" s="143"/>
      <c r="C7" s="143"/>
      <c r="D7" s="143"/>
      <c r="E7" s="144"/>
      <c r="F7" s="51">
        <v>0.1</v>
      </c>
      <c r="G7" s="36"/>
      <c r="H7" s="1"/>
      <c r="I7" s="1"/>
      <c r="J7" s="1"/>
      <c r="K7" s="1"/>
      <c r="L7" s="1"/>
      <c r="M7" s="1"/>
      <c r="N7" s="1"/>
    </row>
    <row r="8" spans="1:14" ht="15.75" customHeight="1" x14ac:dyDescent="0.25">
      <c r="A8" s="145" t="s">
        <v>5</v>
      </c>
      <c r="B8" s="146"/>
      <c r="C8" s="146"/>
      <c r="D8" s="146"/>
      <c r="E8" s="147"/>
      <c r="F8" s="52">
        <v>-0.2</v>
      </c>
      <c r="G8" s="36"/>
      <c r="H8" s="1"/>
      <c r="I8" s="1"/>
      <c r="J8" s="1"/>
      <c r="K8" s="1"/>
      <c r="L8" s="1"/>
      <c r="M8" s="1"/>
      <c r="N8" s="1"/>
    </row>
    <row r="9" spans="1:14" ht="15.75" customHeight="1" x14ac:dyDescent="0.25">
      <c r="A9" s="142" t="s">
        <v>3</v>
      </c>
      <c r="B9" s="143"/>
      <c r="C9" s="143"/>
      <c r="D9" s="143"/>
      <c r="E9" s="144"/>
      <c r="F9" s="52">
        <v>2</v>
      </c>
      <c r="G9" s="36" t="s">
        <v>119</v>
      </c>
      <c r="H9" s="1"/>
      <c r="I9" s="1"/>
      <c r="J9" s="1"/>
      <c r="K9" s="1"/>
      <c r="L9" s="1"/>
      <c r="M9" s="1"/>
      <c r="N9" s="1"/>
    </row>
    <row r="10" spans="1:14" ht="15.75" customHeight="1" x14ac:dyDescent="0.25">
      <c r="A10" s="145" t="s">
        <v>6</v>
      </c>
      <c r="B10" s="146"/>
      <c r="C10" s="146"/>
      <c r="D10" s="146"/>
      <c r="E10" s="147"/>
      <c r="F10" s="53">
        <v>0.3</v>
      </c>
      <c r="G10" s="54"/>
      <c r="H10" s="4"/>
      <c r="I10" s="4"/>
      <c r="J10" s="4"/>
      <c r="K10" s="4"/>
      <c r="L10" s="4"/>
      <c r="M10" s="1"/>
      <c r="N10" s="1"/>
    </row>
    <row r="11" spans="1:14" ht="15.75" customHeight="1" x14ac:dyDescent="0.25">
      <c r="A11" s="1"/>
      <c r="B11" s="1"/>
      <c r="C11" s="1"/>
      <c r="D11" s="1"/>
      <c r="E11" s="1"/>
      <c r="F11" s="2"/>
      <c r="G11" s="1"/>
      <c r="H11" s="4"/>
      <c r="I11" s="4"/>
      <c r="J11" s="4"/>
      <c r="K11" s="4"/>
      <c r="L11" s="4"/>
      <c r="M11" s="1"/>
      <c r="N11" s="1"/>
    </row>
    <row r="12" spans="1:14" ht="15.75" customHeight="1" x14ac:dyDescent="0.25">
      <c r="A12" s="6" t="s">
        <v>120</v>
      </c>
      <c r="B12" s="1"/>
      <c r="C12" s="1"/>
      <c r="D12" s="1"/>
      <c r="E12" s="1"/>
      <c r="F12" s="2"/>
      <c r="G12" s="1"/>
      <c r="H12" s="4"/>
      <c r="I12" s="4"/>
      <c r="J12" s="4"/>
      <c r="K12" s="4"/>
      <c r="L12" s="4"/>
      <c r="M12" s="1"/>
      <c r="N12" s="1"/>
    </row>
    <row r="13" spans="1:14" ht="15.75" customHeight="1" x14ac:dyDescent="0.25">
      <c r="A13" s="1"/>
      <c r="B13" s="1"/>
      <c r="C13" s="1"/>
      <c r="D13" s="1"/>
      <c r="E13" s="1"/>
      <c r="F13" s="2"/>
      <c r="G13" s="1"/>
      <c r="H13" s="4"/>
      <c r="I13" s="4"/>
      <c r="J13" s="4"/>
      <c r="K13" s="4"/>
      <c r="L13" s="4"/>
      <c r="M13" s="1"/>
      <c r="N13" s="1"/>
    </row>
    <row r="14" spans="1:14" ht="48" customHeight="1" x14ac:dyDescent="0.25">
      <c r="A14" s="55" t="s">
        <v>7</v>
      </c>
      <c r="B14" s="150" t="s">
        <v>159</v>
      </c>
      <c r="C14" s="151"/>
      <c r="D14" s="150" t="s">
        <v>160</v>
      </c>
      <c r="E14" s="152"/>
      <c r="F14" s="152"/>
      <c r="G14" s="151"/>
      <c r="H14" s="4"/>
      <c r="I14" s="4"/>
      <c r="J14" s="4"/>
      <c r="K14" s="4"/>
      <c r="L14" s="4"/>
      <c r="M14" s="1"/>
      <c r="N14" s="1"/>
    </row>
    <row r="15" spans="1:14" ht="15.75" customHeight="1" x14ac:dyDescent="0.25">
      <c r="A15" s="56">
        <v>1</v>
      </c>
      <c r="B15" s="148">
        <v>0.4</v>
      </c>
      <c r="C15" s="149"/>
      <c r="D15" s="153">
        <v>0.9</v>
      </c>
      <c r="E15" s="153"/>
      <c r="F15" s="153"/>
      <c r="G15" s="153"/>
      <c r="H15" s="1"/>
      <c r="I15" s="1"/>
      <c r="J15" s="1"/>
      <c r="K15" s="1"/>
      <c r="L15" s="1"/>
      <c r="M15" s="1"/>
      <c r="N15" s="1"/>
    </row>
    <row r="16" spans="1:14" ht="15.75" customHeight="1" x14ac:dyDescent="0.25">
      <c r="A16" s="56">
        <v>2</v>
      </c>
      <c r="B16" s="148">
        <v>0.35</v>
      </c>
      <c r="C16" s="149"/>
      <c r="D16" s="153">
        <v>1.2</v>
      </c>
      <c r="E16" s="153"/>
      <c r="F16" s="153"/>
      <c r="G16" s="153"/>
      <c r="H16" s="1"/>
      <c r="I16" s="1"/>
      <c r="J16" s="1"/>
      <c r="K16" s="1"/>
      <c r="L16" s="1"/>
      <c r="M16" s="1"/>
      <c r="N16" s="1"/>
    </row>
    <row r="17" spans="1:14" ht="15.75" customHeight="1" x14ac:dyDescent="0.25">
      <c r="A17" s="56">
        <v>3</v>
      </c>
      <c r="B17" s="148">
        <v>0.25</v>
      </c>
      <c r="C17" s="149"/>
      <c r="D17" s="153">
        <v>1.5</v>
      </c>
      <c r="E17" s="153"/>
      <c r="F17" s="153"/>
      <c r="G17" s="153"/>
      <c r="H17" s="1"/>
      <c r="I17" s="1"/>
      <c r="J17" s="1"/>
      <c r="K17" s="1"/>
      <c r="L17" s="1"/>
      <c r="M17" s="1"/>
      <c r="N17" s="1"/>
    </row>
    <row r="18" spans="1:14" ht="15.75" customHeight="1" x14ac:dyDescent="0.25">
      <c r="A18" s="1"/>
      <c r="B18" s="1"/>
      <c r="C18" s="1"/>
      <c r="D18" s="1"/>
      <c r="E18" s="1"/>
      <c r="F18" s="2"/>
      <c r="G18" s="1"/>
      <c r="H18" s="1"/>
      <c r="I18" s="1"/>
      <c r="J18" s="1"/>
      <c r="K18" s="1"/>
      <c r="L18" s="1"/>
      <c r="M18" s="1"/>
      <c r="N18" s="1"/>
    </row>
    <row r="19" spans="1:14" ht="15.75" customHeight="1" x14ac:dyDescent="0.25">
      <c r="A19" s="4" t="s">
        <v>121</v>
      </c>
      <c r="B19" s="1"/>
      <c r="C19" s="1"/>
      <c r="D19" s="1"/>
      <c r="E19" s="1"/>
      <c r="F19" s="2"/>
      <c r="G19" s="1"/>
      <c r="H19" s="1"/>
      <c r="I19" s="1"/>
      <c r="J19" s="1"/>
      <c r="K19" s="1"/>
      <c r="L19" s="1"/>
      <c r="M19" s="1"/>
      <c r="N19" s="1"/>
    </row>
    <row r="20" spans="1:14" ht="15.75" customHeight="1" x14ac:dyDescent="0.25">
      <c r="A20" s="4"/>
      <c r="B20" s="1"/>
      <c r="C20" s="1"/>
      <c r="D20" s="1"/>
      <c r="E20" s="1"/>
      <c r="F20" s="2"/>
      <c r="G20" s="1"/>
      <c r="H20" s="1"/>
      <c r="I20" s="1"/>
      <c r="J20" s="1"/>
      <c r="K20" s="1"/>
      <c r="L20" s="1"/>
      <c r="M20" s="1"/>
      <c r="N20" s="1"/>
    </row>
    <row r="21" spans="1:14" ht="32.25" customHeight="1" x14ac:dyDescent="0.25">
      <c r="A21" s="156" t="s">
        <v>8</v>
      </c>
      <c r="B21" s="157"/>
      <c r="C21" s="150" t="s">
        <v>161</v>
      </c>
      <c r="D21" s="151"/>
      <c r="E21" s="154" t="s">
        <v>9</v>
      </c>
      <c r="F21" s="154"/>
      <c r="G21" s="1"/>
      <c r="H21" s="1"/>
      <c r="I21" s="1"/>
      <c r="J21" s="1"/>
      <c r="K21" s="1"/>
      <c r="L21" s="1"/>
      <c r="M21" s="1"/>
      <c r="N21" s="1"/>
    </row>
    <row r="22" spans="1:14" ht="15.75" customHeight="1" x14ac:dyDescent="0.25">
      <c r="A22" s="145" t="s">
        <v>162</v>
      </c>
      <c r="B22" s="147"/>
      <c r="C22" s="148">
        <v>0.2</v>
      </c>
      <c r="D22" s="149"/>
      <c r="E22" s="155">
        <v>0</v>
      </c>
      <c r="F22" s="155"/>
      <c r="G22" s="1"/>
      <c r="H22" s="1"/>
      <c r="I22" s="1"/>
      <c r="J22" s="1"/>
      <c r="K22" s="1"/>
      <c r="L22" s="1"/>
      <c r="M22" s="1"/>
      <c r="N22" s="1"/>
    </row>
    <row r="23" spans="1:14" ht="15.75" customHeight="1" x14ac:dyDescent="0.25">
      <c r="A23" s="145" t="s">
        <v>10</v>
      </c>
      <c r="B23" s="147"/>
      <c r="C23" s="148">
        <v>0.3</v>
      </c>
      <c r="D23" s="149"/>
      <c r="E23" s="155">
        <v>0.1</v>
      </c>
      <c r="F23" s="155"/>
      <c r="G23" s="1"/>
      <c r="H23" s="1"/>
      <c r="I23" s="1"/>
      <c r="J23" s="1"/>
      <c r="K23" s="1"/>
      <c r="L23" s="1"/>
      <c r="M23" s="1"/>
      <c r="N23" s="1"/>
    </row>
    <row r="24" spans="1:14" ht="15.75" customHeight="1" x14ac:dyDescent="0.25">
      <c r="A24" s="145" t="s">
        <v>163</v>
      </c>
      <c r="B24" s="147"/>
      <c r="C24" s="148">
        <v>0.5</v>
      </c>
      <c r="D24" s="149"/>
      <c r="E24" s="155">
        <v>0.3</v>
      </c>
      <c r="F24" s="155"/>
      <c r="G24" s="1"/>
      <c r="H24" s="1"/>
      <c r="I24" s="1"/>
      <c r="J24" s="1"/>
      <c r="K24" s="1"/>
      <c r="L24" s="1"/>
      <c r="M24" s="1"/>
      <c r="N24" s="1"/>
    </row>
    <row r="25" spans="1:14" ht="15.75" customHeight="1" x14ac:dyDescent="0.25">
      <c r="A25" s="1"/>
      <c r="B25" s="1"/>
      <c r="C25" s="1"/>
      <c r="D25" s="1"/>
      <c r="E25" s="1"/>
      <c r="F25" s="2"/>
      <c r="G25" s="1"/>
      <c r="H25" s="1"/>
      <c r="I25" s="1"/>
      <c r="J25" s="1"/>
      <c r="K25" s="1"/>
      <c r="L25" s="1"/>
      <c r="M25" s="1"/>
      <c r="N25" s="1"/>
    </row>
    <row r="26" spans="1:14" ht="15.75" customHeight="1" x14ac:dyDescent="0.25">
      <c r="A26" s="6" t="s">
        <v>227</v>
      </c>
      <c r="B26" s="6" t="s">
        <v>228</v>
      </c>
      <c r="C26" s="6"/>
      <c r="D26" s="5"/>
      <c r="E26" s="5"/>
      <c r="F26" s="5"/>
      <c r="G26" s="5"/>
      <c r="H26" s="5"/>
      <c r="I26" s="5"/>
      <c r="J26" s="5"/>
      <c r="K26" s="5"/>
      <c r="L26" s="1"/>
      <c r="M26" s="1"/>
      <c r="N26" s="1"/>
    </row>
    <row r="27" spans="1:14" ht="15.75" customHeight="1" x14ac:dyDescent="0.25">
      <c r="A27" s="7" t="s">
        <v>0</v>
      </c>
      <c r="B27" s="7"/>
      <c r="C27" s="7"/>
    </row>
    <row r="28" spans="1:14" ht="15.75" customHeight="1" x14ac:dyDescent="0.25">
      <c r="A28" s="7"/>
      <c r="B28" s="7"/>
      <c r="C28" s="7"/>
    </row>
    <row r="29" spans="1:14" ht="15.75" customHeight="1" x14ac:dyDescent="0.25">
      <c r="A29" s="7" t="s">
        <v>14</v>
      </c>
      <c r="B29" s="7">
        <f>SUMPRODUCT(B15:C17,D15:E17)</f>
        <v>1.155</v>
      </c>
      <c r="C29" s="7"/>
    </row>
    <row r="30" spans="1:14" ht="15.75" customHeight="1" x14ac:dyDescent="0.25">
      <c r="A30" s="7"/>
      <c r="B30" s="7"/>
      <c r="C30" s="7"/>
    </row>
    <row r="31" spans="1:14" ht="15.75" customHeight="1" x14ac:dyDescent="0.25">
      <c r="A31" s="7"/>
      <c r="B31" s="7"/>
      <c r="C31" s="7"/>
    </row>
    <row r="32" spans="1:14" ht="15.75" customHeight="1" x14ac:dyDescent="0.25">
      <c r="A32" s="6" t="s">
        <v>1</v>
      </c>
      <c r="B32" s="6" t="s">
        <v>12</v>
      </c>
      <c r="C32" s="6"/>
      <c r="D32" s="5"/>
      <c r="E32" s="5"/>
      <c r="F32" s="5"/>
      <c r="G32" s="5"/>
      <c r="H32" s="5"/>
      <c r="I32" s="5"/>
      <c r="J32" s="1"/>
      <c r="K32" s="1"/>
      <c r="L32" s="1"/>
      <c r="M32" s="1"/>
      <c r="N32" s="1"/>
    </row>
    <row r="33" spans="1:14" ht="15.75" customHeight="1" x14ac:dyDescent="0.25">
      <c r="A33" s="7" t="s">
        <v>0</v>
      </c>
      <c r="B33" s="7"/>
      <c r="C33" s="7"/>
    </row>
    <row r="34" spans="1:14" ht="15.75" customHeight="1" x14ac:dyDescent="0.25">
      <c r="A34" s="7"/>
      <c r="B34" s="7"/>
      <c r="C34" s="7"/>
    </row>
    <row r="35" spans="1:14" ht="15.75" customHeight="1" x14ac:dyDescent="0.25">
      <c r="A35" s="7" t="s">
        <v>15</v>
      </c>
      <c r="B35" s="7">
        <f>-B29*F8</f>
        <v>0.23100000000000001</v>
      </c>
      <c r="C35" s="7"/>
    </row>
    <row r="36" spans="1:14" ht="15.75" customHeight="1" x14ac:dyDescent="0.25">
      <c r="A36" s="7"/>
      <c r="B36" s="7"/>
      <c r="C36" s="7"/>
    </row>
    <row r="37" spans="1:14" ht="15.75" customHeight="1" x14ac:dyDescent="0.25">
      <c r="A37" s="7"/>
      <c r="B37" s="7"/>
      <c r="C37" s="7"/>
    </row>
    <row r="38" spans="1:14" ht="15.75" customHeight="1" x14ac:dyDescent="0.25">
      <c r="A38" s="6" t="s">
        <v>11</v>
      </c>
      <c r="B38" s="6" t="s">
        <v>116</v>
      </c>
      <c r="C38" s="6"/>
      <c r="D38" s="5"/>
      <c r="E38" s="5"/>
      <c r="F38" s="5"/>
      <c r="G38" s="5"/>
      <c r="H38" s="5"/>
      <c r="I38" s="5"/>
      <c r="J38" s="1"/>
      <c r="K38" s="1"/>
      <c r="L38" s="1"/>
      <c r="M38" s="1"/>
      <c r="N38" s="1"/>
    </row>
    <row r="39" spans="1:14" ht="15.75" customHeight="1" x14ac:dyDescent="0.25">
      <c r="A39" s="7" t="s">
        <v>0</v>
      </c>
      <c r="B39" s="7"/>
      <c r="C39" s="7"/>
    </row>
    <row r="40" spans="1:14" ht="15.75" customHeight="1" x14ac:dyDescent="0.25">
      <c r="A40" s="7"/>
      <c r="B40" s="7"/>
      <c r="C40" s="7"/>
    </row>
    <row r="41" spans="1:14" ht="15.75" customHeight="1" x14ac:dyDescent="0.25">
      <c r="A41" s="7" t="s">
        <v>16</v>
      </c>
      <c r="B41" s="135">
        <f>-B29*F6+B35*(F7-F6)</f>
        <v>-4.6200000000000026E-3</v>
      </c>
      <c r="C41" s="7"/>
    </row>
    <row r="42" spans="1:14" ht="15.75" customHeight="1" x14ac:dyDescent="0.25">
      <c r="A42" s="7"/>
      <c r="B42" s="7"/>
      <c r="C42" s="7"/>
    </row>
    <row r="43" spans="1:14" ht="15.75" customHeight="1" x14ac:dyDescent="0.25">
      <c r="A43" s="7"/>
      <c r="B43" s="7"/>
      <c r="C43" s="7"/>
    </row>
    <row r="44" spans="1:14" ht="15.75" customHeight="1" x14ac:dyDescent="0.25">
      <c r="A44" s="6" t="s">
        <v>13</v>
      </c>
      <c r="B44" s="6" t="s">
        <v>117</v>
      </c>
      <c r="C44" s="6"/>
      <c r="D44" s="5"/>
      <c r="E44" s="5"/>
      <c r="F44" s="5"/>
      <c r="G44" s="5"/>
      <c r="H44" s="5"/>
      <c r="I44" s="5"/>
      <c r="J44" s="1"/>
      <c r="K44" s="1"/>
      <c r="L44" s="1"/>
      <c r="M44" s="1"/>
      <c r="N44" s="1"/>
    </row>
    <row r="45" spans="1:14" ht="15.75" customHeight="1" x14ac:dyDescent="0.25">
      <c r="A45" s="7" t="s">
        <v>0</v>
      </c>
      <c r="B45" s="7"/>
      <c r="C45" s="7"/>
    </row>
    <row r="46" spans="1:14" ht="15.75" customHeight="1" x14ac:dyDescent="0.25">
      <c r="A46" s="7"/>
      <c r="B46" s="7"/>
      <c r="C46" s="7"/>
    </row>
    <row r="47" spans="1:14" ht="15.75" customHeight="1" x14ac:dyDescent="0.25">
      <c r="A47" s="7" t="s">
        <v>17</v>
      </c>
      <c r="B47" s="7">
        <f>SUMPRODUCT(C22:D24*E22:E24)</f>
        <v>0.18</v>
      </c>
      <c r="C47" s="7"/>
    </row>
    <row r="48" spans="1:14" ht="15.75" customHeight="1" x14ac:dyDescent="0.25">
      <c r="A48" s="7" t="s">
        <v>16</v>
      </c>
      <c r="B48" s="135">
        <f>-B29*F6*(1-B47)/(1-F10)+B35*(F7-F6)+(1/F9)*F6*B47/(1-F10)</f>
        <v>-6.008571428571436E-3</v>
      </c>
      <c r="C48" s="7"/>
    </row>
    <row r="49" spans="1:3" ht="15.75" customHeight="1" x14ac:dyDescent="0.25">
      <c r="A49" s="7"/>
      <c r="B49" s="7"/>
      <c r="C49" s="7"/>
    </row>
    <row r="50" spans="1:3" ht="15.75" customHeight="1" x14ac:dyDescent="0.25">
      <c r="A50" s="7"/>
      <c r="B50" s="7"/>
      <c r="C50" s="7"/>
    </row>
    <row r="51" spans="1:3" ht="15.75" customHeight="1" x14ac:dyDescent="0.25">
      <c r="A51" s="7"/>
      <c r="B51" s="7"/>
      <c r="C51" s="7"/>
    </row>
  </sheetData>
  <mergeCells count="27">
    <mergeCell ref="E23:F23"/>
    <mergeCell ref="E24:F24"/>
    <mergeCell ref="B16:C16"/>
    <mergeCell ref="B17:C17"/>
    <mergeCell ref="A21:B21"/>
    <mergeCell ref="A22:B22"/>
    <mergeCell ref="A9:E9"/>
    <mergeCell ref="A24:B24"/>
    <mergeCell ref="C22:D22"/>
    <mergeCell ref="C23:D23"/>
    <mergeCell ref="C24:D24"/>
    <mergeCell ref="C21:D21"/>
    <mergeCell ref="A23:B23"/>
    <mergeCell ref="B14:C14"/>
    <mergeCell ref="B15:C15"/>
    <mergeCell ref="D14:G14"/>
    <mergeCell ref="D15:G15"/>
    <mergeCell ref="D16:G16"/>
    <mergeCell ref="D17:G17"/>
    <mergeCell ref="A10:E10"/>
    <mergeCell ref="E21:F21"/>
    <mergeCell ref="E22:F22"/>
    <mergeCell ref="A3:H3"/>
    <mergeCell ref="A6:E6"/>
    <mergeCell ref="A4:N4"/>
    <mergeCell ref="A7:E7"/>
    <mergeCell ref="A8:E8"/>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64EC-0989-4771-8617-79432E79B11D}">
  <dimension ref="A1:N57"/>
  <sheetViews>
    <sheetView zoomScaleNormal="100" workbookViewId="0"/>
  </sheetViews>
  <sheetFormatPr defaultColWidth="9.140625" defaultRowHeight="15.75" x14ac:dyDescent="0.25"/>
  <cols>
    <col min="1" max="1" width="9.85546875" style="7" customWidth="1"/>
    <col min="2" max="2" width="12.7109375" style="7" customWidth="1"/>
    <col min="3" max="3" width="11.85546875" style="7" customWidth="1"/>
    <col min="4" max="4" width="12.140625" style="7" customWidth="1"/>
    <col min="5" max="5" width="11.42578125" style="7" customWidth="1"/>
    <col min="6" max="6" width="11.28515625" style="7" customWidth="1"/>
    <col min="7" max="7" width="11.5703125" style="7" customWidth="1"/>
    <col min="8" max="8" width="20.42578125" style="7" bestFit="1" customWidth="1"/>
    <col min="9" max="9" width="19.5703125" style="7" customWidth="1"/>
    <col min="10" max="10" width="16.140625" style="7" bestFit="1" customWidth="1"/>
    <col min="11" max="11" width="21.7109375" style="7" bestFit="1" customWidth="1"/>
    <col min="12" max="13" width="16.7109375" style="7" customWidth="1"/>
    <col min="14" max="14" width="9.7109375" style="7" customWidth="1"/>
    <col min="15" max="27" width="8.85546875" style="7" customWidth="1"/>
    <col min="28" max="16384" width="9.140625" style="7"/>
  </cols>
  <sheetData>
    <row r="1" spans="1:14" ht="18.75" x14ac:dyDescent="0.3">
      <c r="A1" s="102" t="s">
        <v>164</v>
      </c>
      <c r="B1" s="103"/>
      <c r="C1" s="4"/>
      <c r="D1" s="103"/>
      <c r="E1" s="103"/>
      <c r="F1" s="103"/>
      <c r="G1" s="103"/>
      <c r="H1" s="103"/>
      <c r="I1" s="103"/>
      <c r="J1" s="103"/>
      <c r="K1" s="103"/>
    </row>
    <row r="2" spans="1:14" x14ac:dyDescent="0.25">
      <c r="A2" s="24" t="s">
        <v>122</v>
      </c>
      <c r="B2" s="6"/>
      <c r="C2" s="6"/>
      <c r="D2" s="6"/>
      <c r="E2" s="6"/>
      <c r="F2" s="6"/>
      <c r="G2" s="6"/>
      <c r="H2" s="57"/>
      <c r="I2" s="57" t="s">
        <v>165</v>
      </c>
      <c r="J2" s="58"/>
      <c r="K2" s="58"/>
      <c r="L2" s="58"/>
      <c r="M2" s="58"/>
      <c r="N2" s="58"/>
    </row>
    <row r="3" spans="1:14" x14ac:dyDescent="0.25">
      <c r="A3" s="6"/>
      <c r="B3" s="6"/>
      <c r="C3" s="6"/>
      <c r="D3" s="6"/>
      <c r="E3" s="6"/>
      <c r="F3" s="6"/>
      <c r="G3" s="6"/>
      <c r="H3" s="57"/>
      <c r="I3" s="57" t="s">
        <v>18</v>
      </c>
      <c r="J3" s="58"/>
      <c r="K3" s="58"/>
      <c r="L3" s="58"/>
      <c r="M3" s="58"/>
      <c r="N3" s="58"/>
    </row>
    <row r="4" spans="1:14" x14ac:dyDescent="0.25">
      <c r="A4" s="59"/>
      <c r="B4" s="6"/>
      <c r="C4" s="6"/>
      <c r="D4" s="6"/>
      <c r="E4" s="6"/>
      <c r="F4" s="6"/>
      <c r="G4" s="6"/>
      <c r="H4" s="57"/>
      <c r="I4" s="57" t="s">
        <v>166</v>
      </c>
      <c r="J4" s="58"/>
      <c r="K4" s="58"/>
      <c r="L4" s="58"/>
      <c r="M4" s="58"/>
      <c r="N4" s="58"/>
    </row>
    <row r="5" spans="1:14" x14ac:dyDescent="0.25">
      <c r="A5" s="59"/>
      <c r="B5" s="6"/>
      <c r="C5" s="6"/>
      <c r="D5" s="6"/>
      <c r="E5" s="6"/>
      <c r="F5" s="6"/>
      <c r="G5" s="6"/>
      <c r="H5" s="57"/>
      <c r="I5" s="57" t="s">
        <v>167</v>
      </c>
      <c r="J5" s="58"/>
      <c r="K5" s="58"/>
      <c r="L5" s="58"/>
      <c r="M5" s="58"/>
      <c r="N5" s="58"/>
    </row>
    <row r="6" spans="1:14" x14ac:dyDescent="0.25">
      <c r="A6" s="57" t="s">
        <v>123</v>
      </c>
      <c r="B6" s="6"/>
      <c r="C6" s="6"/>
      <c r="D6" s="6"/>
      <c r="E6" s="6"/>
      <c r="F6" s="6"/>
      <c r="G6" s="6"/>
      <c r="H6" s="6"/>
      <c r="I6" s="57"/>
      <c r="J6" s="58"/>
      <c r="K6" s="58"/>
      <c r="L6" s="58"/>
      <c r="M6" s="58"/>
      <c r="N6" s="58"/>
    </row>
    <row r="7" spans="1:14" ht="18.75" x14ac:dyDescent="0.25">
      <c r="A7" s="6"/>
      <c r="B7" s="6"/>
      <c r="C7" s="6"/>
      <c r="D7" s="6"/>
      <c r="E7" s="6"/>
      <c r="F7" s="6"/>
      <c r="G7" s="6"/>
      <c r="H7" s="60" t="s">
        <v>129</v>
      </c>
      <c r="I7" s="105" t="s">
        <v>168</v>
      </c>
      <c r="J7" s="60" t="s">
        <v>169</v>
      </c>
      <c r="K7" s="60" t="s">
        <v>130</v>
      </c>
      <c r="L7" s="8"/>
      <c r="M7" s="8"/>
      <c r="N7" s="8"/>
    </row>
    <row r="8" spans="1:14" ht="36.75" customHeight="1" x14ac:dyDescent="0.25">
      <c r="A8" s="106" t="s">
        <v>170</v>
      </c>
      <c r="B8" s="106" t="s">
        <v>171</v>
      </c>
      <c r="C8" s="106" t="s">
        <v>172</v>
      </c>
      <c r="D8" s="106" t="s">
        <v>173</v>
      </c>
      <c r="E8" s="107" t="s">
        <v>22</v>
      </c>
      <c r="F8" s="106" t="s">
        <v>174</v>
      </c>
      <c r="G8" s="106" t="s">
        <v>175</v>
      </c>
      <c r="H8" s="105" t="s">
        <v>23</v>
      </c>
      <c r="I8" s="108" t="s">
        <v>176</v>
      </c>
      <c r="J8" s="60" t="s">
        <v>124</v>
      </c>
      <c r="K8" s="105" t="s">
        <v>24</v>
      </c>
      <c r="L8" s="136" t="s">
        <v>229</v>
      </c>
      <c r="M8" s="136" t="s">
        <v>230</v>
      </c>
    </row>
    <row r="9" spans="1:14" x14ac:dyDescent="0.25">
      <c r="A9" s="107">
        <v>2016</v>
      </c>
      <c r="B9" s="109">
        <v>10000</v>
      </c>
      <c r="C9" s="107">
        <v>0</v>
      </c>
      <c r="D9" s="107">
        <v>12</v>
      </c>
      <c r="E9" s="110">
        <v>2500</v>
      </c>
      <c r="F9" s="107">
        <v>48</v>
      </c>
      <c r="G9" s="41">
        <v>5000</v>
      </c>
      <c r="H9" s="38">
        <f>B9*B$32*(M9-L9)</f>
        <v>2998.140930281641</v>
      </c>
      <c r="I9" s="38">
        <f>E9*LN(H9)-H9</f>
        <v>17016.228283860801</v>
      </c>
      <c r="J9" s="38">
        <f t="shared" ref="J9:J18" si="0">(E9-H9)^2/H9</f>
        <v>82.766084781260886</v>
      </c>
      <c r="K9" s="38">
        <f>(E9-H9)/SQRT(J$19*H9)</f>
        <v>-1.3779788184736008</v>
      </c>
      <c r="L9" s="7">
        <v>0</v>
      </c>
      <c r="M9" s="7">
        <f>((D9-6)^B$31)/((D9-6)^B$31 +B$30^B$31)</f>
        <v>0.46948652212365194</v>
      </c>
    </row>
    <row r="10" spans="1:14" x14ac:dyDescent="0.25">
      <c r="A10" s="107">
        <v>2016</v>
      </c>
      <c r="B10" s="109">
        <v>10000</v>
      </c>
      <c r="C10" s="107">
        <v>12</v>
      </c>
      <c r="D10" s="107">
        <v>24</v>
      </c>
      <c r="E10" s="110">
        <v>1800</v>
      </c>
      <c r="F10" s="107">
        <v>48</v>
      </c>
      <c r="G10" s="41">
        <v>5000</v>
      </c>
      <c r="H10" s="38">
        <f t="shared" ref="H10:H18" si="1">B10*B$32*(M10-L10)</f>
        <v>1639.6388306211652</v>
      </c>
      <c r="I10" s="38">
        <f t="shared" ref="I10:I18" si="2">E10*LN(H10)-H10</f>
        <v>11684.377457780234</v>
      </c>
      <c r="J10" s="38">
        <f t="shared" si="0"/>
        <v>15.683761670126549</v>
      </c>
      <c r="K10" s="38">
        <f t="shared" ref="K10:K18" si="3">(E10-H10)/SQRT(J$19*H10)</f>
        <v>0.59984832874908711</v>
      </c>
      <c r="L10" s="7">
        <f>((C10-6)^B$31)/((C10-6)^B$31 +B$30^B$31)</f>
        <v>0.46948652212365194</v>
      </c>
      <c r="M10" s="7">
        <f t="shared" ref="M10:M18" si="4">((D10-6)^B$31)/((D10-6)^B$31 +B$30^B$31)</f>
        <v>0.72624174145048648</v>
      </c>
    </row>
    <row r="11" spans="1:14" x14ac:dyDescent="0.25">
      <c r="A11" s="107">
        <v>2016</v>
      </c>
      <c r="B11" s="109">
        <v>10000</v>
      </c>
      <c r="C11" s="107">
        <v>24</v>
      </c>
      <c r="D11" s="107">
        <v>36</v>
      </c>
      <c r="E11" s="110">
        <v>500</v>
      </c>
      <c r="F11" s="107">
        <v>48</v>
      </c>
      <c r="G11" s="41">
        <v>5000</v>
      </c>
      <c r="H11" s="38">
        <f t="shared" si="1"/>
        <v>569.95863159629573</v>
      </c>
      <c r="I11" s="38">
        <f t="shared" si="2"/>
        <v>2602.8232594276897</v>
      </c>
      <c r="J11" s="38">
        <f t="shared" si="0"/>
        <v>8.5869567781066944</v>
      </c>
      <c r="K11" s="38">
        <f t="shared" si="3"/>
        <v>-0.44384974486215417</v>
      </c>
      <c r="L11" s="7">
        <f t="shared" ref="L11:L17" si="5">((C11-6)^B$31)/((C11-6)^B$31 +B$30^B$31)</f>
        <v>0.72624174145048648</v>
      </c>
      <c r="M11" s="7">
        <f t="shared" si="4"/>
        <v>0.81549301479785508</v>
      </c>
    </row>
    <row r="12" spans="1:14" x14ac:dyDescent="0.25">
      <c r="A12" s="107">
        <v>2016</v>
      </c>
      <c r="B12" s="109">
        <v>10000</v>
      </c>
      <c r="C12" s="107">
        <v>36</v>
      </c>
      <c r="D12" s="107">
        <v>48</v>
      </c>
      <c r="E12" s="110">
        <v>200</v>
      </c>
      <c r="F12" s="107">
        <v>48</v>
      </c>
      <c r="G12" s="41">
        <v>5000</v>
      </c>
      <c r="H12" s="38">
        <f t="shared" si="1"/>
        <v>289.6301658775817</v>
      </c>
      <c r="I12" s="38">
        <f t="shared" si="2"/>
        <v>844.09079792817852</v>
      </c>
      <c r="J12" s="38">
        <f t="shared" si="0"/>
        <v>27.737327052591503</v>
      </c>
      <c r="K12" s="38">
        <f t="shared" si="3"/>
        <v>-0.79771661880091582</v>
      </c>
      <c r="L12" s="7">
        <f t="shared" si="5"/>
        <v>0.81549301479785508</v>
      </c>
      <c r="M12" s="7">
        <f t="shared" si="4"/>
        <v>0.86084693992744821</v>
      </c>
    </row>
    <row r="13" spans="1:14" x14ac:dyDescent="0.25">
      <c r="A13" s="107">
        <v>2017</v>
      </c>
      <c r="B13" s="109">
        <v>12000</v>
      </c>
      <c r="C13" s="107">
        <v>0</v>
      </c>
      <c r="D13" s="107">
        <v>12</v>
      </c>
      <c r="E13" s="110">
        <v>4100</v>
      </c>
      <c r="F13" s="107">
        <v>36</v>
      </c>
      <c r="G13" s="41">
        <v>7000</v>
      </c>
      <c r="H13" s="38">
        <f t="shared" si="1"/>
        <v>3597.7691163379691</v>
      </c>
      <c r="I13" s="38">
        <f t="shared" si="2"/>
        <v>29973.31477771085</v>
      </c>
      <c r="J13" s="38">
        <f t="shared" si="0"/>
        <v>70.108962623117293</v>
      </c>
      <c r="K13" s="38">
        <f t="shared" si="3"/>
        <v>1.2682448476817034</v>
      </c>
      <c r="L13" s="7">
        <v>0</v>
      </c>
      <c r="M13" s="7">
        <f t="shared" si="4"/>
        <v>0.46948652212365194</v>
      </c>
    </row>
    <row r="14" spans="1:14" x14ac:dyDescent="0.25">
      <c r="A14" s="107">
        <v>2017</v>
      </c>
      <c r="B14" s="109">
        <v>12000</v>
      </c>
      <c r="C14" s="107">
        <v>12</v>
      </c>
      <c r="D14" s="107">
        <v>24</v>
      </c>
      <c r="E14" s="110">
        <v>2000</v>
      </c>
      <c r="F14" s="107">
        <v>36</v>
      </c>
      <c r="G14" s="41">
        <v>7000</v>
      </c>
      <c r="H14" s="38">
        <f t="shared" si="1"/>
        <v>1967.5665967453981</v>
      </c>
      <c r="I14" s="38">
        <f t="shared" si="2"/>
        <v>13201.539059510731</v>
      </c>
      <c r="J14" s="38">
        <f t="shared" si="0"/>
        <v>0.5346328040004531</v>
      </c>
      <c r="K14" s="38">
        <f t="shared" si="3"/>
        <v>0.11075010265749811</v>
      </c>
      <c r="L14" s="7">
        <f t="shared" si="5"/>
        <v>0.46948652212365194</v>
      </c>
      <c r="M14" s="7">
        <f t="shared" si="4"/>
        <v>0.72624174145048648</v>
      </c>
    </row>
    <row r="15" spans="1:14" x14ac:dyDescent="0.25">
      <c r="A15" s="107">
        <v>2017</v>
      </c>
      <c r="B15" s="109">
        <v>12000</v>
      </c>
      <c r="C15" s="107">
        <v>24</v>
      </c>
      <c r="D15" s="107">
        <v>36</v>
      </c>
      <c r="E15" s="110">
        <v>900</v>
      </c>
      <c r="F15" s="107">
        <v>36</v>
      </c>
      <c r="G15" s="41">
        <v>7000</v>
      </c>
      <c r="H15" s="38">
        <f t="shared" si="1"/>
        <v>683.95035791555495</v>
      </c>
      <c r="I15" s="38">
        <f t="shared" si="2"/>
        <v>5191.146447042177</v>
      </c>
      <c r="J15" s="38">
        <f t="shared" si="0"/>
        <v>68.246835906444417</v>
      </c>
      <c r="K15" s="38">
        <f t="shared" si="3"/>
        <v>1.2512889135349312</v>
      </c>
      <c r="L15" s="7">
        <f t="shared" si="5"/>
        <v>0.72624174145048648</v>
      </c>
      <c r="M15" s="7">
        <f t="shared" si="4"/>
        <v>0.81549301479785508</v>
      </c>
    </row>
    <row r="16" spans="1:14" x14ac:dyDescent="0.25">
      <c r="A16" s="107">
        <v>2018</v>
      </c>
      <c r="B16" s="109">
        <v>15000</v>
      </c>
      <c r="C16" s="107">
        <v>0</v>
      </c>
      <c r="D16" s="107">
        <v>12</v>
      </c>
      <c r="E16" s="110">
        <v>4600</v>
      </c>
      <c r="F16" s="107">
        <v>24</v>
      </c>
      <c r="G16" s="41">
        <v>6800</v>
      </c>
      <c r="H16" s="38">
        <f t="shared" si="1"/>
        <v>4497.2113954224624</v>
      </c>
      <c r="I16" s="38">
        <f t="shared" si="2"/>
        <v>34194.367455897191</v>
      </c>
      <c r="J16" s="38">
        <f t="shared" si="0"/>
        <v>2.3493441384035449</v>
      </c>
      <c r="K16" s="38">
        <f t="shared" si="3"/>
        <v>0.23216120816300093</v>
      </c>
      <c r="L16" s="7">
        <v>0</v>
      </c>
      <c r="M16" s="7">
        <f t="shared" si="4"/>
        <v>0.46948652212365194</v>
      </c>
    </row>
    <row r="17" spans="1:13" x14ac:dyDescent="0.25">
      <c r="A17" s="107">
        <v>2018</v>
      </c>
      <c r="B17" s="109">
        <v>15000</v>
      </c>
      <c r="C17" s="107">
        <v>12</v>
      </c>
      <c r="D17" s="107">
        <v>24</v>
      </c>
      <c r="E17" s="110">
        <v>2200</v>
      </c>
      <c r="F17" s="107">
        <v>24</v>
      </c>
      <c r="G17" s="41">
        <v>6800</v>
      </c>
      <c r="H17" s="38">
        <f t="shared" si="1"/>
        <v>2459.458245931748</v>
      </c>
      <c r="I17" s="38">
        <f t="shared" si="2"/>
        <v>14717.473788841258</v>
      </c>
      <c r="J17" s="38">
        <f t="shared" si="0"/>
        <v>27.371304836474785</v>
      </c>
      <c r="K17" s="38">
        <f t="shared" si="3"/>
        <v>-0.79243579880083492</v>
      </c>
      <c r="L17" s="7">
        <f t="shared" si="5"/>
        <v>0.46948652212365194</v>
      </c>
      <c r="M17" s="7">
        <f t="shared" si="4"/>
        <v>0.72624174145048648</v>
      </c>
    </row>
    <row r="18" spans="1:13" x14ac:dyDescent="0.25">
      <c r="A18" s="107">
        <v>2019</v>
      </c>
      <c r="B18" s="109">
        <v>18000</v>
      </c>
      <c r="C18" s="107">
        <v>0</v>
      </c>
      <c r="D18" s="107">
        <v>12</v>
      </c>
      <c r="E18" s="110">
        <v>5300</v>
      </c>
      <c r="F18" s="107">
        <v>12</v>
      </c>
      <c r="G18" s="41">
        <v>5300</v>
      </c>
      <c r="H18" s="38">
        <f t="shared" si="1"/>
        <v>5396.6536745069543</v>
      </c>
      <c r="I18" s="38">
        <f t="shared" si="2"/>
        <v>40149.078383456261</v>
      </c>
      <c r="J18" s="38">
        <f t="shared" si="0"/>
        <v>1.7310602753380797</v>
      </c>
      <c r="K18" s="38">
        <f t="shared" si="3"/>
        <v>-0.19928399977815087</v>
      </c>
      <c r="L18" s="7">
        <v>0</v>
      </c>
      <c r="M18" s="7">
        <f t="shared" si="4"/>
        <v>0.46948652212365194</v>
      </c>
    </row>
    <row r="19" spans="1:13" x14ac:dyDescent="0.25">
      <c r="A19" s="3"/>
      <c r="B19" s="3"/>
      <c r="C19" s="3"/>
      <c r="D19" s="3"/>
      <c r="E19" s="3"/>
      <c r="F19" s="3"/>
      <c r="G19" s="3"/>
      <c r="H19" s="8"/>
      <c r="I19" s="8">
        <f>SUM(I9:I18)</f>
        <v>169574.43971145537</v>
      </c>
      <c r="J19" s="8">
        <f>SUM(J9:J18)/7</f>
        <v>43.588038695123451</v>
      </c>
      <c r="K19" s="8"/>
      <c r="L19" s="8"/>
    </row>
    <row r="20" spans="1:13" x14ac:dyDescent="0.25">
      <c r="A20" s="6" t="s">
        <v>125</v>
      </c>
      <c r="B20" s="6"/>
      <c r="C20" s="6"/>
      <c r="D20" s="6"/>
      <c r="E20" s="6"/>
      <c r="F20" s="6"/>
      <c r="G20" s="6"/>
      <c r="H20" s="6"/>
      <c r="I20" s="3"/>
      <c r="J20" s="3"/>
      <c r="K20" s="3"/>
      <c r="L20" s="8"/>
    </row>
    <row r="21" spans="1:13" ht="18.75" x14ac:dyDescent="0.25">
      <c r="A21" s="6" t="s">
        <v>177</v>
      </c>
      <c r="B21" s="6"/>
      <c r="C21" s="6"/>
      <c r="D21" s="6"/>
      <c r="E21" s="6"/>
      <c r="F21" s="6"/>
      <c r="G21" s="6"/>
      <c r="H21" s="6"/>
      <c r="I21" s="3"/>
      <c r="J21" s="3"/>
      <c r="K21" s="3"/>
      <c r="L21" s="8"/>
    </row>
    <row r="22" spans="1:13" x14ac:dyDescent="0.25">
      <c r="A22" s="6"/>
      <c r="B22" s="6"/>
      <c r="C22" s="6"/>
      <c r="D22" s="6"/>
      <c r="E22" s="6"/>
      <c r="F22" s="6"/>
      <c r="G22" s="6"/>
      <c r="H22" s="6"/>
      <c r="I22" s="3"/>
      <c r="J22" s="3"/>
      <c r="K22" s="3"/>
      <c r="L22" s="8"/>
    </row>
    <row r="23" spans="1:13" x14ac:dyDescent="0.25">
      <c r="A23" s="6" t="s">
        <v>126</v>
      </c>
      <c r="B23" s="6"/>
      <c r="C23" s="6"/>
      <c r="D23" s="6"/>
      <c r="E23" s="6"/>
      <c r="F23" s="6"/>
      <c r="G23" s="6"/>
      <c r="H23" s="6"/>
      <c r="I23" s="3"/>
      <c r="J23" s="3"/>
      <c r="K23" s="3"/>
      <c r="L23" s="8"/>
    </row>
    <row r="24" spans="1:13" x14ac:dyDescent="0.25">
      <c r="A24" s="3"/>
      <c r="B24" s="6"/>
      <c r="C24" s="6"/>
      <c r="D24" s="6"/>
      <c r="E24" s="6"/>
      <c r="F24" s="6"/>
      <c r="G24" s="6"/>
      <c r="H24" s="6"/>
      <c r="I24" s="3"/>
      <c r="J24" s="3"/>
      <c r="K24" s="3"/>
      <c r="L24" s="8"/>
    </row>
    <row r="25" spans="1:13" x14ac:dyDescent="0.25">
      <c r="A25" s="58" t="s">
        <v>26</v>
      </c>
      <c r="B25" s="3"/>
      <c r="C25" s="3"/>
      <c r="D25" s="3"/>
      <c r="E25" s="3"/>
      <c r="F25" s="3"/>
      <c r="G25" s="3"/>
      <c r="H25" s="3"/>
      <c r="I25" s="3"/>
      <c r="J25" s="3"/>
      <c r="K25" s="3"/>
      <c r="L25" s="8"/>
    </row>
    <row r="26" spans="1:13" x14ac:dyDescent="0.25">
      <c r="A26" s="6"/>
      <c r="B26" s="3"/>
      <c r="C26" s="3"/>
      <c r="D26" s="3"/>
      <c r="E26" s="3"/>
      <c r="F26" s="3"/>
      <c r="G26" s="3"/>
      <c r="H26" s="3"/>
      <c r="I26" s="3"/>
      <c r="J26" s="3"/>
      <c r="K26" s="3"/>
      <c r="L26" s="8"/>
    </row>
    <row r="27" spans="1:13" ht="18.75" x14ac:dyDescent="0.35">
      <c r="A27" s="6" t="s">
        <v>178</v>
      </c>
      <c r="B27" s="3"/>
      <c r="C27" s="3"/>
      <c r="D27" s="3"/>
      <c r="E27" s="3"/>
      <c r="F27" s="3"/>
      <c r="G27" s="61"/>
      <c r="H27" s="3"/>
      <c r="I27" s="3"/>
      <c r="J27" s="3"/>
      <c r="K27" s="3"/>
      <c r="L27" s="8"/>
    </row>
    <row r="28" spans="1:13" x14ac:dyDescent="0.25">
      <c r="A28" s="6" t="s">
        <v>179</v>
      </c>
      <c r="B28" s="3"/>
      <c r="C28" s="3"/>
      <c r="D28" s="3"/>
      <c r="E28" s="3"/>
      <c r="F28" s="3"/>
      <c r="G28" s="3"/>
      <c r="H28" s="3"/>
      <c r="I28" s="3"/>
      <c r="J28" s="3"/>
      <c r="K28" s="3"/>
      <c r="L28" s="8"/>
    </row>
    <row r="29" spans="1:13" x14ac:dyDescent="0.25">
      <c r="A29" s="6"/>
      <c r="B29" s="3"/>
      <c r="C29" s="3"/>
      <c r="D29" s="3"/>
      <c r="E29" s="3"/>
      <c r="F29" s="3"/>
      <c r="G29" s="3"/>
      <c r="H29" s="3"/>
      <c r="I29" s="3"/>
      <c r="J29" s="3"/>
      <c r="K29" s="3"/>
      <c r="L29" s="8"/>
    </row>
    <row r="30" spans="1:13" x14ac:dyDescent="0.25">
      <c r="A30" s="62" t="s">
        <v>180</v>
      </c>
      <c r="B30" s="9">
        <v>6.7805</v>
      </c>
      <c r="C30" s="3"/>
      <c r="D30" s="3"/>
      <c r="E30" s="3"/>
      <c r="F30" s="3"/>
      <c r="G30" s="3"/>
      <c r="H30" s="3"/>
      <c r="I30" s="3"/>
      <c r="J30" s="3"/>
      <c r="K30" s="3"/>
      <c r="L30" s="8"/>
    </row>
    <row r="31" spans="1:13" x14ac:dyDescent="0.25">
      <c r="A31" s="62" t="s">
        <v>20</v>
      </c>
      <c r="B31" s="9">
        <v>0.99929999999999997</v>
      </c>
      <c r="C31" s="3"/>
      <c r="D31" s="3"/>
      <c r="E31" s="3"/>
      <c r="F31" s="3"/>
      <c r="G31" s="3"/>
      <c r="H31" s="3"/>
      <c r="I31" s="3"/>
      <c r="J31" s="3"/>
      <c r="K31" s="3"/>
      <c r="L31" s="8"/>
    </row>
    <row r="32" spans="1:13" x14ac:dyDescent="0.25">
      <c r="A32" s="62" t="s">
        <v>19</v>
      </c>
      <c r="B32" s="9">
        <v>0.63859999999999995</v>
      </c>
      <c r="C32" s="3"/>
      <c r="D32" s="3"/>
      <c r="E32" s="3"/>
      <c r="F32" s="3"/>
      <c r="G32" s="3"/>
      <c r="H32" s="3"/>
      <c r="I32" s="3"/>
      <c r="J32" s="3"/>
      <c r="K32" s="3"/>
      <c r="L32" s="8"/>
    </row>
    <row r="33" spans="1:12" x14ac:dyDescent="0.25">
      <c r="A33" s="6"/>
      <c r="B33" s="3"/>
      <c r="C33" s="3"/>
      <c r="D33" s="3"/>
      <c r="E33" s="3"/>
      <c r="F33" s="3"/>
      <c r="G33" s="3"/>
      <c r="H33" s="3"/>
      <c r="I33" s="3"/>
      <c r="J33" s="3"/>
      <c r="K33" s="3"/>
      <c r="L33" s="8"/>
    </row>
    <row r="34" spans="1:12" x14ac:dyDescent="0.25">
      <c r="A34" s="6" t="s">
        <v>1</v>
      </c>
      <c r="B34" s="6" t="s">
        <v>181</v>
      </c>
      <c r="C34" s="3"/>
      <c r="D34" s="3"/>
      <c r="E34" s="3"/>
      <c r="F34" s="3"/>
      <c r="G34" s="3"/>
      <c r="H34" s="3"/>
      <c r="I34" s="3"/>
      <c r="J34" s="3"/>
      <c r="K34" s="3"/>
      <c r="L34" s="8"/>
    </row>
    <row r="35" spans="1:12" x14ac:dyDescent="0.25">
      <c r="A35" s="6"/>
      <c r="B35" s="6"/>
      <c r="C35" s="63" t="s">
        <v>127</v>
      </c>
      <c r="D35" s="58"/>
      <c r="E35" s="6"/>
      <c r="F35" s="6"/>
      <c r="G35" s="3"/>
      <c r="H35" s="3"/>
      <c r="I35" s="3"/>
      <c r="J35" s="3"/>
      <c r="K35" s="3"/>
      <c r="L35" s="8"/>
    </row>
    <row r="36" spans="1:12" ht="18.75" x14ac:dyDescent="0.25">
      <c r="A36" s="6" t="s">
        <v>11</v>
      </c>
      <c r="B36" s="6" t="s">
        <v>182</v>
      </c>
      <c r="C36" s="6"/>
      <c r="D36" s="6"/>
      <c r="E36" s="6"/>
      <c r="F36" s="6"/>
      <c r="G36" s="3"/>
      <c r="H36" s="3"/>
      <c r="I36" s="3"/>
      <c r="J36" s="3"/>
      <c r="K36" s="3"/>
      <c r="L36" s="8"/>
    </row>
    <row r="37" spans="1:12" x14ac:dyDescent="0.25">
      <c r="A37" s="6"/>
      <c r="B37" s="6"/>
      <c r="C37" s="63" t="s">
        <v>127</v>
      </c>
      <c r="D37" s="6"/>
      <c r="E37" s="6"/>
      <c r="F37" s="6"/>
      <c r="G37" s="3"/>
      <c r="H37" s="3"/>
      <c r="I37" s="3"/>
      <c r="J37" s="3"/>
      <c r="K37" s="3"/>
      <c r="L37" s="8"/>
    </row>
    <row r="38" spans="1:12" x14ac:dyDescent="0.25">
      <c r="A38" s="6" t="s">
        <v>13</v>
      </c>
      <c r="B38" s="6" t="s">
        <v>128</v>
      </c>
      <c r="C38" s="3"/>
      <c r="D38" s="3"/>
      <c r="E38" s="3"/>
      <c r="F38" s="3"/>
      <c r="G38" s="3"/>
      <c r="H38" s="3"/>
      <c r="I38" s="3"/>
      <c r="J38" s="3"/>
      <c r="K38" s="3"/>
      <c r="L38" s="8"/>
    </row>
    <row r="39" spans="1:12" x14ac:dyDescent="0.25">
      <c r="A39" s="6"/>
      <c r="B39" s="6"/>
      <c r="C39" s="63" t="s">
        <v>183</v>
      </c>
      <c r="D39" s="3"/>
      <c r="E39" s="3"/>
      <c r="F39" s="3"/>
      <c r="G39" s="3"/>
      <c r="H39" s="3"/>
      <c r="I39" s="3"/>
      <c r="J39" s="3"/>
      <c r="K39" s="3"/>
    </row>
    <row r="40" spans="1:12" x14ac:dyDescent="0.25">
      <c r="A40" s="63"/>
      <c r="B40" s="58"/>
      <c r="C40" s="58"/>
      <c r="D40" s="58"/>
      <c r="E40" s="58"/>
      <c r="F40" s="58"/>
      <c r="G40" s="58"/>
      <c r="H40" s="6"/>
      <c r="I40" s="6"/>
      <c r="J40" s="3"/>
      <c r="K40" s="3"/>
    </row>
    <row r="44" spans="1:12" ht="19.899999999999999" customHeight="1" x14ac:dyDescent="0.25"/>
    <row r="45" spans="1:12" ht="19.899999999999999" customHeight="1" x14ac:dyDescent="0.25"/>
    <row r="46" spans="1:12" ht="19.899999999999999" customHeight="1" x14ac:dyDescent="0.25"/>
    <row r="47" spans="1:12" ht="19.899999999999999" customHeight="1" x14ac:dyDescent="0.25"/>
    <row r="57" spans="1:11" x14ac:dyDescent="0.25">
      <c r="A57" s="58" t="s">
        <v>25</v>
      </c>
      <c r="B57" s="6"/>
      <c r="C57" s="6"/>
      <c r="D57" s="6"/>
      <c r="E57" s="6"/>
      <c r="F57" s="6"/>
      <c r="G57" s="6"/>
      <c r="H57" s="6"/>
      <c r="I57" s="3"/>
      <c r="J57" s="3"/>
      <c r="K57" s="3"/>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4276-1E72-4D4D-9700-4EFD679A09CE}">
  <dimension ref="A1:M91"/>
  <sheetViews>
    <sheetView workbookViewId="0"/>
  </sheetViews>
  <sheetFormatPr defaultRowHeight="15" x14ac:dyDescent="0.25"/>
  <cols>
    <col min="11" max="11" width="7.5703125" customWidth="1"/>
    <col min="12" max="12" width="7.28515625" customWidth="1"/>
  </cols>
  <sheetData>
    <row r="1" spans="1:13" ht="18.75" x14ac:dyDescent="0.3">
      <c r="A1" s="102" t="s">
        <v>184</v>
      </c>
      <c r="B1" s="103"/>
      <c r="C1" s="4"/>
      <c r="D1" s="103"/>
      <c r="E1" s="103"/>
      <c r="F1" s="103"/>
      <c r="G1" s="103"/>
      <c r="H1" s="103"/>
      <c r="I1" s="103"/>
      <c r="J1" s="103"/>
      <c r="K1" s="103"/>
      <c r="L1" s="104"/>
      <c r="M1" s="64"/>
    </row>
    <row r="2" spans="1:13" ht="50.25" customHeight="1" x14ac:dyDescent="0.25">
      <c r="A2" s="159" t="s">
        <v>185</v>
      </c>
      <c r="B2" s="159"/>
      <c r="C2" s="159"/>
      <c r="D2" s="159"/>
      <c r="E2" s="159"/>
      <c r="F2" s="159"/>
      <c r="G2" s="159"/>
      <c r="H2" s="159"/>
      <c r="I2" s="159"/>
      <c r="J2" s="159"/>
      <c r="K2" s="159"/>
      <c r="L2" s="159"/>
      <c r="M2" s="64"/>
    </row>
    <row r="3" spans="1:13" ht="15.75" customHeight="1" x14ac:dyDescent="0.25">
      <c r="A3" s="101"/>
      <c r="B3" s="101"/>
      <c r="C3" s="101"/>
      <c r="D3" s="101"/>
      <c r="E3" s="101"/>
      <c r="F3" s="101"/>
      <c r="G3" s="101"/>
      <c r="H3" s="101"/>
      <c r="I3" s="101"/>
      <c r="J3" s="101"/>
      <c r="K3" s="101"/>
      <c r="L3" s="101"/>
      <c r="M3" s="64"/>
    </row>
    <row r="4" spans="1:13" ht="15" customHeight="1" x14ac:dyDescent="0.25">
      <c r="A4" s="159" t="s">
        <v>186</v>
      </c>
      <c r="B4" s="159"/>
      <c r="C4" s="159"/>
      <c r="D4" s="159"/>
      <c r="E4" s="159"/>
      <c r="F4" s="159"/>
      <c r="G4" s="159"/>
      <c r="H4" s="159"/>
      <c r="I4" s="159"/>
      <c r="J4" s="159"/>
      <c r="K4" s="159"/>
      <c r="L4" s="159"/>
      <c r="M4" s="64"/>
    </row>
    <row r="5" spans="1:13" ht="15" customHeight="1" x14ac:dyDescent="0.25">
      <c r="A5" s="101"/>
      <c r="B5" s="63" t="s">
        <v>187</v>
      </c>
      <c r="C5" s="101"/>
      <c r="D5" s="101"/>
      <c r="E5" s="101"/>
      <c r="F5" s="101"/>
      <c r="G5" s="101"/>
      <c r="H5" s="101"/>
      <c r="I5" s="101"/>
      <c r="J5" s="101"/>
      <c r="K5" s="101"/>
      <c r="L5" s="101"/>
      <c r="M5" s="64"/>
    </row>
    <row r="6" spans="1:13" ht="15.75" x14ac:dyDescent="0.25">
      <c r="A6" s="101"/>
      <c r="B6" s="63"/>
      <c r="C6" s="101"/>
      <c r="D6" s="101"/>
      <c r="E6" s="101"/>
      <c r="F6" s="101"/>
      <c r="G6" s="101"/>
      <c r="H6" s="101"/>
      <c r="I6" s="101"/>
      <c r="J6" s="101"/>
      <c r="K6" s="101"/>
      <c r="L6" s="101"/>
      <c r="M6" s="64"/>
    </row>
    <row r="7" spans="1:13" ht="15.75" x14ac:dyDescent="0.25">
      <c r="A7" s="58" t="s">
        <v>26</v>
      </c>
      <c r="B7" s="101"/>
      <c r="C7" s="101"/>
      <c r="D7" s="101"/>
      <c r="E7" s="101"/>
      <c r="F7" s="101"/>
      <c r="G7" s="101"/>
      <c r="H7" s="101"/>
      <c r="I7" s="101"/>
      <c r="J7" s="101"/>
      <c r="K7" s="101"/>
      <c r="L7" s="101"/>
      <c r="M7" s="64"/>
    </row>
    <row r="8" spans="1:13" ht="15.75" x14ac:dyDescent="0.25">
      <c r="A8" s="6"/>
      <c r="B8" s="6"/>
      <c r="C8" s="6"/>
      <c r="D8" s="6"/>
      <c r="E8" s="6"/>
      <c r="F8" s="6"/>
      <c r="G8" s="6"/>
      <c r="H8" s="6"/>
      <c r="I8" s="6"/>
      <c r="J8" s="6"/>
      <c r="K8" s="6"/>
      <c r="L8" s="6"/>
      <c r="M8" s="64"/>
    </row>
    <row r="9" spans="1:13" ht="15.75" x14ac:dyDescent="0.25">
      <c r="A9" s="65" t="s">
        <v>1</v>
      </c>
      <c r="B9" s="66" t="s">
        <v>188</v>
      </c>
      <c r="C9" s="6"/>
      <c r="D9" s="6"/>
      <c r="E9" s="6"/>
      <c r="F9" s="6"/>
      <c r="G9" s="6"/>
      <c r="H9" s="6"/>
      <c r="I9" s="6"/>
      <c r="J9" s="6"/>
      <c r="K9" s="67"/>
      <c r="L9" s="6"/>
      <c r="M9" s="68"/>
    </row>
    <row r="10" spans="1:13" ht="15.75" x14ac:dyDescent="0.25">
      <c r="A10" s="69"/>
      <c r="B10" s="10"/>
      <c r="C10" s="6"/>
      <c r="D10" s="63" t="s">
        <v>131</v>
      </c>
      <c r="E10" s="6"/>
      <c r="F10" s="6"/>
      <c r="G10" s="6"/>
      <c r="H10" s="6"/>
      <c r="I10" s="6"/>
      <c r="J10" s="6"/>
      <c r="K10" s="6"/>
      <c r="L10" s="6"/>
      <c r="M10" s="64"/>
    </row>
    <row r="11" spans="1:13" ht="18.75" x14ac:dyDescent="0.25">
      <c r="A11" s="70" t="s">
        <v>11</v>
      </c>
      <c r="B11" s="66" t="s">
        <v>189</v>
      </c>
      <c r="C11" s="6"/>
      <c r="D11" s="6"/>
      <c r="E11" s="6"/>
      <c r="F11" s="6"/>
      <c r="G11" s="6"/>
      <c r="H11" s="6"/>
      <c r="I11" s="6"/>
      <c r="J11" s="6"/>
      <c r="K11" s="67"/>
      <c r="L11" s="6"/>
      <c r="M11" s="68"/>
    </row>
    <row r="12" spans="1:13" ht="15.75" x14ac:dyDescent="0.25">
      <c r="A12" s="69"/>
      <c r="B12" s="10"/>
      <c r="C12" s="6"/>
      <c r="D12" s="63" t="s">
        <v>131</v>
      </c>
      <c r="E12" s="6"/>
      <c r="F12" s="6"/>
      <c r="G12" s="6"/>
      <c r="H12" s="6"/>
      <c r="I12" s="6"/>
      <c r="J12" s="6"/>
      <c r="K12" s="6"/>
      <c r="L12" s="6"/>
      <c r="M12" s="64"/>
    </row>
    <row r="13" spans="1:13" ht="15.75" x14ac:dyDescent="0.25">
      <c r="A13" s="71" t="s">
        <v>13</v>
      </c>
      <c r="B13" s="66" t="s">
        <v>132</v>
      </c>
      <c r="C13" s="6"/>
      <c r="D13" s="6"/>
      <c r="E13" s="6"/>
      <c r="F13" s="6"/>
      <c r="G13" s="6"/>
      <c r="H13" s="6"/>
      <c r="I13" s="6"/>
      <c r="J13" s="6"/>
      <c r="K13" s="6"/>
      <c r="L13" s="6"/>
      <c r="M13" s="64"/>
    </row>
    <row r="14" spans="1:13" ht="15.75" x14ac:dyDescent="0.25">
      <c r="A14" s="71"/>
      <c r="B14" s="72" t="s">
        <v>133</v>
      </c>
      <c r="C14" s="6"/>
      <c r="D14" s="6"/>
      <c r="E14" s="6"/>
      <c r="F14" s="6"/>
      <c r="G14" s="6"/>
      <c r="H14" s="6"/>
      <c r="I14" s="6"/>
      <c r="J14" s="6"/>
      <c r="K14" s="6"/>
      <c r="L14" s="6"/>
      <c r="M14" s="64"/>
    </row>
    <row r="15" spans="1:13" ht="15.75" x14ac:dyDescent="0.25">
      <c r="A15" s="69"/>
      <c r="B15" s="10"/>
      <c r="C15" s="6"/>
      <c r="D15" s="63" t="s">
        <v>131</v>
      </c>
      <c r="E15" s="6"/>
      <c r="F15" s="6"/>
      <c r="G15" s="6"/>
      <c r="H15" s="6"/>
      <c r="I15" s="6"/>
      <c r="J15" s="6"/>
      <c r="K15" s="6"/>
      <c r="L15" s="6"/>
      <c r="M15" s="64"/>
    </row>
    <row r="16" spans="1:13" ht="15.75" x14ac:dyDescent="0.25">
      <c r="A16" s="73" t="s">
        <v>134</v>
      </c>
      <c r="B16" s="66" t="s">
        <v>135</v>
      </c>
      <c r="C16" s="6"/>
      <c r="D16" s="6"/>
      <c r="E16" s="6"/>
      <c r="F16" s="6"/>
      <c r="G16" s="6"/>
      <c r="H16" s="6"/>
      <c r="I16" s="6"/>
      <c r="J16" s="6"/>
      <c r="K16" s="6"/>
      <c r="L16" s="6"/>
      <c r="M16" s="64"/>
    </row>
    <row r="17" spans="1:13" ht="15.75" x14ac:dyDescent="0.25">
      <c r="A17" s="10"/>
      <c r="B17" s="6"/>
      <c r="C17" s="6"/>
      <c r="D17" s="63" t="s">
        <v>131</v>
      </c>
      <c r="E17" s="6"/>
      <c r="F17" s="6"/>
      <c r="G17" s="6"/>
      <c r="H17" s="6"/>
      <c r="I17" s="6"/>
      <c r="J17" s="6"/>
      <c r="K17" s="6"/>
      <c r="L17" s="6"/>
      <c r="M17" s="64"/>
    </row>
    <row r="18" spans="1:13" ht="15.75" x14ac:dyDescent="0.25">
      <c r="A18" s="10"/>
      <c r="B18" s="6"/>
      <c r="C18" s="6"/>
      <c r="D18" s="63"/>
      <c r="E18" s="6"/>
      <c r="F18" s="6"/>
      <c r="G18" s="6"/>
      <c r="H18" s="6"/>
      <c r="I18" s="6"/>
      <c r="J18" s="6"/>
      <c r="K18" s="6"/>
      <c r="L18" s="6"/>
      <c r="M18" s="64"/>
    </row>
    <row r="19" spans="1:13" ht="15.75" x14ac:dyDescent="0.25">
      <c r="A19" s="58" t="s">
        <v>136</v>
      </c>
      <c r="B19" s="101"/>
      <c r="C19" s="101"/>
      <c r="D19" s="101"/>
      <c r="E19" s="101"/>
      <c r="F19" s="101"/>
      <c r="G19" s="101"/>
      <c r="H19" s="101"/>
      <c r="I19" s="101"/>
      <c r="J19" s="101"/>
      <c r="K19" s="101"/>
      <c r="L19" s="101"/>
      <c r="M19" s="64"/>
    </row>
    <row r="20" spans="1:13" ht="15.75" x14ac:dyDescent="0.25">
      <c r="A20" s="7" t="s">
        <v>0</v>
      </c>
      <c r="B20" s="7"/>
      <c r="C20" s="7"/>
      <c r="D20" s="7"/>
      <c r="E20" s="7"/>
      <c r="F20" s="7"/>
      <c r="G20" s="7"/>
      <c r="H20" s="7"/>
      <c r="I20" s="7"/>
      <c r="J20" s="7"/>
    </row>
    <row r="21" spans="1:13" ht="15.75" x14ac:dyDescent="0.25">
      <c r="A21" s="7"/>
      <c r="B21" s="7"/>
      <c r="C21" s="7"/>
      <c r="D21" s="7"/>
      <c r="E21" s="7"/>
      <c r="F21" s="7"/>
      <c r="G21" s="7"/>
      <c r="H21" s="7"/>
      <c r="I21" s="7"/>
      <c r="J21" s="7"/>
    </row>
    <row r="22" spans="1:13" ht="15.75" x14ac:dyDescent="0.25">
      <c r="A22" s="7"/>
      <c r="B22" s="7"/>
      <c r="C22" s="158" t="s">
        <v>27</v>
      </c>
      <c r="D22" s="158"/>
      <c r="E22" s="158"/>
      <c r="F22" s="158"/>
      <c r="G22" s="158"/>
      <c r="H22" s="158"/>
      <c r="I22" s="158"/>
      <c r="J22" s="80" t="s">
        <v>134</v>
      </c>
    </row>
    <row r="23" spans="1:13" ht="31.5" x14ac:dyDescent="0.25">
      <c r="A23" s="7"/>
      <c r="B23" s="81" t="s">
        <v>21</v>
      </c>
      <c r="C23" s="82">
        <v>1</v>
      </c>
      <c r="D23" s="82">
        <v>2</v>
      </c>
      <c r="E23" s="82">
        <v>3</v>
      </c>
      <c r="F23" s="82">
        <v>4</v>
      </c>
      <c r="G23" s="82">
        <v>5</v>
      </c>
      <c r="H23" s="82">
        <v>6</v>
      </c>
      <c r="I23" s="82">
        <v>7</v>
      </c>
      <c r="J23" s="83" t="s">
        <v>28</v>
      </c>
    </row>
    <row r="24" spans="1:13" ht="15.75" x14ac:dyDescent="0.25">
      <c r="A24" s="7"/>
      <c r="B24" s="16">
        <v>1</v>
      </c>
      <c r="C24" s="84">
        <v>5012</v>
      </c>
      <c r="D24" s="84">
        <v>8269</v>
      </c>
      <c r="E24" s="84">
        <v>10907</v>
      </c>
      <c r="F24" s="84">
        <v>11805</v>
      </c>
      <c r="G24" s="84">
        <v>13539</v>
      </c>
      <c r="H24" s="84">
        <v>16181</v>
      </c>
      <c r="I24" s="84">
        <v>18009</v>
      </c>
      <c r="J24" s="85">
        <v>0</v>
      </c>
    </row>
    <row r="25" spans="1:13" ht="15.75" x14ac:dyDescent="0.25">
      <c r="A25" s="7"/>
      <c r="B25" s="16">
        <v>2</v>
      </c>
      <c r="C25" s="84">
        <v>106</v>
      </c>
      <c r="D25" s="84">
        <v>4285</v>
      </c>
      <c r="E25" s="84">
        <v>5396</v>
      </c>
      <c r="F25" s="84">
        <v>10666</v>
      </c>
      <c r="G25" s="84">
        <v>13782</v>
      </c>
      <c r="H25" s="84">
        <v>15599</v>
      </c>
      <c r="I25" s="86">
        <f t="shared" ref="I25:I30" si="0">H25*H$39</f>
        <v>17361.250293554171</v>
      </c>
      <c r="J25" s="85">
        <v>559</v>
      </c>
    </row>
    <row r="26" spans="1:13" ht="15.75" x14ac:dyDescent="0.25">
      <c r="A26" s="7"/>
      <c r="B26" s="16">
        <v>3</v>
      </c>
      <c r="C26" s="84">
        <v>3410</v>
      </c>
      <c r="D26" s="84">
        <v>8992</v>
      </c>
      <c r="E26" s="84">
        <v>13873</v>
      </c>
      <c r="F26" s="84">
        <v>16141</v>
      </c>
      <c r="G26" s="84">
        <v>18735</v>
      </c>
      <c r="H26" s="86">
        <f>G26*G$39</f>
        <v>21792.697924673328</v>
      </c>
      <c r="I26" s="86">
        <f t="shared" si="0"/>
        <v>24254.66268620246</v>
      </c>
      <c r="J26" s="87">
        <f>(I26^2*(G40/G39^2*(1/G26+1/(G24+G25))+H40/H39^2*(1/H26+1/H24)))^0.5</f>
        <v>1261.9768827159153</v>
      </c>
    </row>
    <row r="27" spans="1:13" ht="15.75" x14ac:dyDescent="0.25">
      <c r="A27" s="12" t="s">
        <v>13</v>
      </c>
      <c r="B27" s="16">
        <v>4</v>
      </c>
      <c r="C27" s="84">
        <v>5655</v>
      </c>
      <c r="D27" s="84">
        <v>11555</v>
      </c>
      <c r="E27" s="84">
        <v>15766</v>
      </c>
      <c r="F27" s="84">
        <v>21266</v>
      </c>
      <c r="G27" s="86">
        <f>F27*F$39</f>
        <v>25365.868020304566</v>
      </c>
      <c r="H27" s="86">
        <f>G27*G$39</f>
        <v>29505.775252929216</v>
      </c>
      <c r="I27" s="86">
        <f t="shared" si="0"/>
        <v>32839.101818799973</v>
      </c>
      <c r="J27" s="87">
        <f>(I27^2*(F40/F39^2*(1/F27+1/(F24+F25+F26))+G40/G39^2*(1/G27+1/(G24+G25))+H40/H39^2*(1/H27+1/H24)))^0.5</f>
        <v>2562.1759985869767</v>
      </c>
    </row>
    <row r="28" spans="1:13" ht="15.75" x14ac:dyDescent="0.25">
      <c r="A28" s="14"/>
      <c r="B28" s="16">
        <v>5</v>
      </c>
      <c r="C28" s="84">
        <v>1092</v>
      </c>
      <c r="D28" s="84">
        <v>9565</v>
      </c>
      <c r="E28" s="84">
        <v>15836</v>
      </c>
      <c r="F28" s="86">
        <f>E28*E$39</f>
        <v>20639.676287492926</v>
      </c>
      <c r="G28" s="86">
        <f>F28*F$39</f>
        <v>24618.795480596036</v>
      </c>
      <c r="H28" s="86">
        <f>G28*G$39</f>
        <v>28636.774655881632</v>
      </c>
      <c r="I28" s="86">
        <f t="shared" si="0"/>
        <v>31871.928482650786</v>
      </c>
      <c r="J28" s="85">
        <v>7865</v>
      </c>
    </row>
    <row r="29" spans="1:13" ht="15.75" x14ac:dyDescent="0.25">
      <c r="A29" s="7"/>
      <c r="B29" s="16">
        <v>6</v>
      </c>
      <c r="C29" s="84">
        <v>1513</v>
      </c>
      <c r="D29" s="84">
        <v>6445</v>
      </c>
      <c r="E29" s="86">
        <f>D29*D$39</f>
        <v>9332.0022969108886</v>
      </c>
      <c r="F29" s="86">
        <f>E29*E$39</f>
        <v>12162.762472997043</v>
      </c>
      <c r="G29" s="86">
        <f>F29*F$39</f>
        <v>14507.619093969537</v>
      </c>
      <c r="H29" s="86">
        <f>G29*G$39</f>
        <v>16875.37552821463</v>
      </c>
      <c r="I29" s="86">
        <f t="shared" si="0"/>
        <v>18781.820523306182</v>
      </c>
      <c r="J29" s="85">
        <v>6234</v>
      </c>
    </row>
    <row r="30" spans="1:13" ht="15.75" x14ac:dyDescent="0.25">
      <c r="A30" s="7"/>
      <c r="B30" s="16">
        <v>7</v>
      </c>
      <c r="C30" s="84">
        <v>557</v>
      </c>
      <c r="D30" s="88">
        <v>1629</v>
      </c>
      <c r="E30" s="86">
        <f>D30*D$39</f>
        <v>2358.7015890873295</v>
      </c>
      <c r="F30" s="86">
        <f>E30*E$39</f>
        <v>3074.1877530662819</v>
      </c>
      <c r="G30" s="86">
        <f>F30*F$39</f>
        <v>3666.8598144416419</v>
      </c>
      <c r="H30" s="86">
        <f>G30*G$39</f>
        <v>4265.3198968908673</v>
      </c>
      <c r="I30" s="86">
        <f t="shared" si="0"/>
        <v>4747.181634207258</v>
      </c>
      <c r="J30" s="85">
        <v>14344</v>
      </c>
    </row>
    <row r="31" spans="1:13" ht="15.75" x14ac:dyDescent="0.25">
      <c r="A31" s="7"/>
      <c r="B31" s="7"/>
      <c r="C31" s="158" t="s">
        <v>29</v>
      </c>
      <c r="D31" s="158"/>
      <c r="E31" s="158"/>
      <c r="F31" s="158"/>
      <c r="G31" s="158"/>
      <c r="H31" s="158"/>
      <c r="I31" s="158"/>
      <c r="J31" s="7"/>
    </row>
    <row r="32" spans="1:13" ht="15.75" x14ac:dyDescent="0.25">
      <c r="A32" s="7"/>
      <c r="B32" s="77">
        <v>1</v>
      </c>
      <c r="C32" s="78">
        <v>1.6498403830806065</v>
      </c>
      <c r="D32" s="79">
        <f t="shared" ref="D32:H32" si="1">E24/D24</f>
        <v>1.3190228564518081</v>
      </c>
      <c r="E32" s="79">
        <f t="shared" si="1"/>
        <v>1.0823324470523517</v>
      </c>
      <c r="F32" s="79">
        <f t="shared" si="1"/>
        <v>1.1468869123252858</v>
      </c>
      <c r="G32" s="79">
        <f t="shared" si="1"/>
        <v>1.1951399660240787</v>
      </c>
      <c r="H32" s="79">
        <f t="shared" si="1"/>
        <v>1.1129720042024598</v>
      </c>
      <c r="I32" s="7"/>
      <c r="J32" s="7"/>
    </row>
    <row r="33" spans="1:10" ht="15.75" x14ac:dyDescent="0.25">
      <c r="A33" s="7"/>
      <c r="B33" s="77">
        <v>2</v>
      </c>
      <c r="C33" s="78">
        <v>40.424528301886795</v>
      </c>
      <c r="D33" s="79">
        <f>E25/D25</f>
        <v>1.2592765460910151</v>
      </c>
      <c r="E33" s="79">
        <f>F25/E25</f>
        <v>1.9766493699036323</v>
      </c>
      <c r="F33" s="79">
        <f>G25/F25</f>
        <v>1.2921432589536845</v>
      </c>
      <c r="G33" s="79">
        <f>H25/G25</f>
        <v>1.1318386300972283</v>
      </c>
      <c r="H33" s="15"/>
      <c r="I33" s="7"/>
      <c r="J33" s="7"/>
    </row>
    <row r="34" spans="1:10" ht="15.75" x14ac:dyDescent="0.25">
      <c r="A34" s="7"/>
      <c r="B34" s="77">
        <v>3</v>
      </c>
      <c r="C34" s="78">
        <v>2.6369501466275658</v>
      </c>
      <c r="D34" s="79">
        <f>E26/D26</f>
        <v>1.5428158362989324</v>
      </c>
      <c r="E34" s="79">
        <f>F26/E26</f>
        <v>1.1634830245801198</v>
      </c>
      <c r="F34" s="79">
        <f>G26/F26</f>
        <v>1.1607087541044545</v>
      </c>
      <c r="G34" s="15"/>
      <c r="H34" s="15"/>
      <c r="I34" s="7"/>
      <c r="J34" s="7"/>
    </row>
    <row r="35" spans="1:10" ht="15.75" x14ac:dyDescent="0.25">
      <c r="A35" s="11" t="s">
        <v>1</v>
      </c>
      <c r="B35" s="77">
        <v>4</v>
      </c>
      <c r="C35" s="78">
        <v>2.0433244916003535</v>
      </c>
      <c r="D35" s="79">
        <f>E27/D27</f>
        <v>1.3644309822587624</v>
      </c>
      <c r="E35" s="79">
        <f>F27/E27</f>
        <v>1.3488519599137385</v>
      </c>
      <c r="F35" s="15"/>
      <c r="G35" s="15"/>
      <c r="H35" s="15"/>
      <c r="I35" s="7"/>
      <c r="J35" s="7"/>
    </row>
    <row r="36" spans="1:10" ht="15.75" x14ac:dyDescent="0.25">
      <c r="A36" s="7"/>
      <c r="B36" s="77">
        <v>5</v>
      </c>
      <c r="C36" s="78">
        <v>8.7591575091575091</v>
      </c>
      <c r="D36" s="79">
        <f>E28/D28</f>
        <v>1.6556194458964977</v>
      </c>
      <c r="E36" s="15"/>
      <c r="F36" s="15"/>
      <c r="G36" s="15"/>
      <c r="H36" s="15"/>
      <c r="I36" s="7"/>
      <c r="J36" s="7"/>
    </row>
    <row r="37" spans="1:10" ht="15.75" x14ac:dyDescent="0.25">
      <c r="A37" s="7"/>
      <c r="B37" s="77">
        <v>6</v>
      </c>
      <c r="C37" s="78">
        <v>4.2597488433575679</v>
      </c>
      <c r="D37" s="15"/>
      <c r="E37" s="15"/>
      <c r="F37" s="15"/>
      <c r="G37" s="15"/>
      <c r="H37" s="15"/>
      <c r="I37" s="7"/>
      <c r="J37" s="7"/>
    </row>
    <row r="38" spans="1:10" ht="15.75" x14ac:dyDescent="0.25">
      <c r="A38" s="7"/>
      <c r="B38" s="7"/>
      <c r="C38" s="7"/>
      <c r="D38" s="7"/>
      <c r="E38" s="7"/>
      <c r="F38" s="7"/>
      <c r="G38" s="7"/>
      <c r="H38" s="7"/>
      <c r="I38" s="7"/>
      <c r="J38" s="7"/>
    </row>
    <row r="39" spans="1:10" ht="18.75" x14ac:dyDescent="0.35">
      <c r="A39" s="70" t="s">
        <v>11</v>
      </c>
      <c r="B39" s="74" t="s">
        <v>137</v>
      </c>
      <c r="C39" s="75">
        <v>2.92536</v>
      </c>
      <c r="D39" s="75">
        <f>(E24+E25+E26+E27+E28)/(D24+D25+D26+D27+D28)</f>
        <v>1.447944499132799</v>
      </c>
      <c r="E39" s="75">
        <f>(F24+F25+F26+F27)/(E24+E25+E26+E27)</f>
        <v>1.3033389926428975</v>
      </c>
      <c r="F39" s="75">
        <f>(G24+G25+G26)/(F24+F25+F26)</f>
        <v>1.192789806277841</v>
      </c>
      <c r="G39" s="75">
        <f>(H24+H25)/(G24+G25)</f>
        <v>1.1632077888803485</v>
      </c>
      <c r="H39" s="75">
        <f>I24/H24</f>
        <v>1.1129720042024598</v>
      </c>
      <c r="I39" s="7"/>
      <c r="J39" s="7"/>
    </row>
    <row r="40" spans="1:10" ht="20.25" x14ac:dyDescent="0.35">
      <c r="A40" s="7"/>
      <c r="B40" s="74" t="s">
        <v>138</v>
      </c>
      <c r="C40" s="76">
        <v>40350.321000000004</v>
      </c>
      <c r="D40" s="76">
        <f>(D24*(D32-D39)^2+D25*(D33-D39)^2+D26*(D34-D39)^2+D27*(D35-D39)^2+D28*(D36-D39)^2)/4</f>
        <v>216.00394477115202</v>
      </c>
      <c r="E40" s="76">
        <f>(E24*(E32-E39)^2+E25*(E33-E39)^2+E26*(E34-E39)^2+E27*(E35-E39)^2)/3</f>
        <v>1094.3365982156686</v>
      </c>
      <c r="F40" s="76">
        <f>(F24*(F32-F39)^2+F25*(F33-F39)^2+F26*(F34-F39)^2)/2</f>
        <v>73.385745543216402</v>
      </c>
      <c r="G40" s="76">
        <f>(G24*(G32-G39)^2+G25*(G33-G39)^2)/1</f>
        <v>27.367050504805714</v>
      </c>
      <c r="H40" s="76">
        <f>G40^2/F40</f>
        <v>10.205734748467352</v>
      </c>
      <c r="I40" s="7"/>
      <c r="J40" s="7"/>
    </row>
    <row r="41" spans="1:10" ht="15.75" x14ac:dyDescent="0.25">
      <c r="A41" s="7"/>
      <c r="B41" s="7"/>
      <c r="C41" s="7"/>
      <c r="D41" s="7"/>
      <c r="E41" s="7"/>
      <c r="F41" s="7"/>
      <c r="G41" s="7"/>
      <c r="H41" s="7"/>
      <c r="I41" s="7"/>
      <c r="J41" s="7"/>
    </row>
    <row r="42" spans="1:10" ht="15.75" x14ac:dyDescent="0.25">
      <c r="A42" s="7"/>
      <c r="B42" s="7"/>
      <c r="C42" s="7"/>
      <c r="D42" s="7"/>
      <c r="E42" s="7"/>
      <c r="F42" s="7"/>
      <c r="G42" s="7"/>
      <c r="H42" s="7"/>
      <c r="I42" s="7"/>
      <c r="J42" s="7"/>
    </row>
    <row r="43" spans="1:10" ht="15.75" x14ac:dyDescent="0.25">
      <c r="A43" s="7"/>
      <c r="B43" s="7"/>
      <c r="C43" s="7"/>
      <c r="D43" s="7"/>
      <c r="E43" s="7"/>
      <c r="F43" s="7"/>
      <c r="G43" s="7"/>
      <c r="H43" s="7"/>
      <c r="I43" s="7"/>
      <c r="J43" s="7"/>
    </row>
    <row r="44" spans="1:10" ht="15.75" x14ac:dyDescent="0.25">
      <c r="A44" s="7"/>
      <c r="B44" s="7"/>
      <c r="C44" s="7"/>
      <c r="D44" s="7"/>
      <c r="E44" s="7"/>
      <c r="F44" s="7"/>
      <c r="G44" s="7"/>
      <c r="H44" s="7"/>
      <c r="I44" s="7"/>
      <c r="J44" s="7"/>
    </row>
    <row r="45" spans="1:10" ht="15.75" x14ac:dyDescent="0.25">
      <c r="A45" s="7"/>
      <c r="B45" s="7"/>
      <c r="C45" s="7"/>
      <c r="D45" s="7"/>
      <c r="E45" s="7"/>
      <c r="F45" s="7"/>
      <c r="G45" s="7"/>
      <c r="H45" s="7"/>
      <c r="I45" s="7"/>
      <c r="J45" s="7"/>
    </row>
    <row r="46" spans="1:10" ht="15.75" x14ac:dyDescent="0.25">
      <c r="A46" s="7"/>
      <c r="B46" s="7"/>
      <c r="C46" s="7"/>
      <c r="D46" s="7"/>
      <c r="E46" s="7"/>
      <c r="F46" s="7"/>
      <c r="G46" s="7"/>
      <c r="H46" s="7"/>
      <c r="I46" s="7"/>
      <c r="J46" s="7"/>
    </row>
    <row r="47" spans="1:10" ht="15.75" x14ac:dyDescent="0.25">
      <c r="A47" s="7"/>
      <c r="B47" s="7"/>
      <c r="C47" s="7"/>
      <c r="D47" s="7"/>
      <c r="E47" s="7"/>
      <c r="F47" s="7"/>
      <c r="G47" s="7"/>
      <c r="H47" s="7"/>
      <c r="I47" s="7"/>
      <c r="J47" s="7"/>
    </row>
    <row r="48" spans="1:10" ht="15.75" x14ac:dyDescent="0.25">
      <c r="A48" s="7"/>
      <c r="B48" s="7"/>
      <c r="C48" s="7"/>
      <c r="D48" s="7"/>
      <c r="E48" s="7"/>
      <c r="F48" s="7"/>
      <c r="G48" s="7"/>
      <c r="H48" s="7"/>
      <c r="I48" s="7"/>
      <c r="J48" s="7"/>
    </row>
    <row r="49" spans="1:10" ht="15.75" x14ac:dyDescent="0.25">
      <c r="A49" s="7"/>
      <c r="B49" s="7"/>
      <c r="C49" s="7"/>
      <c r="D49" s="7"/>
      <c r="E49" s="7"/>
      <c r="F49" s="7"/>
      <c r="G49" s="7"/>
      <c r="H49" s="7"/>
      <c r="I49" s="7"/>
      <c r="J49" s="7"/>
    </row>
    <row r="50" spans="1:10" ht="15.75" x14ac:dyDescent="0.25">
      <c r="A50" s="7"/>
      <c r="B50" s="7"/>
      <c r="C50" s="7"/>
      <c r="D50" s="7"/>
      <c r="E50" s="7"/>
      <c r="F50" s="7"/>
      <c r="G50" s="7"/>
      <c r="H50" s="7"/>
      <c r="I50" s="7"/>
      <c r="J50" s="7"/>
    </row>
    <row r="51" spans="1:10" ht="15.75" x14ac:dyDescent="0.25">
      <c r="A51" s="7"/>
      <c r="B51" s="7"/>
      <c r="C51" s="7"/>
      <c r="D51" s="7"/>
      <c r="E51" s="7"/>
      <c r="F51" s="7"/>
      <c r="G51" s="7"/>
      <c r="H51" s="7"/>
      <c r="I51" s="7"/>
      <c r="J51" s="7"/>
    </row>
    <row r="52" spans="1:10" ht="15.75" x14ac:dyDescent="0.25">
      <c r="A52" s="7"/>
      <c r="B52" s="7"/>
      <c r="C52" s="7"/>
      <c r="D52" s="7"/>
      <c r="E52" s="7"/>
      <c r="F52" s="7"/>
      <c r="G52" s="7"/>
      <c r="H52" s="7"/>
      <c r="I52" s="7"/>
      <c r="J52" s="7"/>
    </row>
    <row r="53" spans="1:10" ht="15.75" x14ac:dyDescent="0.25">
      <c r="A53" s="7"/>
      <c r="B53" s="7"/>
      <c r="C53" s="7"/>
      <c r="D53" s="7"/>
      <c r="E53" s="7"/>
      <c r="F53" s="7"/>
      <c r="G53" s="7"/>
      <c r="H53" s="7"/>
      <c r="I53" s="7"/>
      <c r="J53" s="7"/>
    </row>
    <row r="54" spans="1:10" ht="15.75" x14ac:dyDescent="0.25">
      <c r="A54" s="7"/>
      <c r="B54" s="7"/>
      <c r="C54" s="7"/>
      <c r="D54" s="7"/>
      <c r="E54" s="7"/>
      <c r="F54" s="7"/>
      <c r="G54" s="7"/>
      <c r="H54" s="7"/>
      <c r="I54" s="7"/>
      <c r="J54" s="7"/>
    </row>
    <row r="55" spans="1:10" ht="15.75" x14ac:dyDescent="0.25">
      <c r="A55" s="7"/>
      <c r="B55" s="7"/>
      <c r="C55" s="7"/>
      <c r="D55" s="7"/>
      <c r="E55" s="7"/>
      <c r="F55" s="7"/>
      <c r="G55" s="7"/>
      <c r="H55" s="7"/>
      <c r="I55" s="7"/>
      <c r="J55" s="7"/>
    </row>
    <row r="56" spans="1:10" ht="15.75" x14ac:dyDescent="0.25">
      <c r="A56" s="7"/>
      <c r="B56" s="7"/>
      <c r="C56" s="7"/>
      <c r="D56" s="7"/>
      <c r="E56" s="7"/>
      <c r="F56" s="7"/>
      <c r="G56" s="7"/>
      <c r="H56" s="7"/>
      <c r="I56" s="7"/>
      <c r="J56" s="7"/>
    </row>
    <row r="57" spans="1:10" ht="15.75" x14ac:dyDescent="0.25">
      <c r="A57" s="7"/>
      <c r="B57" s="7"/>
      <c r="C57" s="7"/>
      <c r="D57" s="7"/>
      <c r="E57" s="7"/>
      <c r="F57" s="7"/>
      <c r="G57" s="7"/>
      <c r="H57" s="7"/>
      <c r="I57" s="7"/>
      <c r="J57" s="7"/>
    </row>
    <row r="58" spans="1:10" ht="15.75" x14ac:dyDescent="0.25">
      <c r="A58" s="7"/>
      <c r="B58" s="7"/>
      <c r="C58" s="7"/>
      <c r="D58" s="7"/>
      <c r="E58" s="7"/>
      <c r="F58" s="7"/>
      <c r="G58" s="7"/>
      <c r="H58" s="7"/>
      <c r="I58" s="7"/>
      <c r="J58" s="7"/>
    </row>
    <row r="59" spans="1:10" ht="15.75" x14ac:dyDescent="0.25">
      <c r="A59" s="7"/>
      <c r="B59" s="7"/>
      <c r="C59" s="7"/>
      <c r="D59" s="7"/>
      <c r="E59" s="7"/>
      <c r="F59" s="7"/>
      <c r="G59" s="7"/>
      <c r="H59" s="7"/>
      <c r="I59" s="7"/>
      <c r="J59" s="7"/>
    </row>
    <row r="60" spans="1:10" ht="15.75" x14ac:dyDescent="0.25">
      <c r="A60" s="7"/>
      <c r="B60" s="7"/>
      <c r="C60" s="7"/>
      <c r="D60" s="7"/>
      <c r="E60" s="7"/>
      <c r="F60" s="7"/>
      <c r="G60" s="7"/>
      <c r="H60" s="7"/>
      <c r="I60" s="7"/>
      <c r="J60" s="7"/>
    </row>
    <row r="61" spans="1:10" ht="15.75" x14ac:dyDescent="0.25">
      <c r="A61" s="7"/>
      <c r="B61" s="7"/>
      <c r="C61" s="7"/>
      <c r="D61" s="7"/>
      <c r="E61" s="7"/>
      <c r="F61" s="7"/>
      <c r="G61" s="7"/>
      <c r="H61" s="7"/>
      <c r="I61" s="7"/>
      <c r="J61" s="7"/>
    </row>
    <row r="62" spans="1:10" ht="15.75" x14ac:dyDescent="0.25">
      <c r="A62" s="7"/>
      <c r="B62" s="7"/>
      <c r="C62" s="7"/>
      <c r="D62" s="7"/>
      <c r="E62" s="7"/>
      <c r="F62" s="7"/>
      <c r="G62" s="7"/>
      <c r="H62" s="7"/>
      <c r="I62" s="7"/>
      <c r="J62" s="7"/>
    </row>
    <row r="63" spans="1:10" ht="15.75" x14ac:dyDescent="0.25">
      <c r="A63" s="7"/>
      <c r="B63" s="7"/>
      <c r="C63" s="7"/>
      <c r="D63" s="7"/>
      <c r="E63" s="7"/>
      <c r="F63" s="7"/>
      <c r="G63" s="7"/>
      <c r="H63" s="7"/>
      <c r="I63" s="7"/>
      <c r="J63" s="7"/>
    </row>
    <row r="64" spans="1:10" ht="15.75" x14ac:dyDescent="0.25">
      <c r="A64" s="7"/>
      <c r="B64" s="7"/>
      <c r="C64" s="7"/>
      <c r="D64" s="7"/>
      <c r="E64" s="7"/>
      <c r="F64" s="7"/>
      <c r="G64" s="7"/>
      <c r="H64" s="7"/>
      <c r="I64" s="7"/>
      <c r="J64" s="7"/>
    </row>
    <row r="65" spans="1:10" ht="15.75" x14ac:dyDescent="0.25">
      <c r="A65" s="7"/>
      <c r="B65" s="7"/>
      <c r="C65" s="7"/>
      <c r="D65" s="7"/>
      <c r="E65" s="7"/>
      <c r="F65" s="7"/>
      <c r="G65" s="7"/>
      <c r="H65" s="7"/>
      <c r="I65" s="7"/>
      <c r="J65" s="7"/>
    </row>
    <row r="66" spans="1:10" ht="15.75" x14ac:dyDescent="0.25">
      <c r="A66" s="7"/>
      <c r="B66" s="7"/>
      <c r="C66" s="7"/>
      <c r="D66" s="7"/>
      <c r="E66" s="7"/>
      <c r="F66" s="7"/>
      <c r="G66" s="7"/>
      <c r="H66" s="7"/>
      <c r="I66" s="7"/>
      <c r="J66" s="7"/>
    </row>
    <row r="67" spans="1:10" ht="15.75" x14ac:dyDescent="0.25">
      <c r="A67" s="7"/>
      <c r="B67" s="7"/>
      <c r="C67" s="7"/>
      <c r="D67" s="7"/>
      <c r="E67" s="7"/>
      <c r="F67" s="7"/>
      <c r="G67" s="7"/>
      <c r="H67" s="7"/>
      <c r="I67" s="7"/>
      <c r="J67" s="7"/>
    </row>
    <row r="68" spans="1:10" ht="15.75" x14ac:dyDescent="0.25">
      <c r="A68" s="7"/>
      <c r="B68" s="7"/>
      <c r="C68" s="7"/>
      <c r="D68" s="7"/>
      <c r="E68" s="7"/>
      <c r="F68" s="7"/>
      <c r="G68" s="7"/>
      <c r="H68" s="7"/>
      <c r="I68" s="7"/>
      <c r="J68" s="7"/>
    </row>
    <row r="69" spans="1:10" ht="15.75" x14ac:dyDescent="0.25">
      <c r="A69" s="7"/>
      <c r="B69" s="7"/>
      <c r="C69" s="7"/>
      <c r="D69" s="7"/>
      <c r="E69" s="7"/>
      <c r="F69" s="7"/>
      <c r="G69" s="7"/>
      <c r="H69" s="7"/>
      <c r="I69" s="7"/>
      <c r="J69" s="7"/>
    </row>
    <row r="70" spans="1:10" ht="15.75" x14ac:dyDescent="0.25">
      <c r="A70" s="7"/>
      <c r="B70" s="7"/>
      <c r="C70" s="7"/>
      <c r="D70" s="7"/>
      <c r="E70" s="7"/>
      <c r="F70" s="7"/>
      <c r="G70" s="7"/>
      <c r="H70" s="7"/>
      <c r="I70" s="7"/>
      <c r="J70" s="7"/>
    </row>
    <row r="71" spans="1:10" ht="15.75" x14ac:dyDescent="0.25">
      <c r="A71" s="7"/>
      <c r="B71" s="7"/>
      <c r="C71" s="7"/>
      <c r="D71" s="7"/>
      <c r="E71" s="7"/>
      <c r="F71" s="7"/>
      <c r="G71" s="7"/>
      <c r="H71" s="7"/>
      <c r="I71" s="7"/>
      <c r="J71" s="7"/>
    </row>
    <row r="72" spans="1:10" ht="15.75" x14ac:dyDescent="0.25">
      <c r="A72" s="7"/>
      <c r="B72" s="7"/>
      <c r="C72" s="7"/>
      <c r="D72" s="7"/>
      <c r="E72" s="7"/>
      <c r="F72" s="7"/>
      <c r="G72" s="7"/>
      <c r="H72" s="7"/>
      <c r="I72" s="7"/>
      <c r="J72" s="7"/>
    </row>
    <row r="73" spans="1:10" ht="15.75" x14ac:dyDescent="0.25">
      <c r="A73" s="7"/>
      <c r="B73" s="7"/>
      <c r="C73" s="7"/>
      <c r="D73" s="7"/>
      <c r="E73" s="7"/>
      <c r="F73" s="7"/>
      <c r="G73" s="7"/>
      <c r="H73" s="7"/>
      <c r="I73" s="7"/>
      <c r="J73" s="7"/>
    </row>
    <row r="74" spans="1:10" ht="15.75" x14ac:dyDescent="0.25">
      <c r="A74" s="7"/>
      <c r="B74" s="7"/>
      <c r="C74" s="7"/>
      <c r="D74" s="7"/>
      <c r="E74" s="7"/>
      <c r="F74" s="7"/>
      <c r="G74" s="7"/>
      <c r="H74" s="7"/>
      <c r="I74" s="7"/>
      <c r="J74" s="7"/>
    </row>
    <row r="75" spans="1:10" ht="15.75" x14ac:dyDescent="0.25">
      <c r="A75" s="7"/>
      <c r="B75" s="7"/>
      <c r="C75" s="7"/>
      <c r="D75" s="7"/>
      <c r="E75" s="7"/>
      <c r="F75" s="7"/>
      <c r="G75" s="7"/>
      <c r="H75" s="7"/>
      <c r="I75" s="7"/>
      <c r="J75" s="7"/>
    </row>
    <row r="76" spans="1:10" ht="15.75" x14ac:dyDescent="0.25">
      <c r="A76" s="7"/>
      <c r="B76" s="7"/>
      <c r="C76" s="7"/>
      <c r="D76" s="7"/>
      <c r="E76" s="7"/>
      <c r="F76" s="7"/>
      <c r="G76" s="7"/>
      <c r="H76" s="7"/>
      <c r="I76" s="7"/>
      <c r="J76" s="7"/>
    </row>
    <row r="77" spans="1:10" ht="15.75" x14ac:dyDescent="0.25">
      <c r="A77" s="7"/>
      <c r="B77" s="7"/>
      <c r="C77" s="7"/>
      <c r="D77" s="7"/>
      <c r="E77" s="7"/>
      <c r="F77" s="7"/>
      <c r="G77" s="7"/>
      <c r="H77" s="7"/>
      <c r="I77" s="7"/>
      <c r="J77" s="7"/>
    </row>
    <row r="78" spans="1:10" ht="15.75" x14ac:dyDescent="0.25">
      <c r="A78" s="7"/>
      <c r="B78" s="7"/>
      <c r="C78" s="7"/>
      <c r="D78" s="7"/>
      <c r="E78" s="7"/>
      <c r="F78" s="7"/>
      <c r="G78" s="7"/>
      <c r="H78" s="7"/>
      <c r="I78" s="7"/>
      <c r="J78" s="7"/>
    </row>
    <row r="79" spans="1:10" ht="15.75" x14ac:dyDescent="0.25">
      <c r="A79" s="7"/>
      <c r="B79" s="7"/>
      <c r="C79" s="7"/>
      <c r="D79" s="7"/>
      <c r="E79" s="7"/>
      <c r="F79" s="7"/>
      <c r="G79" s="7"/>
      <c r="H79" s="7"/>
      <c r="I79" s="7"/>
      <c r="J79" s="7"/>
    </row>
    <row r="80" spans="1:10" ht="15.75" x14ac:dyDescent="0.25">
      <c r="A80" s="7"/>
      <c r="B80" s="7"/>
      <c r="C80" s="7"/>
      <c r="D80" s="7"/>
      <c r="E80" s="7"/>
      <c r="F80" s="7"/>
      <c r="G80" s="7"/>
      <c r="H80" s="7"/>
      <c r="I80" s="7"/>
      <c r="J80" s="7"/>
    </row>
    <row r="81" spans="1:10" ht="15.75" x14ac:dyDescent="0.25">
      <c r="A81" s="7"/>
      <c r="B81" s="7"/>
      <c r="C81" s="7"/>
      <c r="D81" s="7"/>
      <c r="E81" s="7"/>
      <c r="F81" s="7"/>
      <c r="G81" s="7"/>
      <c r="H81" s="7"/>
      <c r="I81" s="7"/>
      <c r="J81" s="7"/>
    </row>
    <row r="82" spans="1:10" ht="15.75" x14ac:dyDescent="0.25">
      <c r="A82" s="7"/>
      <c r="B82" s="7"/>
      <c r="C82" s="7"/>
      <c r="D82" s="7"/>
      <c r="E82" s="7"/>
      <c r="F82" s="7"/>
      <c r="G82" s="7"/>
      <c r="H82" s="7"/>
      <c r="I82" s="7"/>
      <c r="J82" s="7"/>
    </row>
    <row r="83" spans="1:10" ht="15.75" x14ac:dyDescent="0.25">
      <c r="A83" s="7"/>
      <c r="B83" s="7"/>
      <c r="C83" s="7"/>
      <c r="D83" s="7"/>
      <c r="E83" s="7"/>
      <c r="F83" s="7"/>
      <c r="G83" s="7"/>
      <c r="H83" s="7"/>
      <c r="I83" s="7"/>
      <c r="J83" s="7"/>
    </row>
    <row r="84" spans="1:10" ht="15.75" x14ac:dyDescent="0.25">
      <c r="A84" s="7"/>
      <c r="B84" s="7"/>
      <c r="C84" s="7"/>
      <c r="D84" s="7"/>
      <c r="E84" s="7"/>
      <c r="F84" s="7"/>
      <c r="G84" s="7"/>
      <c r="H84" s="7"/>
      <c r="I84" s="7"/>
      <c r="J84" s="7"/>
    </row>
    <row r="85" spans="1:10" ht="15.75" x14ac:dyDescent="0.25">
      <c r="A85" s="7"/>
      <c r="B85" s="7"/>
      <c r="C85" s="7"/>
      <c r="D85" s="7"/>
      <c r="E85" s="7"/>
      <c r="F85" s="7"/>
      <c r="G85" s="7"/>
      <c r="H85" s="7"/>
      <c r="I85" s="7"/>
      <c r="J85" s="7"/>
    </row>
    <row r="86" spans="1:10" ht="15.75" x14ac:dyDescent="0.25">
      <c r="A86" s="7"/>
      <c r="B86" s="7"/>
      <c r="C86" s="7"/>
      <c r="D86" s="7"/>
      <c r="E86" s="7"/>
      <c r="F86" s="7"/>
      <c r="G86" s="7"/>
      <c r="H86" s="7"/>
      <c r="I86" s="7"/>
      <c r="J86" s="7"/>
    </row>
    <row r="87" spans="1:10" ht="15.75" x14ac:dyDescent="0.25">
      <c r="A87" s="7"/>
      <c r="B87" s="7"/>
      <c r="C87" s="7"/>
      <c r="D87" s="7"/>
      <c r="E87" s="7"/>
      <c r="F87" s="7"/>
      <c r="G87" s="7"/>
      <c r="H87" s="7"/>
      <c r="I87" s="7"/>
      <c r="J87" s="7"/>
    </row>
    <row r="88" spans="1:10" ht="15.75" x14ac:dyDescent="0.25">
      <c r="A88" s="7"/>
      <c r="B88" s="7"/>
      <c r="C88" s="7"/>
      <c r="D88" s="7"/>
      <c r="E88" s="7"/>
      <c r="F88" s="7"/>
      <c r="G88" s="7"/>
      <c r="H88" s="7"/>
      <c r="I88" s="7"/>
      <c r="J88" s="7"/>
    </row>
    <row r="89" spans="1:10" ht="15.75" x14ac:dyDescent="0.25">
      <c r="A89" s="7"/>
      <c r="B89" s="7"/>
      <c r="C89" s="7"/>
      <c r="D89" s="7"/>
      <c r="E89" s="7"/>
      <c r="F89" s="7"/>
      <c r="G89" s="7"/>
      <c r="H89" s="7"/>
      <c r="I89" s="7"/>
      <c r="J89" s="7"/>
    </row>
    <row r="90" spans="1:10" ht="15.75" x14ac:dyDescent="0.25">
      <c r="A90" s="7"/>
      <c r="B90" s="7"/>
      <c r="C90" s="7"/>
      <c r="D90" s="7"/>
      <c r="E90" s="7"/>
      <c r="F90" s="7"/>
      <c r="G90" s="7"/>
      <c r="H90" s="7"/>
      <c r="I90" s="7"/>
      <c r="J90" s="7"/>
    </row>
    <row r="91" spans="1:10" ht="15.75" x14ac:dyDescent="0.25">
      <c r="A91" s="7"/>
      <c r="B91" s="7"/>
      <c r="C91" s="7"/>
      <c r="D91" s="7"/>
      <c r="E91" s="7"/>
      <c r="F91" s="7"/>
      <c r="G91" s="7"/>
      <c r="H91" s="7"/>
      <c r="I91" s="7"/>
      <c r="J91" s="7"/>
    </row>
  </sheetData>
  <mergeCells count="4">
    <mergeCell ref="C22:I22"/>
    <mergeCell ref="C31:I31"/>
    <mergeCell ref="A2:L2"/>
    <mergeCell ref="A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977-5702-4A85-BA4E-831C9BC6312A}">
  <dimension ref="A1:Q51"/>
  <sheetViews>
    <sheetView zoomScaleNormal="100" workbookViewId="0"/>
  </sheetViews>
  <sheetFormatPr defaultColWidth="9.140625" defaultRowHeight="15.75" x14ac:dyDescent="0.25"/>
  <cols>
    <col min="1" max="4" width="11.5703125" style="7" customWidth="1"/>
    <col min="5" max="6" width="15.7109375" style="7" bestFit="1" customWidth="1"/>
    <col min="7" max="8" width="14.5703125" style="7" bestFit="1" customWidth="1"/>
    <col min="9" max="9" width="13.85546875" style="7" customWidth="1"/>
    <col min="10" max="10" width="15" style="7" customWidth="1"/>
    <col min="11" max="11" width="12.28515625" style="7" customWidth="1"/>
    <col min="12" max="12" width="13" style="7" customWidth="1"/>
    <col min="13" max="13" width="14.7109375" style="7" customWidth="1"/>
    <col min="14" max="14" width="13.140625" style="7" customWidth="1"/>
    <col min="15" max="16384" width="9.140625" style="7"/>
  </cols>
  <sheetData>
    <row r="1" spans="1:17" ht="18.75" x14ac:dyDescent="0.3">
      <c r="A1" s="102" t="s">
        <v>190</v>
      </c>
      <c r="B1" s="103"/>
      <c r="C1" s="4"/>
      <c r="D1" s="103"/>
      <c r="E1" s="103"/>
      <c r="F1" s="103"/>
      <c r="G1" s="103"/>
      <c r="H1" s="103"/>
      <c r="I1" s="103"/>
      <c r="J1" s="103"/>
      <c r="K1" s="103"/>
      <c r="L1" s="104"/>
    </row>
    <row r="2" spans="1:17" x14ac:dyDescent="0.25">
      <c r="A2" s="6" t="s">
        <v>191</v>
      </c>
      <c r="B2" s="6"/>
      <c r="C2" s="6"/>
      <c r="D2" s="6"/>
      <c r="E2" s="6"/>
      <c r="F2" s="6"/>
      <c r="G2" s="6"/>
      <c r="H2" s="6"/>
      <c r="I2" s="6"/>
      <c r="J2" s="6"/>
      <c r="K2" s="6"/>
      <c r="L2" s="6"/>
      <c r="M2" s="90"/>
      <c r="N2" s="90"/>
      <c r="O2" s="90"/>
      <c r="P2" s="90"/>
      <c r="Q2" s="90"/>
    </row>
    <row r="3" spans="1:17" x14ac:dyDescent="0.25">
      <c r="A3" s="6"/>
      <c r="B3" s="6"/>
      <c r="C3" s="6"/>
      <c r="D3" s="6"/>
      <c r="E3" s="6"/>
      <c r="F3" s="6"/>
      <c r="G3" s="6"/>
      <c r="H3" s="6"/>
      <c r="I3" s="6"/>
      <c r="J3" s="6"/>
      <c r="K3" s="6"/>
      <c r="L3" s="6"/>
      <c r="M3" s="90"/>
      <c r="N3" s="90"/>
      <c r="O3" s="90"/>
      <c r="P3" s="90"/>
      <c r="Q3" s="90"/>
    </row>
    <row r="4" spans="1:17" x14ac:dyDescent="0.25">
      <c r="A4" s="6" t="s">
        <v>192</v>
      </c>
      <c r="B4" s="6"/>
      <c r="C4" s="6"/>
      <c r="D4" s="6"/>
      <c r="E4" s="6"/>
      <c r="F4" s="6"/>
      <c r="G4" s="6"/>
      <c r="H4" s="6"/>
      <c r="I4" s="6"/>
      <c r="J4" s="6"/>
      <c r="K4" s="6"/>
      <c r="L4" s="6"/>
      <c r="M4" s="90"/>
      <c r="N4" s="90"/>
      <c r="O4" s="90"/>
      <c r="P4" s="90"/>
      <c r="Q4" s="90"/>
    </row>
    <row r="5" spans="1:17" x14ac:dyDescent="0.25">
      <c r="A5" s="6"/>
      <c r="B5" s="6"/>
      <c r="C5" s="6"/>
      <c r="D5" s="6"/>
      <c r="E5" s="6"/>
      <c r="F5" s="6"/>
      <c r="G5" s="6"/>
      <c r="H5" s="6"/>
      <c r="I5" s="6"/>
      <c r="J5" s="6"/>
      <c r="K5" s="6"/>
      <c r="L5" s="6"/>
      <c r="M5" s="90"/>
      <c r="N5" s="90"/>
      <c r="O5" s="90"/>
      <c r="P5" s="90"/>
      <c r="Q5" s="90"/>
    </row>
    <row r="6" spans="1:17" ht="16.5" customHeight="1" x14ac:dyDescent="0.25">
      <c r="A6" s="160" t="s">
        <v>84</v>
      </c>
      <c r="B6" s="161"/>
      <c r="C6" s="160" t="s">
        <v>79</v>
      </c>
      <c r="D6" s="161"/>
      <c r="E6" s="6"/>
      <c r="F6" s="6"/>
      <c r="G6" s="6"/>
      <c r="H6" s="6"/>
      <c r="I6" s="6"/>
      <c r="J6" s="6"/>
      <c r="K6" s="6"/>
      <c r="L6" s="6"/>
      <c r="M6" s="90"/>
      <c r="N6" s="90"/>
      <c r="O6" s="90"/>
      <c r="P6" s="90"/>
      <c r="Q6" s="90"/>
    </row>
    <row r="7" spans="1:17" x14ac:dyDescent="0.25">
      <c r="A7" s="111" t="s">
        <v>80</v>
      </c>
      <c r="B7" s="112" t="s">
        <v>81</v>
      </c>
      <c r="C7" s="113" t="s">
        <v>82</v>
      </c>
      <c r="D7" s="113" t="s">
        <v>83</v>
      </c>
      <c r="E7" s="6"/>
      <c r="F7" s="6"/>
      <c r="G7" s="6"/>
      <c r="H7" s="6"/>
      <c r="I7" s="6"/>
      <c r="J7" s="6"/>
      <c r="K7" s="6"/>
      <c r="L7" s="6"/>
      <c r="M7" s="90"/>
      <c r="N7" s="90"/>
      <c r="O7" s="90"/>
      <c r="P7" s="90"/>
      <c r="Q7" s="90"/>
    </row>
    <row r="8" spans="1:17" x14ac:dyDescent="0.25">
      <c r="A8" s="114">
        <v>1</v>
      </c>
      <c r="B8" s="115">
        <v>0.01</v>
      </c>
      <c r="C8" s="116">
        <v>20000</v>
      </c>
      <c r="D8" s="116">
        <v>5000</v>
      </c>
      <c r="E8" s="6"/>
      <c r="F8" s="6"/>
      <c r="G8" s="6"/>
      <c r="H8" s="6"/>
      <c r="I8" s="6"/>
      <c r="J8" s="6"/>
      <c r="K8" s="6"/>
      <c r="L8" s="6"/>
      <c r="M8" s="90"/>
      <c r="N8" s="90"/>
      <c r="O8" s="90"/>
      <c r="P8" s="90"/>
      <c r="Q8" s="90"/>
    </row>
    <row r="9" spans="1:17" x14ac:dyDescent="0.25">
      <c r="A9" s="114">
        <v>2</v>
      </c>
      <c r="B9" s="115">
        <v>0.02</v>
      </c>
      <c r="C9" s="116">
        <v>10000</v>
      </c>
      <c r="D9" s="116">
        <v>8000</v>
      </c>
      <c r="E9" s="6"/>
      <c r="F9" s="6"/>
      <c r="G9" s="6"/>
      <c r="H9" s="6"/>
      <c r="I9" s="6"/>
      <c r="J9" s="6"/>
      <c r="K9" s="6"/>
      <c r="L9" s="6"/>
      <c r="M9" s="90"/>
      <c r="N9" s="90"/>
      <c r="O9" s="90"/>
      <c r="P9" s="90"/>
      <c r="Q9" s="90"/>
    </row>
    <row r="10" spans="1:17" x14ac:dyDescent="0.25">
      <c r="A10" s="114">
        <v>3</v>
      </c>
      <c r="B10" s="115">
        <v>0.04</v>
      </c>
      <c r="C10" s="116">
        <v>5000</v>
      </c>
      <c r="D10" s="116">
        <v>2000</v>
      </c>
      <c r="E10" s="6"/>
      <c r="F10" s="6"/>
      <c r="G10" s="6"/>
      <c r="H10" s="6"/>
      <c r="I10" s="6"/>
      <c r="J10" s="6"/>
      <c r="K10" s="6"/>
      <c r="L10" s="6"/>
      <c r="M10" s="90"/>
      <c r="N10" s="90"/>
      <c r="O10" s="90"/>
      <c r="P10" s="90"/>
      <c r="Q10" s="90"/>
    </row>
    <row r="11" spans="1:17" x14ac:dyDescent="0.25">
      <c r="A11" s="6"/>
      <c r="B11" s="6"/>
      <c r="C11" s="6"/>
      <c r="D11" s="6"/>
      <c r="E11" s="6"/>
      <c r="F11" s="6"/>
      <c r="G11" s="6"/>
      <c r="H11" s="6"/>
      <c r="I11" s="6"/>
      <c r="J11" s="6"/>
      <c r="K11" s="6"/>
      <c r="L11" s="6"/>
      <c r="M11" s="90"/>
      <c r="N11" s="90"/>
      <c r="O11" s="90"/>
      <c r="P11" s="90"/>
      <c r="Q11" s="90"/>
    </row>
    <row r="12" spans="1:17" x14ac:dyDescent="0.25">
      <c r="A12" s="33" t="s">
        <v>139</v>
      </c>
      <c r="B12" s="33"/>
      <c r="C12" s="6"/>
      <c r="D12" s="6"/>
      <c r="E12" s="6"/>
      <c r="F12" s="6"/>
      <c r="G12" s="6"/>
      <c r="H12" s="6"/>
      <c r="I12" s="6"/>
      <c r="J12" s="6"/>
      <c r="K12" s="6"/>
      <c r="L12" s="6"/>
      <c r="M12" s="90"/>
      <c r="N12" s="90"/>
      <c r="O12" s="90"/>
      <c r="P12" s="90"/>
      <c r="Q12" s="90"/>
    </row>
    <row r="13" spans="1:17" x14ac:dyDescent="0.25">
      <c r="A13" s="33" t="s">
        <v>140</v>
      </c>
      <c r="B13" s="33"/>
      <c r="C13" s="6"/>
      <c r="D13" s="89">
        <v>2.4000000000000001E-5</v>
      </c>
      <c r="E13" s="6"/>
      <c r="F13" s="6"/>
      <c r="G13" s="6"/>
      <c r="H13" s="6"/>
      <c r="I13" s="6"/>
      <c r="J13" s="6"/>
      <c r="K13" s="6"/>
      <c r="L13" s="6"/>
      <c r="M13" s="90"/>
      <c r="N13" s="90"/>
      <c r="O13" s="90"/>
      <c r="P13" s="90"/>
      <c r="Q13" s="90"/>
    </row>
    <row r="14" spans="1:17" x14ac:dyDescent="0.25">
      <c r="A14" s="6"/>
      <c r="B14" s="6"/>
      <c r="C14" s="6"/>
      <c r="D14" s="6"/>
      <c r="E14" s="6"/>
      <c r="F14" s="6"/>
      <c r="G14" s="6"/>
      <c r="H14" s="6"/>
      <c r="I14" s="6"/>
      <c r="J14" s="6"/>
      <c r="K14" s="6"/>
      <c r="L14" s="6"/>
      <c r="M14" s="90"/>
      <c r="N14" s="90"/>
      <c r="O14" s="90"/>
      <c r="P14" s="90"/>
      <c r="Q14" s="90"/>
    </row>
    <row r="15" spans="1:17" x14ac:dyDescent="0.25">
      <c r="A15" s="66" t="s">
        <v>193</v>
      </c>
      <c r="B15" s="6"/>
      <c r="C15" s="6"/>
      <c r="D15" s="6"/>
      <c r="E15" s="6"/>
      <c r="F15" s="6"/>
      <c r="G15" s="6"/>
      <c r="H15" s="6"/>
      <c r="I15" s="6"/>
      <c r="J15" s="6"/>
      <c r="K15" s="6"/>
      <c r="L15" s="6"/>
      <c r="M15" s="90"/>
      <c r="N15" s="90"/>
      <c r="O15" s="90"/>
      <c r="P15" s="90"/>
      <c r="Q15" s="90"/>
    </row>
    <row r="16" spans="1:17" x14ac:dyDescent="0.25">
      <c r="A16" s="7" t="s">
        <v>0</v>
      </c>
      <c r="M16" s="8"/>
      <c r="N16" s="8"/>
      <c r="O16" s="8"/>
      <c r="P16" s="8"/>
      <c r="Q16" s="8"/>
    </row>
    <row r="17" spans="1:17" x14ac:dyDescent="0.25">
      <c r="B17" s="15" t="s">
        <v>85</v>
      </c>
      <c r="C17" s="15"/>
      <c r="D17" s="162" t="s">
        <v>79</v>
      </c>
      <c r="E17" s="163"/>
      <c r="F17" s="15"/>
      <c r="G17" s="15"/>
      <c r="H17" s="15"/>
      <c r="I17" s="15"/>
    </row>
    <row r="18" spans="1:17" x14ac:dyDescent="0.25">
      <c r="B18" s="16" t="s">
        <v>80</v>
      </c>
      <c r="C18" s="16" t="s">
        <v>81</v>
      </c>
      <c r="D18" s="16" t="s">
        <v>82</v>
      </c>
      <c r="E18" s="16" t="s">
        <v>83</v>
      </c>
      <c r="F18" s="16" t="s">
        <v>86</v>
      </c>
      <c r="G18" s="16" t="s">
        <v>87</v>
      </c>
      <c r="H18" s="16" t="s">
        <v>88</v>
      </c>
      <c r="I18" s="16" t="s">
        <v>89</v>
      </c>
    </row>
    <row r="19" spans="1:17" x14ac:dyDescent="0.25">
      <c r="B19" s="15">
        <f>A8</f>
        <v>1</v>
      </c>
      <c r="C19" s="34">
        <f>B8</f>
        <v>0.01</v>
      </c>
      <c r="D19" s="21">
        <f>C8</f>
        <v>20000</v>
      </c>
      <c r="E19" s="21">
        <f t="shared" ref="E19:E21" si="0">D8</f>
        <v>5000</v>
      </c>
      <c r="F19" s="21">
        <f>SUM(D19:E19)</f>
        <v>25000</v>
      </c>
      <c r="G19" s="21">
        <f>(D19^2)*($C19)*(1-$C19)</f>
        <v>3960000</v>
      </c>
      <c r="H19" s="21">
        <f>(E19^2)*($C19)*(1-$C19)</f>
        <v>247500</v>
      </c>
      <c r="I19" s="21">
        <f>(F19^2)*($C19)*(1-$C19)</f>
        <v>6187500</v>
      </c>
    </row>
    <row r="20" spans="1:17" x14ac:dyDescent="0.25">
      <c r="B20" s="15">
        <f t="shared" ref="B20:D21" si="1">A9</f>
        <v>2</v>
      </c>
      <c r="C20" s="34">
        <f t="shared" si="1"/>
        <v>0.02</v>
      </c>
      <c r="D20" s="21">
        <f t="shared" si="1"/>
        <v>10000</v>
      </c>
      <c r="E20" s="21">
        <f t="shared" si="0"/>
        <v>8000</v>
      </c>
      <c r="F20" s="21">
        <f t="shared" ref="F20:F21" si="2">SUM(D20:E20)</f>
        <v>18000</v>
      </c>
      <c r="G20" s="21">
        <f t="shared" ref="G20:G21" si="3">(D20^2)*($C20)*(1-$C20)</f>
        <v>1960000</v>
      </c>
      <c r="H20" s="21">
        <f t="shared" ref="H20:H21" si="4">(E20^2)*($C20)*(1-$C20)</f>
        <v>1254400</v>
      </c>
      <c r="I20" s="21">
        <f t="shared" ref="I20:I21" si="5">(F20^2)*($C20)*(1-$C20)</f>
        <v>6350400</v>
      </c>
    </row>
    <row r="21" spans="1:17" x14ac:dyDescent="0.25">
      <c r="B21" s="15">
        <f t="shared" si="1"/>
        <v>3</v>
      </c>
      <c r="C21" s="34">
        <f t="shared" si="1"/>
        <v>0.04</v>
      </c>
      <c r="D21" s="21">
        <f t="shared" si="1"/>
        <v>5000</v>
      </c>
      <c r="E21" s="21">
        <f t="shared" si="0"/>
        <v>2000</v>
      </c>
      <c r="F21" s="21">
        <f t="shared" si="2"/>
        <v>7000</v>
      </c>
      <c r="G21" s="21">
        <f t="shared" si="3"/>
        <v>960000</v>
      </c>
      <c r="H21" s="21">
        <f t="shared" si="4"/>
        <v>153600</v>
      </c>
      <c r="I21" s="21">
        <f t="shared" si="5"/>
        <v>1881600</v>
      </c>
    </row>
    <row r="22" spans="1:17" x14ac:dyDescent="0.25">
      <c r="B22" s="15" t="s">
        <v>44</v>
      </c>
      <c r="C22" s="15"/>
      <c r="D22" s="21"/>
      <c r="E22" s="21"/>
      <c r="F22" s="21"/>
      <c r="G22" s="21">
        <f>SUM(G19:G21)</f>
        <v>6880000</v>
      </c>
      <c r="H22" s="21">
        <f>SUM(H19:H21)</f>
        <v>1655500</v>
      </c>
      <c r="I22" s="21">
        <f>SUM(I19:I21)</f>
        <v>14419500</v>
      </c>
    </row>
    <row r="24" spans="1:17" x14ac:dyDescent="0.25">
      <c r="B24" s="7" t="s">
        <v>90</v>
      </c>
      <c r="E24" s="13" t="s">
        <v>82</v>
      </c>
      <c r="F24" s="13" t="s">
        <v>83</v>
      </c>
      <c r="G24" s="13"/>
      <c r="H24" s="13"/>
    </row>
    <row r="25" spans="1:17" x14ac:dyDescent="0.25">
      <c r="B25" s="7" t="s">
        <v>92</v>
      </c>
      <c r="E25" s="23">
        <f>I22</f>
        <v>14419500</v>
      </c>
      <c r="F25" s="23">
        <f>I22</f>
        <v>14419500</v>
      </c>
    </row>
    <row r="26" spans="1:17" x14ac:dyDescent="0.25">
      <c r="B26" s="7" t="s">
        <v>93</v>
      </c>
      <c r="E26" s="23">
        <f>H22</f>
        <v>1655500</v>
      </c>
      <c r="F26" s="23">
        <f>G22</f>
        <v>6880000</v>
      </c>
    </row>
    <row r="27" spans="1:17" x14ac:dyDescent="0.25">
      <c r="B27" s="7" t="s">
        <v>231</v>
      </c>
      <c r="E27" s="23">
        <f>E25-E26</f>
        <v>12764000</v>
      </c>
      <c r="F27" s="23">
        <f>F25-F26</f>
        <v>7539500</v>
      </c>
    </row>
    <row r="28" spans="1:17" x14ac:dyDescent="0.25">
      <c r="B28" s="7" t="s">
        <v>94</v>
      </c>
      <c r="C28" s="7" t="s">
        <v>95</v>
      </c>
      <c r="E28" s="35">
        <f>E27*$D$13</f>
        <v>306.33600000000001</v>
      </c>
      <c r="F28" s="35">
        <f>F27*$D$13</f>
        <v>180.94800000000001</v>
      </c>
    </row>
    <row r="30" spans="1:17" x14ac:dyDescent="0.25">
      <c r="A30" s="66" t="s">
        <v>96</v>
      </c>
      <c r="B30" s="6"/>
      <c r="C30" s="6"/>
      <c r="D30" s="6"/>
      <c r="E30" s="6"/>
      <c r="F30" s="6"/>
      <c r="G30" s="6"/>
      <c r="H30" s="6"/>
      <c r="I30" s="6"/>
      <c r="J30" s="6"/>
      <c r="K30" s="6"/>
      <c r="L30" s="6"/>
      <c r="M30" s="90"/>
      <c r="N30" s="90"/>
      <c r="O30" s="90"/>
      <c r="P30" s="90"/>
      <c r="Q30" s="90"/>
    </row>
    <row r="31" spans="1:17" x14ac:dyDescent="0.25">
      <c r="A31" s="7" t="s">
        <v>0</v>
      </c>
      <c r="M31" s="8"/>
      <c r="N31" s="8"/>
      <c r="O31" s="8"/>
      <c r="P31" s="8"/>
      <c r="Q31" s="8"/>
    </row>
    <row r="32" spans="1:17" x14ac:dyDescent="0.25">
      <c r="E32" s="13" t="s">
        <v>82</v>
      </c>
      <c r="F32" s="13" t="s">
        <v>83</v>
      </c>
      <c r="G32" s="7" t="s">
        <v>91</v>
      </c>
      <c r="H32" s="7" t="s">
        <v>86</v>
      </c>
      <c r="M32" s="8"/>
      <c r="N32" s="8"/>
      <c r="O32" s="8"/>
      <c r="P32" s="8"/>
      <c r="Q32" s="8"/>
    </row>
    <row r="33" spans="1:17" x14ac:dyDescent="0.25">
      <c r="B33" s="7" t="s">
        <v>94</v>
      </c>
      <c r="C33" s="7" t="s">
        <v>95</v>
      </c>
      <c r="E33" s="35">
        <f>E28</f>
        <v>306.33600000000001</v>
      </c>
      <c r="F33" s="35">
        <f>F28</f>
        <v>180.94800000000001</v>
      </c>
      <c r="G33" s="35">
        <f>SUM(E33:F33)</f>
        <v>487.28399999999999</v>
      </c>
      <c r="H33" s="35">
        <f>I22*D13</f>
        <v>346.06799999999998</v>
      </c>
      <c r="M33" s="8"/>
      <c r="N33" s="8"/>
      <c r="O33" s="8"/>
      <c r="P33" s="8"/>
      <c r="Q33" s="8"/>
    </row>
    <row r="34" spans="1:17" x14ac:dyDescent="0.25">
      <c r="M34" s="8"/>
      <c r="N34" s="8"/>
      <c r="O34" s="8"/>
      <c r="P34" s="8"/>
      <c r="Q34" s="8"/>
    </row>
    <row r="35" spans="1:17" x14ac:dyDescent="0.25">
      <c r="B35" s="7" t="s">
        <v>97</v>
      </c>
      <c r="M35" s="8"/>
      <c r="N35" s="8"/>
      <c r="O35" s="8"/>
      <c r="P35" s="8"/>
      <c r="Q35" s="8"/>
    </row>
    <row r="36" spans="1:17" x14ac:dyDescent="0.25">
      <c r="M36" s="8"/>
      <c r="N36" s="8"/>
      <c r="O36" s="8"/>
      <c r="P36" s="8"/>
      <c r="Q36" s="8"/>
    </row>
    <row r="37" spans="1:17" x14ac:dyDescent="0.25">
      <c r="A37" s="6" t="s">
        <v>141</v>
      </c>
      <c r="B37" s="6"/>
      <c r="C37" s="6"/>
      <c r="D37" s="6"/>
      <c r="E37" s="6"/>
      <c r="F37" s="6"/>
      <c r="G37" s="6"/>
      <c r="H37" s="6"/>
      <c r="I37" s="6"/>
      <c r="J37" s="6"/>
      <c r="K37" s="6"/>
      <c r="L37" s="6"/>
      <c r="M37" s="90"/>
      <c r="N37" s="90"/>
      <c r="O37" s="90"/>
      <c r="P37" s="90"/>
      <c r="Q37" s="90"/>
    </row>
    <row r="38" spans="1:17" x14ac:dyDescent="0.25">
      <c r="A38" s="6" t="s">
        <v>142</v>
      </c>
      <c r="B38" s="6"/>
      <c r="C38" s="6"/>
      <c r="D38" s="6"/>
      <c r="E38" s="6"/>
      <c r="F38" s="6"/>
      <c r="G38" s="6"/>
      <c r="H38" s="6"/>
      <c r="I38" s="6"/>
      <c r="J38" s="6"/>
      <c r="K38" s="6"/>
      <c r="L38" s="6"/>
      <c r="M38" s="90"/>
      <c r="N38" s="90"/>
      <c r="O38" s="90"/>
      <c r="P38" s="90"/>
      <c r="Q38" s="90"/>
    </row>
    <row r="39" spans="1:17" x14ac:dyDescent="0.25">
      <c r="A39" s="6"/>
      <c r="B39" s="6"/>
      <c r="C39" s="6"/>
      <c r="D39" s="6"/>
      <c r="E39" s="6"/>
      <c r="F39" s="6"/>
      <c r="G39" s="6"/>
      <c r="H39" s="6"/>
      <c r="I39" s="6"/>
      <c r="J39" s="6"/>
      <c r="K39" s="6"/>
      <c r="L39" s="6"/>
      <c r="M39" s="90"/>
      <c r="N39" s="90"/>
      <c r="O39" s="90"/>
      <c r="P39" s="90"/>
      <c r="Q39" s="90"/>
    </row>
    <row r="40" spans="1:17" x14ac:dyDescent="0.25">
      <c r="A40" s="6" t="s">
        <v>98</v>
      </c>
      <c r="B40" s="6"/>
      <c r="C40" s="6"/>
      <c r="D40" s="6"/>
      <c r="E40" s="6"/>
      <c r="F40" s="6"/>
      <c r="G40" s="6"/>
      <c r="H40" s="6"/>
      <c r="I40" s="6"/>
      <c r="J40" s="6"/>
      <c r="K40" s="6"/>
      <c r="L40" s="6"/>
      <c r="M40" s="90"/>
      <c r="N40" s="90"/>
      <c r="O40" s="90"/>
      <c r="P40" s="90"/>
      <c r="Q40" s="90"/>
    </row>
    <row r="41" spans="1:17" x14ac:dyDescent="0.25">
      <c r="A41" s="7" t="s">
        <v>0</v>
      </c>
    </row>
    <row r="42" spans="1:17" x14ac:dyDescent="0.25">
      <c r="B42" s="15" t="s">
        <v>85</v>
      </c>
      <c r="C42" s="15"/>
      <c r="D42" s="162" t="s">
        <v>79</v>
      </c>
      <c r="E42" s="163"/>
      <c r="F42" s="15"/>
      <c r="G42" s="15"/>
      <c r="H42" s="15"/>
      <c r="I42" s="15"/>
      <c r="J42" s="15"/>
      <c r="K42" s="15"/>
      <c r="L42" s="15"/>
      <c r="M42" s="15"/>
      <c r="N42" s="15"/>
    </row>
    <row r="43" spans="1:17" x14ac:dyDescent="0.25">
      <c r="B43" s="16" t="s">
        <v>80</v>
      </c>
      <c r="C43" s="16" t="s">
        <v>81</v>
      </c>
      <c r="D43" s="16" t="s">
        <v>82</v>
      </c>
      <c r="E43" s="16" t="s">
        <v>83</v>
      </c>
      <c r="F43" s="16" t="s">
        <v>86</v>
      </c>
      <c r="G43" s="16" t="s">
        <v>87</v>
      </c>
      <c r="H43" s="16" t="s">
        <v>88</v>
      </c>
      <c r="I43" s="16" t="s">
        <v>89</v>
      </c>
      <c r="J43" s="16" t="s">
        <v>99</v>
      </c>
      <c r="K43" s="16" t="s">
        <v>100</v>
      </c>
      <c r="L43" s="16" t="s">
        <v>101</v>
      </c>
      <c r="M43" s="16" t="s">
        <v>102</v>
      </c>
      <c r="N43" s="16" t="s">
        <v>103</v>
      </c>
    </row>
    <row r="44" spans="1:17" x14ac:dyDescent="0.25">
      <c r="B44" s="15">
        <f t="shared" ref="B44:I46" si="6">B19</f>
        <v>1</v>
      </c>
      <c r="C44" s="34">
        <f t="shared" si="6"/>
        <v>0.01</v>
      </c>
      <c r="D44" s="21">
        <f t="shared" si="6"/>
        <v>20000</v>
      </c>
      <c r="E44" s="21">
        <f t="shared" si="6"/>
        <v>5000</v>
      </c>
      <c r="F44" s="21">
        <f t="shared" si="6"/>
        <v>25000</v>
      </c>
      <c r="G44" s="21">
        <f t="shared" si="6"/>
        <v>3960000</v>
      </c>
      <c r="H44" s="21">
        <f t="shared" si="6"/>
        <v>247500</v>
      </c>
      <c r="I44" s="21">
        <f t="shared" si="6"/>
        <v>6187500</v>
      </c>
      <c r="J44" s="27">
        <f>I44-G44-H44</f>
        <v>1980000</v>
      </c>
      <c r="K44" s="27">
        <f>J44*D44/F44</f>
        <v>1584000</v>
      </c>
      <c r="L44" s="27">
        <f>J44*E44/F44</f>
        <v>396000</v>
      </c>
      <c r="M44" s="27">
        <f>G44+K44</f>
        <v>5544000</v>
      </c>
      <c r="N44" s="27">
        <f>H44+L44</f>
        <v>643500</v>
      </c>
    </row>
    <row r="45" spans="1:17" x14ac:dyDescent="0.25">
      <c r="B45" s="15">
        <f t="shared" si="6"/>
        <v>2</v>
      </c>
      <c r="C45" s="34">
        <f t="shared" si="6"/>
        <v>0.02</v>
      </c>
      <c r="D45" s="21">
        <f t="shared" si="6"/>
        <v>10000</v>
      </c>
      <c r="E45" s="21">
        <f t="shared" si="6"/>
        <v>8000</v>
      </c>
      <c r="F45" s="21">
        <f t="shared" si="6"/>
        <v>18000</v>
      </c>
      <c r="G45" s="21">
        <f t="shared" si="6"/>
        <v>1960000</v>
      </c>
      <c r="H45" s="21">
        <f t="shared" si="6"/>
        <v>1254400</v>
      </c>
      <c r="I45" s="21">
        <f t="shared" si="6"/>
        <v>6350400</v>
      </c>
      <c r="J45" s="27">
        <f t="shared" ref="J45:J46" si="7">I45-G45-H45</f>
        <v>3136000</v>
      </c>
      <c r="K45" s="27">
        <f t="shared" ref="K45:K46" si="8">J45*D45/F45</f>
        <v>1742222.2222222222</v>
      </c>
      <c r="L45" s="27">
        <f t="shared" ref="L45:L46" si="9">J45*E45/F45</f>
        <v>1393777.7777777778</v>
      </c>
      <c r="M45" s="27">
        <f t="shared" ref="M45:M46" si="10">G45+K45</f>
        <v>3702222.222222222</v>
      </c>
      <c r="N45" s="27">
        <f t="shared" ref="N45:N46" si="11">H45+L45</f>
        <v>2648177.777777778</v>
      </c>
    </row>
    <row r="46" spans="1:17" x14ac:dyDescent="0.25">
      <c r="B46" s="15">
        <f t="shared" si="6"/>
        <v>3</v>
      </c>
      <c r="C46" s="34">
        <f t="shared" si="6"/>
        <v>0.04</v>
      </c>
      <c r="D46" s="21">
        <f t="shared" si="6"/>
        <v>5000</v>
      </c>
      <c r="E46" s="21">
        <f t="shared" si="6"/>
        <v>2000</v>
      </c>
      <c r="F46" s="21">
        <f t="shared" si="6"/>
        <v>7000</v>
      </c>
      <c r="G46" s="21">
        <f t="shared" si="6"/>
        <v>960000</v>
      </c>
      <c r="H46" s="21">
        <f t="shared" si="6"/>
        <v>153600</v>
      </c>
      <c r="I46" s="21">
        <f t="shared" si="6"/>
        <v>1881600</v>
      </c>
      <c r="J46" s="27">
        <f t="shared" si="7"/>
        <v>768000</v>
      </c>
      <c r="K46" s="27">
        <f t="shared" si="8"/>
        <v>548571.42857142852</v>
      </c>
      <c r="L46" s="27">
        <f t="shared" si="9"/>
        <v>219428.57142857142</v>
      </c>
      <c r="M46" s="27">
        <f t="shared" si="10"/>
        <v>1508571.4285714286</v>
      </c>
      <c r="N46" s="27">
        <f t="shared" si="11"/>
        <v>373028.57142857142</v>
      </c>
    </row>
    <row r="47" spans="1:17" x14ac:dyDescent="0.25">
      <c r="B47" s="15" t="s">
        <v>44</v>
      </c>
      <c r="C47" s="15"/>
      <c r="D47" s="21"/>
      <c r="E47" s="21"/>
      <c r="F47" s="21"/>
      <c r="G47" s="21">
        <f>SUM(G44:G46)</f>
        <v>6880000</v>
      </c>
      <c r="H47" s="21">
        <f>SUM(H44:H46)</f>
        <v>1655500</v>
      </c>
      <c r="I47" s="21">
        <f>SUM(I44:I46)</f>
        <v>14419500</v>
      </c>
      <c r="J47" s="15"/>
      <c r="K47" s="27">
        <f>SUM(K44:K46)</f>
        <v>3874793.6507936507</v>
      </c>
      <c r="L47" s="27">
        <f>SUM(L44:L46)</f>
        <v>2009206.3492063491</v>
      </c>
      <c r="M47" s="27">
        <f t="shared" ref="M47:N47" si="12">SUM(M44:M46)</f>
        <v>10754793.650793651</v>
      </c>
      <c r="N47" s="27">
        <f t="shared" si="12"/>
        <v>3664706.3492063493</v>
      </c>
    </row>
    <row r="49" spans="2:8" x14ac:dyDescent="0.25">
      <c r="E49" s="13" t="s">
        <v>82</v>
      </c>
      <c r="F49" s="13" t="s">
        <v>83</v>
      </c>
    </row>
    <row r="50" spans="2:8" x14ac:dyDescent="0.25">
      <c r="B50" s="7" t="s">
        <v>94</v>
      </c>
      <c r="C50" s="7" t="s">
        <v>95</v>
      </c>
      <c r="E50" s="35">
        <f>M47*D13</f>
        <v>258.11504761904763</v>
      </c>
      <c r="F50" s="35">
        <f>N47*D13</f>
        <v>87.952952380952382</v>
      </c>
    </row>
    <row r="51" spans="2:8" x14ac:dyDescent="0.25">
      <c r="G51" s="35"/>
      <c r="H51" s="35"/>
    </row>
  </sheetData>
  <mergeCells count="4">
    <mergeCell ref="A6:B6"/>
    <mergeCell ref="C6:D6"/>
    <mergeCell ref="D17:E17"/>
    <mergeCell ref="D42:E42"/>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BABF-6C2B-4BB7-BF15-7C049624CC4A}">
  <dimension ref="A1:J44"/>
  <sheetViews>
    <sheetView zoomScaleNormal="100" workbookViewId="0"/>
  </sheetViews>
  <sheetFormatPr defaultColWidth="9.140625" defaultRowHeight="15.75" x14ac:dyDescent="0.25"/>
  <cols>
    <col min="1" max="1" width="11.140625" style="7" customWidth="1"/>
    <col min="2" max="2" width="11.42578125" style="7" customWidth="1"/>
    <col min="3" max="3" width="11.140625" style="7" customWidth="1"/>
    <col min="4" max="4" width="12.28515625" style="7" customWidth="1"/>
    <col min="5" max="5" width="13" style="7" customWidth="1"/>
    <col min="6" max="6" width="11.7109375" style="7" customWidth="1"/>
    <col min="7" max="7" width="10.140625" style="7" customWidth="1"/>
    <col min="8" max="26" width="8.85546875" style="7" customWidth="1"/>
    <col min="27" max="16384" width="9.140625" style="7"/>
  </cols>
  <sheetData>
    <row r="1" spans="1:10" ht="18.75" x14ac:dyDescent="0.3">
      <c r="A1" s="102" t="s">
        <v>194</v>
      </c>
      <c r="B1" s="103"/>
      <c r="C1" s="4"/>
      <c r="D1" s="103"/>
      <c r="E1" s="103"/>
      <c r="F1" s="103"/>
      <c r="G1" s="103"/>
      <c r="H1" s="103"/>
      <c r="I1" s="103"/>
      <c r="J1" s="103"/>
    </row>
    <row r="2" spans="1:10" ht="15.75" customHeight="1" x14ac:dyDescent="0.25">
      <c r="A2" s="159" t="s">
        <v>195</v>
      </c>
      <c r="B2" s="159"/>
      <c r="C2" s="159"/>
      <c r="D2" s="159"/>
      <c r="E2" s="159"/>
      <c r="F2" s="159"/>
      <c r="G2" s="159"/>
      <c r="H2" s="159"/>
      <c r="I2" s="159"/>
      <c r="J2" s="159"/>
    </row>
    <row r="3" spans="1:10" x14ac:dyDescent="0.25">
      <c r="A3" s="159"/>
      <c r="B3" s="159"/>
      <c r="C3" s="159"/>
      <c r="D3" s="159"/>
      <c r="E3" s="159"/>
      <c r="F3" s="159"/>
      <c r="G3" s="159"/>
      <c r="H3" s="159"/>
      <c r="I3" s="159"/>
      <c r="J3" s="159"/>
    </row>
    <row r="4" spans="1:10" x14ac:dyDescent="0.25">
      <c r="A4" s="101"/>
      <c r="B4" s="101"/>
      <c r="C4" s="101"/>
      <c r="D4" s="101"/>
      <c r="E4" s="101"/>
      <c r="F4" s="101"/>
      <c r="G4" s="101"/>
      <c r="H4" s="101"/>
      <c r="I4" s="101"/>
      <c r="J4" s="101"/>
    </row>
    <row r="5" spans="1:10" x14ac:dyDescent="0.25">
      <c r="A5" s="58" t="s">
        <v>143</v>
      </c>
      <c r="B5" s="6"/>
      <c r="C5" s="6"/>
      <c r="D5" s="6"/>
      <c r="E5" s="6"/>
      <c r="F5" s="6"/>
      <c r="G5" s="6"/>
      <c r="H5" s="6"/>
      <c r="I5" s="6"/>
      <c r="J5" s="3"/>
    </row>
    <row r="6" spans="1:10" x14ac:dyDescent="0.25">
      <c r="A6" s="63"/>
      <c r="B6" s="6"/>
      <c r="C6" s="6"/>
      <c r="D6" s="6"/>
      <c r="E6" s="6"/>
      <c r="F6" s="6"/>
      <c r="G6" s="6"/>
      <c r="H6" s="6"/>
      <c r="I6" s="6"/>
      <c r="J6" s="3"/>
    </row>
    <row r="7" spans="1:10" x14ac:dyDescent="0.25">
      <c r="A7" s="6" t="s">
        <v>196</v>
      </c>
      <c r="B7" s="6"/>
      <c r="C7" s="6"/>
      <c r="D7" s="6"/>
      <c r="E7" s="6"/>
      <c r="F7" s="6"/>
      <c r="G7" s="6"/>
      <c r="H7" s="6"/>
      <c r="I7" s="6"/>
      <c r="J7" s="3"/>
    </row>
    <row r="8" spans="1:10" x14ac:dyDescent="0.25">
      <c r="A8" s="6"/>
      <c r="B8" s="6"/>
      <c r="C8" s="6"/>
      <c r="D8" s="6"/>
      <c r="E8" s="6"/>
      <c r="F8" s="6"/>
      <c r="G8" s="6"/>
      <c r="H8" s="6"/>
      <c r="I8" s="6"/>
      <c r="J8" s="3"/>
    </row>
    <row r="9" spans="1:10" x14ac:dyDescent="0.25">
      <c r="A9" s="165"/>
      <c r="B9" s="165"/>
      <c r="C9" s="165"/>
      <c r="D9" s="117" t="s">
        <v>33</v>
      </c>
      <c r="E9" s="117" t="s">
        <v>34</v>
      </c>
      <c r="F9" s="6"/>
      <c r="G9" s="6"/>
      <c r="H9" s="6"/>
      <c r="I9" s="6"/>
      <c r="J9" s="3"/>
    </row>
    <row r="10" spans="1:10" x14ac:dyDescent="0.25">
      <c r="A10" s="164" t="s">
        <v>35</v>
      </c>
      <c r="B10" s="164"/>
      <c r="C10" s="164"/>
      <c r="D10" s="118">
        <v>0.6</v>
      </c>
      <c r="E10" s="118">
        <v>0.4</v>
      </c>
      <c r="F10" s="6"/>
      <c r="G10" s="6"/>
      <c r="H10" s="6"/>
      <c r="I10" s="6"/>
      <c r="J10" s="3"/>
    </row>
    <row r="11" spans="1:10" x14ac:dyDescent="0.25">
      <c r="A11" s="164" t="s">
        <v>36</v>
      </c>
      <c r="B11" s="164"/>
      <c r="C11" s="164"/>
      <c r="D11" s="118">
        <v>0.08</v>
      </c>
      <c r="E11" s="118">
        <v>0.05</v>
      </c>
      <c r="F11" s="6"/>
      <c r="G11" s="6"/>
      <c r="H11" s="6"/>
      <c r="I11" s="6"/>
      <c r="J11" s="3"/>
    </row>
    <row r="12" spans="1:10" x14ac:dyDescent="0.25">
      <c r="A12" s="164" t="s">
        <v>37</v>
      </c>
      <c r="B12" s="164"/>
      <c r="C12" s="164"/>
      <c r="D12" s="118">
        <v>0.04</v>
      </c>
      <c r="E12" s="118">
        <v>7.0000000000000007E-2</v>
      </c>
      <c r="F12" s="6"/>
      <c r="G12" s="6"/>
      <c r="H12" s="6"/>
      <c r="I12" s="6"/>
      <c r="J12" s="3"/>
    </row>
    <row r="13" spans="1:10" x14ac:dyDescent="0.25">
      <c r="A13" s="164" t="s">
        <v>38</v>
      </c>
      <c r="B13" s="164"/>
      <c r="C13" s="164"/>
      <c r="D13" s="118">
        <v>0.04</v>
      </c>
      <c r="E13" s="118">
        <v>0.03</v>
      </c>
      <c r="F13" s="6"/>
      <c r="G13" s="6"/>
      <c r="H13" s="6"/>
      <c r="I13" s="6"/>
      <c r="J13" s="3"/>
    </row>
    <row r="14" spans="1:10" x14ac:dyDescent="0.25">
      <c r="A14" s="6"/>
      <c r="B14" s="6"/>
      <c r="C14" s="6"/>
      <c r="D14" s="119"/>
      <c r="E14" s="119"/>
      <c r="F14" s="39"/>
      <c r="G14" s="6"/>
      <c r="H14" s="6"/>
      <c r="I14" s="6"/>
      <c r="J14" s="3"/>
    </row>
    <row r="15" spans="1:10" x14ac:dyDescent="0.25">
      <c r="A15" s="6" t="s">
        <v>144</v>
      </c>
      <c r="B15" s="6"/>
      <c r="C15" s="6"/>
      <c r="D15" s="119"/>
      <c r="E15" s="119"/>
      <c r="F15" s="39"/>
      <c r="G15" s="6"/>
      <c r="H15" s="6"/>
      <c r="I15" s="6"/>
      <c r="J15" s="3"/>
    </row>
    <row r="16" spans="1:10" x14ac:dyDescent="0.25">
      <c r="A16" s="6"/>
      <c r="B16" s="6"/>
      <c r="C16" s="6"/>
      <c r="D16" s="39"/>
      <c r="E16" s="39"/>
      <c r="F16" s="39"/>
      <c r="G16" s="6"/>
      <c r="H16" s="6"/>
      <c r="I16" s="6"/>
      <c r="J16" s="3"/>
    </row>
    <row r="17" spans="1:10" x14ac:dyDescent="0.25">
      <c r="A17" s="164" t="s">
        <v>30</v>
      </c>
      <c r="B17" s="164"/>
      <c r="C17" s="164"/>
      <c r="D17" s="118">
        <v>0</v>
      </c>
      <c r="E17" s="39"/>
      <c r="F17" s="39"/>
      <c r="G17" s="6"/>
      <c r="H17" s="6"/>
      <c r="I17" s="6"/>
      <c r="J17" s="3"/>
    </row>
    <row r="18" spans="1:10" x14ac:dyDescent="0.25">
      <c r="A18" s="164" t="s">
        <v>31</v>
      </c>
      <c r="B18" s="164"/>
      <c r="C18" s="164"/>
      <c r="D18" s="118">
        <v>0.5</v>
      </c>
      <c r="E18" s="39"/>
      <c r="F18" s="39"/>
      <c r="G18" s="6"/>
      <c r="H18" s="6"/>
      <c r="I18" s="6"/>
      <c r="J18" s="3"/>
    </row>
    <row r="19" spans="1:10" x14ac:dyDescent="0.25">
      <c r="A19" s="164" t="s">
        <v>32</v>
      </c>
      <c r="B19" s="164"/>
      <c r="C19" s="164"/>
      <c r="D19" s="118">
        <v>0.3</v>
      </c>
      <c r="E19" s="39"/>
      <c r="F19" s="39"/>
      <c r="G19" s="6"/>
      <c r="H19" s="6"/>
      <c r="I19" s="6"/>
      <c r="J19" s="3"/>
    </row>
    <row r="20" spans="1:10" x14ac:dyDescent="0.25">
      <c r="A20" s="6"/>
      <c r="B20" s="6"/>
      <c r="C20" s="6"/>
      <c r="D20" s="6"/>
      <c r="E20" s="6"/>
      <c r="F20" s="6"/>
      <c r="G20" s="6"/>
      <c r="H20" s="6"/>
      <c r="I20" s="6"/>
      <c r="J20" s="3"/>
    </row>
    <row r="21" spans="1:10" x14ac:dyDescent="0.25">
      <c r="A21" s="66" t="s">
        <v>197</v>
      </c>
      <c r="B21" s="6"/>
      <c r="C21" s="6"/>
      <c r="D21" s="6"/>
      <c r="E21" s="6"/>
      <c r="F21" s="6"/>
      <c r="G21" s="6"/>
      <c r="H21" s="6"/>
      <c r="I21" s="6"/>
      <c r="J21" s="3"/>
    </row>
    <row r="22" spans="1:10" x14ac:dyDescent="0.25">
      <c r="A22" s="66"/>
      <c r="B22" s="6"/>
      <c r="C22" s="6"/>
      <c r="D22" s="6"/>
      <c r="E22" s="6"/>
      <c r="F22" s="6"/>
      <c r="G22" s="6"/>
      <c r="H22" s="6"/>
      <c r="I22" s="6"/>
      <c r="J22" s="3"/>
    </row>
    <row r="23" spans="1:10" x14ac:dyDescent="0.25">
      <c r="A23" s="120" t="s">
        <v>145</v>
      </c>
      <c r="B23" s="58"/>
      <c r="C23" s="58"/>
      <c r="D23" s="58"/>
      <c r="E23" s="58"/>
      <c r="F23" s="58"/>
      <c r="G23" s="58"/>
      <c r="H23" s="58"/>
      <c r="I23" s="58"/>
      <c r="J23" s="3"/>
    </row>
    <row r="24" spans="1:10" x14ac:dyDescent="0.25">
      <c r="A24" s="7" t="s">
        <v>0</v>
      </c>
    </row>
    <row r="26" spans="1:10" x14ac:dyDescent="0.25">
      <c r="A26" s="7" t="s">
        <v>36</v>
      </c>
      <c r="D26" s="91">
        <f>SQRT(D$10^2*D11^2+E$10^2*E11^2+2*D$10*E$10*D17*D11*E11)</f>
        <v>5.2000000000000005E-2</v>
      </c>
    </row>
    <row r="27" spans="1:10" x14ac:dyDescent="0.25">
      <c r="A27" s="7" t="s">
        <v>37</v>
      </c>
      <c r="D27" s="91">
        <f>SQRT(D$10^2*D12^2+E$10^2*E12^2+2*D$10*E$10*D18*D12*E12)</f>
        <v>4.5077710678338587E-2</v>
      </c>
    </row>
    <row r="28" spans="1:10" x14ac:dyDescent="0.25">
      <c r="A28" s="7" t="s">
        <v>38</v>
      </c>
      <c r="D28" s="91">
        <f>SQRT(D$10^2*D13^2+E$10^2*E13^2+2*D$10*E$10*D19*D13*E13)</f>
        <v>2.9879759035172957E-2</v>
      </c>
    </row>
    <row r="30" spans="1:10" x14ac:dyDescent="0.25">
      <c r="A30" s="66" t="s">
        <v>146</v>
      </c>
      <c r="B30" s="6"/>
      <c r="C30" s="6"/>
      <c r="D30" s="6"/>
      <c r="E30" s="6"/>
      <c r="F30" s="6"/>
      <c r="G30" s="6"/>
      <c r="H30" s="6"/>
      <c r="I30" s="6"/>
      <c r="J30" s="3"/>
    </row>
    <row r="31" spans="1:10" x14ac:dyDescent="0.25">
      <c r="A31" s="121" t="s">
        <v>40</v>
      </c>
      <c r="B31" s="6"/>
      <c r="C31" s="6"/>
      <c r="D31" s="6"/>
      <c r="E31" s="6"/>
      <c r="F31" s="6"/>
      <c r="G31" s="6"/>
      <c r="H31" s="6"/>
      <c r="I31" s="6"/>
      <c r="J31" s="3"/>
    </row>
    <row r="32" spans="1:10" x14ac:dyDescent="0.25">
      <c r="A32" s="121"/>
      <c r="B32" s="6"/>
      <c r="C32" s="6"/>
      <c r="D32" s="6"/>
      <c r="E32" s="6"/>
      <c r="F32" s="6"/>
      <c r="G32" s="6"/>
      <c r="H32" s="6"/>
      <c r="I32" s="6"/>
      <c r="J32" s="3"/>
    </row>
    <row r="33" spans="1:10" x14ac:dyDescent="0.25">
      <c r="A33" s="122" t="s">
        <v>147</v>
      </c>
      <c r="B33" s="6"/>
      <c r="C33" s="6"/>
      <c r="D33" s="6"/>
      <c r="E33" s="6"/>
      <c r="F33" s="6"/>
      <c r="G33" s="6"/>
      <c r="H33" s="6"/>
      <c r="I33" s="6"/>
      <c r="J33" s="3"/>
    </row>
    <row r="34" spans="1:10" x14ac:dyDescent="0.25">
      <c r="A34" s="7" t="s">
        <v>0</v>
      </c>
    </row>
    <row r="36" spans="1:10" x14ac:dyDescent="0.25">
      <c r="A36" s="7" t="s">
        <v>39</v>
      </c>
      <c r="D36" s="91">
        <f>SQRT(SUMSQ(D26:D28))</f>
        <v>7.5025329056259402E-2</v>
      </c>
    </row>
    <row r="41" spans="1:10" ht="19.899999999999999" customHeight="1" x14ac:dyDescent="0.25"/>
    <row r="42" spans="1:10" ht="19.899999999999999" customHeight="1" x14ac:dyDescent="0.25"/>
    <row r="43" spans="1:10" ht="19.899999999999999" customHeight="1" x14ac:dyDescent="0.25"/>
    <row r="44" spans="1:10" ht="19.899999999999999" customHeight="1" x14ac:dyDescent="0.25"/>
  </sheetData>
  <mergeCells count="9">
    <mergeCell ref="A17:C17"/>
    <mergeCell ref="A18:C18"/>
    <mergeCell ref="A19:C19"/>
    <mergeCell ref="A2:J3"/>
    <mergeCell ref="A10:C10"/>
    <mergeCell ref="A9:C9"/>
    <mergeCell ref="A11:C11"/>
    <mergeCell ref="A12:C12"/>
    <mergeCell ref="A13:C1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6F52-D2D7-409E-9C3E-353EF2E5943D}">
  <dimension ref="A1:L37"/>
  <sheetViews>
    <sheetView workbookViewId="0"/>
  </sheetViews>
  <sheetFormatPr defaultRowHeight="15" x14ac:dyDescent="0.25"/>
  <sheetData>
    <row r="1" spans="1:12" ht="18.75" x14ac:dyDescent="0.3">
      <c r="A1" s="102" t="s">
        <v>198</v>
      </c>
      <c r="B1" s="103"/>
      <c r="C1" s="4"/>
      <c r="D1" s="103"/>
      <c r="E1" s="103"/>
      <c r="F1" s="103"/>
      <c r="G1" s="103"/>
      <c r="H1" s="103"/>
      <c r="I1" s="103"/>
      <c r="J1" s="103"/>
      <c r="K1" s="103"/>
      <c r="L1" s="104"/>
    </row>
    <row r="2" spans="1:12" ht="15.75" x14ac:dyDescent="0.25">
      <c r="A2" s="103" t="s">
        <v>199</v>
      </c>
      <c r="B2" s="103"/>
      <c r="C2" s="103"/>
      <c r="D2" s="103"/>
      <c r="E2" s="103"/>
      <c r="F2" s="103"/>
      <c r="G2" s="103"/>
      <c r="H2" s="103"/>
      <c r="I2" s="103"/>
      <c r="J2" s="103"/>
      <c r="K2" s="103"/>
      <c r="L2" s="104"/>
    </row>
    <row r="3" spans="1:12" ht="15.75" x14ac:dyDescent="0.25">
      <c r="A3" s="123"/>
      <c r="B3" s="103"/>
      <c r="C3" s="103"/>
      <c r="D3" s="103"/>
      <c r="E3" s="103"/>
      <c r="F3" s="103"/>
      <c r="G3" s="103"/>
      <c r="H3" s="103"/>
      <c r="I3" s="103"/>
      <c r="J3" s="103"/>
      <c r="K3" s="103"/>
      <c r="L3" s="104"/>
    </row>
    <row r="4" spans="1:12" ht="15.75" x14ac:dyDescent="0.25">
      <c r="A4" s="4"/>
      <c r="B4" s="124" t="s">
        <v>200</v>
      </c>
      <c r="C4" s="99"/>
      <c r="D4" s="98"/>
      <c r="E4" s="125">
        <v>50</v>
      </c>
      <c r="F4" s="4"/>
      <c r="G4" s="4"/>
      <c r="H4" s="4"/>
      <c r="I4" s="4"/>
      <c r="J4" s="4"/>
      <c r="K4" s="4"/>
      <c r="L4" s="4"/>
    </row>
    <row r="5" spans="1:12" ht="15.75" x14ac:dyDescent="0.25">
      <c r="A5" s="4"/>
      <c r="B5" s="124" t="s">
        <v>201</v>
      </c>
      <c r="C5" s="99"/>
      <c r="D5" s="98"/>
      <c r="E5" s="125">
        <v>7</v>
      </c>
      <c r="F5" s="4"/>
      <c r="G5" s="4"/>
      <c r="H5" s="4"/>
      <c r="I5" s="4"/>
      <c r="J5" s="4"/>
      <c r="K5" s="4"/>
      <c r="L5" s="4"/>
    </row>
    <row r="6" spans="1:12" ht="15.75" x14ac:dyDescent="0.25">
      <c r="A6" s="4"/>
      <c r="B6" s="124" t="s">
        <v>202</v>
      </c>
      <c r="C6" s="99"/>
      <c r="D6" s="98"/>
      <c r="E6" s="125">
        <v>1.125</v>
      </c>
      <c r="F6" s="4"/>
      <c r="G6" s="4"/>
      <c r="H6" s="4"/>
      <c r="I6" s="4"/>
      <c r="J6" s="4"/>
      <c r="K6" s="4"/>
      <c r="L6" s="4"/>
    </row>
    <row r="7" spans="1:12" ht="15.75" x14ac:dyDescent="0.25">
      <c r="A7" s="4"/>
      <c r="B7" s="124" t="s">
        <v>203</v>
      </c>
      <c r="C7" s="99"/>
      <c r="D7" s="98"/>
      <c r="E7" s="125">
        <v>30</v>
      </c>
      <c r="F7" s="4"/>
      <c r="G7" s="4"/>
      <c r="H7" s="4"/>
      <c r="I7" s="4"/>
      <c r="J7" s="4"/>
      <c r="K7" s="4"/>
      <c r="L7" s="4"/>
    </row>
    <row r="8" spans="1:12" ht="15.75" x14ac:dyDescent="0.25">
      <c r="A8" s="4"/>
      <c r="B8" s="124" t="s">
        <v>204</v>
      </c>
      <c r="C8" s="99"/>
      <c r="D8" s="98"/>
      <c r="E8" s="125">
        <v>75</v>
      </c>
      <c r="F8" s="4"/>
      <c r="G8" s="4"/>
      <c r="H8" s="4"/>
      <c r="I8" s="4"/>
      <c r="J8" s="4"/>
      <c r="K8" s="4"/>
      <c r="L8" s="4"/>
    </row>
    <row r="9" spans="1:12" ht="15.75" x14ac:dyDescent="0.25">
      <c r="A9" s="4"/>
      <c r="B9" s="4"/>
      <c r="C9" s="4"/>
      <c r="D9" s="4"/>
      <c r="E9" s="4"/>
      <c r="F9" s="4"/>
      <c r="G9" s="4"/>
      <c r="H9" s="4"/>
      <c r="I9" s="4"/>
      <c r="J9" s="4"/>
      <c r="K9" s="4"/>
      <c r="L9" s="4"/>
    </row>
    <row r="10" spans="1:12" ht="15.75" x14ac:dyDescent="0.25">
      <c r="A10" s="4"/>
      <c r="B10" s="97"/>
      <c r="C10" s="99" t="s">
        <v>205</v>
      </c>
      <c r="D10" s="98"/>
      <c r="E10" s="4"/>
      <c r="F10" s="4"/>
      <c r="G10" s="4"/>
      <c r="H10" s="4"/>
      <c r="I10" s="4"/>
      <c r="J10" s="4"/>
      <c r="K10" s="4"/>
      <c r="L10" s="4"/>
    </row>
    <row r="11" spans="1:12" ht="15.75" x14ac:dyDescent="0.25">
      <c r="A11" s="4"/>
      <c r="B11" s="126" t="s">
        <v>206</v>
      </c>
      <c r="C11" s="127" t="s">
        <v>207</v>
      </c>
      <c r="D11" s="127" t="s">
        <v>208</v>
      </c>
      <c r="E11" s="4"/>
      <c r="F11" s="4"/>
      <c r="G11" s="4"/>
      <c r="H11" s="4"/>
      <c r="I11" s="4"/>
      <c r="J11" s="4"/>
      <c r="K11" s="4"/>
      <c r="L11" s="4"/>
    </row>
    <row r="12" spans="1:12" ht="15.75" x14ac:dyDescent="0.25">
      <c r="A12" s="4"/>
      <c r="B12" s="128">
        <v>0</v>
      </c>
      <c r="C12" s="128">
        <v>1</v>
      </c>
      <c r="D12" s="128">
        <v>0</v>
      </c>
      <c r="E12" s="4"/>
      <c r="F12" s="4"/>
      <c r="G12" s="4"/>
      <c r="H12" s="4"/>
      <c r="I12" s="4"/>
      <c r="J12" s="4"/>
      <c r="K12" s="4"/>
      <c r="L12" s="4"/>
    </row>
    <row r="13" spans="1:12" ht="15.75" x14ac:dyDescent="0.25">
      <c r="A13" s="4"/>
      <c r="B13" s="128">
        <v>0.2</v>
      </c>
      <c r="C13" s="128">
        <v>0.81</v>
      </c>
      <c r="D13" s="128">
        <v>0.01</v>
      </c>
      <c r="E13" s="4"/>
      <c r="F13" s="4"/>
      <c r="G13" s="4"/>
      <c r="H13" s="4"/>
      <c r="I13" s="4"/>
      <c r="J13" s="4"/>
      <c r="K13" s="4"/>
      <c r="L13" s="4"/>
    </row>
    <row r="14" spans="1:12" ht="15.75" x14ac:dyDescent="0.25">
      <c r="A14" s="4"/>
      <c r="B14" s="128">
        <v>0.4</v>
      </c>
      <c r="C14" s="128">
        <v>0.64</v>
      </c>
      <c r="D14" s="128">
        <v>0.04</v>
      </c>
      <c r="E14" s="4"/>
      <c r="F14" s="4"/>
      <c r="G14" s="4"/>
      <c r="H14" s="4"/>
      <c r="I14" s="4"/>
      <c r="J14" s="4"/>
      <c r="K14" s="4"/>
      <c r="L14" s="4"/>
    </row>
    <row r="15" spans="1:12" ht="15.75" x14ac:dyDescent="0.25">
      <c r="A15" s="4"/>
      <c r="B15" s="128">
        <v>0.6</v>
      </c>
      <c r="C15" s="128">
        <v>0.49</v>
      </c>
      <c r="D15" s="128">
        <v>0.09</v>
      </c>
      <c r="E15" s="4"/>
      <c r="F15" s="4"/>
      <c r="G15" s="4"/>
      <c r="H15" s="4"/>
      <c r="I15" s="4"/>
      <c r="J15" s="4"/>
      <c r="K15" s="4"/>
      <c r="L15" s="4"/>
    </row>
    <row r="16" spans="1:12" ht="15.75" x14ac:dyDescent="0.25">
      <c r="A16" s="4"/>
      <c r="B16" s="128">
        <v>0.8</v>
      </c>
      <c r="C16" s="128">
        <v>0.36</v>
      </c>
      <c r="D16" s="128">
        <v>0.16</v>
      </c>
      <c r="E16" s="4"/>
      <c r="F16" s="4"/>
      <c r="G16" s="4"/>
      <c r="H16" s="4"/>
      <c r="I16" s="4"/>
      <c r="J16" s="4"/>
      <c r="K16" s="4"/>
      <c r="L16" s="4"/>
    </row>
    <row r="17" spans="1:12" ht="15.75" x14ac:dyDescent="0.25">
      <c r="A17" s="4"/>
      <c r="B17" s="128">
        <v>1</v>
      </c>
      <c r="C17" s="128">
        <v>0.25</v>
      </c>
      <c r="D17" s="128">
        <v>0.25</v>
      </c>
      <c r="E17" s="4"/>
      <c r="F17" s="4"/>
      <c r="G17" s="4"/>
      <c r="H17" s="4"/>
      <c r="I17" s="4"/>
      <c r="J17" s="4"/>
      <c r="K17" s="4"/>
      <c r="L17" s="4"/>
    </row>
    <row r="18" spans="1:12" ht="15.75" x14ac:dyDescent="0.25">
      <c r="A18" s="4"/>
      <c r="B18" s="128">
        <v>1.2</v>
      </c>
      <c r="C18" s="128">
        <v>0.16</v>
      </c>
      <c r="D18" s="128">
        <v>0.36</v>
      </c>
      <c r="E18" s="4"/>
      <c r="F18" s="4"/>
      <c r="G18" s="4"/>
      <c r="H18" s="4"/>
      <c r="I18" s="4"/>
      <c r="J18" s="4"/>
      <c r="K18" s="4"/>
      <c r="L18" s="4"/>
    </row>
    <row r="19" spans="1:12" ht="15.75" x14ac:dyDescent="0.25">
      <c r="A19" s="4"/>
      <c r="B19" s="128">
        <v>1.4</v>
      </c>
      <c r="C19" s="128">
        <v>0.09</v>
      </c>
      <c r="D19" s="128">
        <v>0.49</v>
      </c>
      <c r="E19" s="4"/>
      <c r="F19" s="4"/>
      <c r="G19" s="4"/>
      <c r="H19" s="4"/>
      <c r="I19" s="4"/>
      <c r="J19" s="4"/>
      <c r="K19" s="4"/>
      <c r="L19" s="4"/>
    </row>
    <row r="20" spans="1:12" ht="15.75" x14ac:dyDescent="0.25">
      <c r="A20" s="4"/>
      <c r="B20" s="128">
        <v>1.6</v>
      </c>
      <c r="C20" s="128">
        <v>0.04</v>
      </c>
      <c r="D20" s="128">
        <v>0.64</v>
      </c>
      <c r="E20" s="4"/>
      <c r="F20" s="4"/>
      <c r="G20" s="4"/>
      <c r="H20" s="4"/>
      <c r="I20" s="4"/>
      <c r="J20" s="4"/>
      <c r="K20" s="4"/>
      <c r="L20" s="4"/>
    </row>
    <row r="21" spans="1:12" ht="15.75" x14ac:dyDescent="0.25">
      <c r="A21" s="4"/>
      <c r="B21" s="128">
        <v>1.8</v>
      </c>
      <c r="C21" s="128">
        <v>0.01</v>
      </c>
      <c r="D21" s="128">
        <v>0.81</v>
      </c>
      <c r="E21" s="4"/>
      <c r="F21" s="4"/>
      <c r="G21" s="4"/>
      <c r="H21" s="4"/>
      <c r="I21" s="4"/>
      <c r="J21" s="4"/>
      <c r="K21" s="4"/>
      <c r="L21" s="4"/>
    </row>
    <row r="22" spans="1:12" ht="15.75" x14ac:dyDescent="0.25">
      <c r="A22" s="4"/>
      <c r="B22" s="128">
        <v>2</v>
      </c>
      <c r="C22" s="128">
        <v>0</v>
      </c>
      <c r="D22" s="128">
        <v>1</v>
      </c>
      <c r="E22" s="4"/>
      <c r="F22" s="4"/>
      <c r="G22" s="4"/>
      <c r="H22" s="4"/>
      <c r="I22" s="4"/>
      <c r="J22" s="4"/>
      <c r="K22" s="4"/>
      <c r="L22" s="4"/>
    </row>
    <row r="23" spans="1:12" ht="15.75" x14ac:dyDescent="0.25">
      <c r="A23" s="4"/>
      <c r="B23" s="129"/>
      <c r="C23" s="129"/>
      <c r="D23" s="129"/>
      <c r="E23" s="4"/>
      <c r="F23" s="4"/>
      <c r="G23" s="4"/>
      <c r="H23" s="4"/>
      <c r="I23" s="4"/>
      <c r="J23" s="4"/>
      <c r="K23" s="4"/>
      <c r="L23" s="4"/>
    </row>
    <row r="24" spans="1:12" ht="18.75" x14ac:dyDescent="0.35">
      <c r="A24" s="4"/>
      <c r="B24" s="4" t="s">
        <v>209</v>
      </c>
      <c r="C24" s="129"/>
      <c r="D24" s="129"/>
      <c r="E24" s="4"/>
      <c r="F24" s="4"/>
      <c r="G24" s="4"/>
      <c r="H24" s="4"/>
      <c r="I24" s="4"/>
      <c r="J24" s="4"/>
      <c r="K24" s="4"/>
      <c r="L24" s="4"/>
    </row>
    <row r="25" spans="1:12" ht="18.75" x14ac:dyDescent="0.35">
      <c r="A25" s="4"/>
      <c r="B25" s="4" t="s">
        <v>210</v>
      </c>
      <c r="C25" s="4"/>
      <c r="D25" s="4"/>
      <c r="E25" s="4"/>
      <c r="F25" s="130"/>
      <c r="G25" s="4"/>
      <c r="H25" s="4"/>
      <c r="I25" s="4"/>
      <c r="J25" s="4"/>
      <c r="K25" s="4"/>
      <c r="L25" s="4"/>
    </row>
    <row r="26" spans="1:12" ht="15.75" x14ac:dyDescent="0.25">
      <c r="A26" s="58"/>
      <c r="B26" s="4"/>
      <c r="C26" s="4"/>
      <c r="D26" s="4"/>
      <c r="E26" s="4"/>
      <c r="F26" s="4"/>
      <c r="G26" s="4"/>
      <c r="H26" s="4"/>
      <c r="I26" s="4"/>
      <c r="J26" s="4"/>
      <c r="K26" s="4"/>
      <c r="L26" s="4"/>
    </row>
    <row r="27" spans="1:12" ht="15.75" x14ac:dyDescent="0.25">
      <c r="A27" s="58" t="s">
        <v>26</v>
      </c>
      <c r="B27" s="4"/>
      <c r="C27" s="4"/>
      <c r="D27" s="4"/>
      <c r="E27" s="4"/>
      <c r="F27" s="4"/>
      <c r="G27" s="4"/>
      <c r="H27" s="4"/>
      <c r="I27" s="4"/>
      <c r="J27" s="4"/>
      <c r="K27" s="4"/>
      <c r="L27" s="4"/>
    </row>
    <row r="28" spans="1:12" ht="15.75" x14ac:dyDescent="0.25">
      <c r="A28" s="4"/>
      <c r="B28" s="4"/>
      <c r="C28" s="4"/>
      <c r="D28" s="4"/>
      <c r="E28" s="4"/>
      <c r="F28" s="4"/>
      <c r="G28" s="4"/>
      <c r="H28" s="4"/>
      <c r="I28" s="4"/>
      <c r="J28" s="4"/>
      <c r="K28" s="4"/>
      <c r="L28" s="4"/>
    </row>
    <row r="29" spans="1:12" ht="15.75" x14ac:dyDescent="0.25">
      <c r="A29" s="66" t="s">
        <v>211</v>
      </c>
      <c r="B29" s="4"/>
      <c r="C29" s="4"/>
      <c r="D29" s="4"/>
      <c r="E29" s="4"/>
      <c r="F29" s="4"/>
      <c r="G29" s="4"/>
      <c r="H29" s="4"/>
      <c r="I29" s="4"/>
      <c r="J29" s="4"/>
      <c r="K29" s="4"/>
      <c r="L29" s="4"/>
    </row>
    <row r="30" spans="1:12" ht="15.75" x14ac:dyDescent="0.25">
      <c r="A30" s="7" t="s">
        <v>0</v>
      </c>
    </row>
    <row r="32" spans="1:12" x14ac:dyDescent="0.25">
      <c r="B32">
        <f>E4*(C18-D14)</f>
        <v>6</v>
      </c>
    </row>
    <row r="34" spans="1:12" ht="15.75" x14ac:dyDescent="0.25">
      <c r="A34" s="66" t="s">
        <v>212</v>
      </c>
      <c r="B34" s="6"/>
      <c r="C34" s="6"/>
      <c r="D34" s="6"/>
      <c r="E34" s="6"/>
      <c r="F34" s="6"/>
      <c r="G34" s="6"/>
      <c r="H34" s="6"/>
      <c r="I34" s="6"/>
      <c r="J34" s="6"/>
      <c r="K34" s="6"/>
      <c r="L34" s="6"/>
    </row>
    <row r="35" spans="1:12" ht="15.75" x14ac:dyDescent="0.25">
      <c r="A35" s="7" t="s">
        <v>0</v>
      </c>
      <c r="B35" s="7"/>
      <c r="C35" s="7"/>
      <c r="D35" s="7"/>
      <c r="E35" s="7"/>
      <c r="F35" s="7"/>
      <c r="G35" s="7"/>
      <c r="H35" s="7"/>
      <c r="I35" s="7"/>
      <c r="J35" s="7"/>
      <c r="K35" s="7"/>
      <c r="L35" s="7"/>
    </row>
    <row r="37" spans="1:12" x14ac:dyDescent="0.25">
      <c r="B37">
        <f>E5-(E6-1)*E4+E6*B32</f>
        <v>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0ED4-47A4-44DF-AD4D-E2A25AE20049}">
  <dimension ref="A1:N70"/>
  <sheetViews>
    <sheetView zoomScaleNormal="100" workbookViewId="0"/>
  </sheetViews>
  <sheetFormatPr defaultColWidth="9.140625" defaultRowHeight="15.75" x14ac:dyDescent="0.25"/>
  <cols>
    <col min="1" max="1" width="11.5703125" style="7" customWidth="1"/>
    <col min="2" max="2" width="15.5703125" style="7" customWidth="1"/>
    <col min="3" max="3" width="16.5703125" style="7" customWidth="1"/>
    <col min="4" max="4" width="12.5703125" style="7" customWidth="1"/>
    <col min="5" max="5" width="11.85546875" style="7" customWidth="1"/>
    <col min="6" max="6" width="11.5703125" style="7" customWidth="1"/>
    <col min="7" max="7" width="10.140625" style="7" customWidth="1"/>
    <col min="8" max="16384" width="9.140625" style="7"/>
  </cols>
  <sheetData>
    <row r="1" spans="1:12" ht="18.75" x14ac:dyDescent="0.3">
      <c r="A1" s="102" t="s">
        <v>213</v>
      </c>
      <c r="B1" s="103"/>
      <c r="C1" s="4"/>
      <c r="D1" s="103"/>
      <c r="E1" s="103"/>
      <c r="F1" s="103"/>
      <c r="G1" s="103"/>
      <c r="H1" s="103"/>
      <c r="I1" s="103"/>
      <c r="J1" s="103"/>
      <c r="K1" s="104"/>
      <c r="L1" s="104"/>
    </row>
    <row r="2" spans="1:12" x14ac:dyDescent="0.25">
      <c r="A2" s="6" t="s">
        <v>148</v>
      </c>
      <c r="B2" s="6"/>
      <c r="C2" s="6"/>
      <c r="D2" s="6"/>
      <c r="E2" s="6"/>
      <c r="F2" s="6"/>
      <c r="G2" s="6"/>
      <c r="H2" s="6"/>
      <c r="I2" s="6"/>
      <c r="J2" s="6"/>
      <c r="K2" s="6"/>
      <c r="L2" s="6"/>
    </row>
    <row r="3" spans="1:12" x14ac:dyDescent="0.25">
      <c r="A3" s="6"/>
      <c r="B3" s="6"/>
      <c r="C3" s="6"/>
      <c r="D3" s="6"/>
      <c r="E3" s="6"/>
      <c r="F3" s="6"/>
      <c r="G3" s="6"/>
      <c r="H3" s="6"/>
      <c r="I3" s="6"/>
      <c r="J3" s="6"/>
      <c r="K3" s="6"/>
      <c r="L3" s="6"/>
    </row>
    <row r="4" spans="1:12" x14ac:dyDescent="0.25">
      <c r="A4" s="6" t="s">
        <v>41</v>
      </c>
      <c r="B4" s="6"/>
      <c r="C4" s="6"/>
      <c r="D4" s="6"/>
      <c r="E4" s="89">
        <v>1.5</v>
      </c>
      <c r="F4" s="6"/>
      <c r="G4" s="6"/>
      <c r="H4" s="6"/>
      <c r="I4" s="6"/>
      <c r="J4" s="6"/>
      <c r="K4" s="6"/>
      <c r="L4" s="6"/>
    </row>
    <row r="5" spans="1:12" x14ac:dyDescent="0.25">
      <c r="A5" s="6"/>
      <c r="B5" s="6"/>
      <c r="C5" s="6"/>
      <c r="D5" s="6"/>
      <c r="E5" s="89"/>
      <c r="F5" s="6"/>
      <c r="G5" s="6"/>
      <c r="H5" s="6"/>
      <c r="I5" s="6"/>
      <c r="J5" s="6"/>
      <c r="K5" s="6"/>
      <c r="L5" s="6"/>
    </row>
    <row r="6" spans="1:12" x14ac:dyDescent="0.25">
      <c r="A6" s="6" t="s">
        <v>214</v>
      </c>
      <c r="B6" s="6"/>
      <c r="C6" s="6"/>
      <c r="D6" s="6"/>
      <c r="E6" s="89"/>
      <c r="F6" s="6"/>
      <c r="G6" s="6"/>
      <c r="H6" s="6"/>
      <c r="I6" s="6"/>
      <c r="J6" s="6"/>
      <c r="K6" s="6"/>
      <c r="L6" s="6"/>
    </row>
    <row r="7" spans="1:12" x14ac:dyDescent="0.25">
      <c r="A7" s="6"/>
      <c r="B7" s="6"/>
      <c r="C7" s="6"/>
      <c r="D7" s="6"/>
      <c r="E7" s="6"/>
      <c r="F7" s="6"/>
      <c r="G7" s="6"/>
      <c r="H7" s="6"/>
      <c r="I7" s="6"/>
      <c r="J7" s="6"/>
      <c r="K7" s="6"/>
      <c r="L7" s="6"/>
    </row>
    <row r="8" spans="1:12" ht="40.5" customHeight="1" x14ac:dyDescent="0.25">
      <c r="A8" s="6"/>
      <c r="B8" s="131" t="s">
        <v>42</v>
      </c>
      <c r="C8" s="131" t="s">
        <v>43</v>
      </c>
      <c r="D8" s="6"/>
      <c r="E8" s="6"/>
      <c r="F8" s="6"/>
      <c r="G8" s="6"/>
      <c r="H8" s="6"/>
      <c r="I8" s="6"/>
      <c r="J8" s="6"/>
      <c r="K8" s="6"/>
      <c r="L8" s="6"/>
    </row>
    <row r="9" spans="1:12" x14ac:dyDescent="0.25">
      <c r="A9" s="6"/>
      <c r="B9" s="114">
        <v>1</v>
      </c>
      <c r="C9" s="114">
        <v>0.5</v>
      </c>
      <c r="D9" s="6"/>
      <c r="E9" s="6"/>
      <c r="F9" s="6"/>
      <c r="G9" s="6"/>
      <c r="H9" s="6"/>
      <c r="I9" s="6"/>
      <c r="J9" s="6"/>
      <c r="K9" s="6"/>
      <c r="L9" s="6"/>
    </row>
    <row r="10" spans="1:12" x14ac:dyDescent="0.25">
      <c r="A10" s="6"/>
      <c r="B10" s="114">
        <v>2</v>
      </c>
      <c r="C10" s="114">
        <v>0.4</v>
      </c>
      <c r="D10" s="6"/>
      <c r="E10" s="6"/>
      <c r="F10" s="6"/>
      <c r="G10" s="6"/>
      <c r="H10" s="6"/>
      <c r="I10" s="6"/>
      <c r="J10" s="6"/>
      <c r="K10" s="6"/>
      <c r="L10" s="6"/>
    </row>
    <row r="11" spans="1:12" x14ac:dyDescent="0.25">
      <c r="A11" s="6"/>
      <c r="B11" s="114">
        <v>3</v>
      </c>
      <c r="C11" s="114">
        <v>0.1</v>
      </c>
      <c r="D11" s="6"/>
      <c r="E11" s="6"/>
      <c r="F11" s="6"/>
      <c r="G11" s="6"/>
      <c r="H11" s="6"/>
      <c r="I11" s="6"/>
      <c r="J11" s="6"/>
      <c r="K11" s="6"/>
      <c r="L11" s="6"/>
    </row>
    <row r="12" spans="1:12" x14ac:dyDescent="0.25">
      <c r="A12" s="6"/>
      <c r="B12" s="92"/>
      <c r="C12" s="92"/>
      <c r="D12" s="6"/>
      <c r="E12" s="6"/>
      <c r="F12" s="6"/>
      <c r="G12" s="6"/>
      <c r="H12" s="6"/>
      <c r="I12" s="6"/>
      <c r="J12" s="6"/>
      <c r="K12" s="6"/>
      <c r="L12" s="6"/>
    </row>
    <row r="13" spans="1:12" x14ac:dyDescent="0.25">
      <c r="A13" s="6" t="s">
        <v>149</v>
      </c>
      <c r="B13" s="92"/>
      <c r="C13" s="92"/>
      <c r="D13" s="6"/>
      <c r="E13" s="6"/>
      <c r="F13" s="6"/>
      <c r="G13" s="6"/>
      <c r="H13" s="6"/>
      <c r="I13" s="6"/>
      <c r="J13" s="6"/>
      <c r="K13" s="6"/>
      <c r="L13" s="6"/>
    </row>
    <row r="14" spans="1:12" x14ac:dyDescent="0.25">
      <c r="A14" s="6"/>
      <c r="B14" s="6"/>
      <c r="C14" s="6"/>
      <c r="D14" s="6"/>
      <c r="E14" s="6"/>
      <c r="F14" s="6"/>
      <c r="G14" s="6"/>
      <c r="H14" s="6"/>
      <c r="I14" s="6"/>
      <c r="J14" s="6"/>
      <c r="K14" s="6"/>
      <c r="L14" s="6"/>
    </row>
    <row r="15" spans="1:12" x14ac:dyDescent="0.25">
      <c r="A15" s="6" t="s">
        <v>215</v>
      </c>
      <c r="B15" s="6"/>
      <c r="C15" s="6"/>
      <c r="D15" s="6"/>
      <c r="E15" s="6"/>
      <c r="F15" s="6"/>
      <c r="G15" s="6"/>
      <c r="H15" s="6"/>
      <c r="I15" s="6"/>
      <c r="J15" s="6"/>
      <c r="K15" s="6"/>
      <c r="L15" s="6"/>
    </row>
    <row r="16" spans="1:12" x14ac:dyDescent="0.25">
      <c r="A16" s="7" t="s">
        <v>0</v>
      </c>
    </row>
    <row r="17" spans="2:3" ht="47.25" x14ac:dyDescent="0.25">
      <c r="B17" s="131" t="s">
        <v>223</v>
      </c>
      <c r="C17" s="131" t="s">
        <v>43</v>
      </c>
    </row>
    <row r="18" spans="2:3" x14ac:dyDescent="0.25">
      <c r="B18" s="114">
        <v>0</v>
      </c>
      <c r="C18" s="132">
        <f>EXP(-E4)</f>
        <v>0.22313016014842982</v>
      </c>
    </row>
    <row r="19" spans="2:3" x14ac:dyDescent="0.25">
      <c r="B19" s="114">
        <v>1</v>
      </c>
      <c r="C19" s="133">
        <v>0.1673</v>
      </c>
    </row>
    <row r="20" spans="2:3" x14ac:dyDescent="0.25">
      <c r="B20" s="114">
        <v>2</v>
      </c>
      <c r="C20" s="133">
        <v>0.1966</v>
      </c>
    </row>
    <row r="21" spans="2:3" x14ac:dyDescent="0.25">
      <c r="B21" s="114">
        <v>3</v>
      </c>
      <c r="C21" s="133">
        <v>0.14960000000000001</v>
      </c>
    </row>
    <row r="22" spans="2:3" x14ac:dyDescent="0.25">
      <c r="B22" s="114">
        <v>4</v>
      </c>
      <c r="C22" s="132">
        <f>ROUND($E$4/B22*(C21*$C$9+2*C20*$C$10+3*C19*$C$11),4)</f>
        <v>0.10589999999999999</v>
      </c>
    </row>
    <row r="23" spans="2:3" x14ac:dyDescent="0.25">
      <c r="B23" s="114">
        <v>5</v>
      </c>
      <c r="C23" s="132">
        <f t="shared" ref="C23:C33" si="0">ROUND($E$4/B23*(C22*$C$9+2*C21*$C$10+3*C20*$C$11),4)</f>
        <v>6.9500000000000006E-2</v>
      </c>
    </row>
    <row r="24" spans="2:3" x14ac:dyDescent="0.25">
      <c r="B24" s="114">
        <v>6</v>
      </c>
      <c r="C24" s="133">
        <f t="shared" si="0"/>
        <v>4.1099999999999998E-2</v>
      </c>
    </row>
    <row r="25" spans="2:3" x14ac:dyDescent="0.25">
      <c r="B25" s="114">
        <v>7</v>
      </c>
      <c r="C25" s="132">
        <f t="shared" si="0"/>
        <v>2.3099999999999999E-2</v>
      </c>
    </row>
    <row r="26" spans="2:3" x14ac:dyDescent="0.25">
      <c r="B26" s="114">
        <v>8</v>
      </c>
      <c r="C26" s="132">
        <f t="shared" si="0"/>
        <v>1.2200000000000001E-2</v>
      </c>
    </row>
    <row r="27" spans="2:3" x14ac:dyDescent="0.25">
      <c r="B27" s="114">
        <v>9</v>
      </c>
      <c r="C27" s="132">
        <f t="shared" si="0"/>
        <v>6.1999999999999998E-3</v>
      </c>
    </row>
    <row r="28" spans="2:3" x14ac:dyDescent="0.25">
      <c r="B28" s="114">
        <v>10</v>
      </c>
      <c r="C28" s="132">
        <f t="shared" si="0"/>
        <v>3.0000000000000001E-3</v>
      </c>
    </row>
    <row r="29" spans="2:3" x14ac:dyDescent="0.25">
      <c r="B29" s="114">
        <v>11</v>
      </c>
      <c r="C29" s="132">
        <f t="shared" si="0"/>
        <v>1.4E-3</v>
      </c>
    </row>
    <row r="30" spans="2:3" x14ac:dyDescent="0.25">
      <c r="B30" s="114">
        <v>12</v>
      </c>
      <c r="C30" s="132">
        <f t="shared" si="0"/>
        <v>5.9999999999999995E-4</v>
      </c>
    </row>
    <row r="31" spans="2:3" x14ac:dyDescent="0.25">
      <c r="B31" s="114">
        <v>13</v>
      </c>
      <c r="C31" s="132">
        <f t="shared" si="0"/>
        <v>2.9999999999999997E-4</v>
      </c>
    </row>
    <row r="32" spans="2:3" x14ac:dyDescent="0.25">
      <c r="B32" s="114">
        <v>14</v>
      </c>
      <c r="C32" s="133">
        <f t="shared" si="0"/>
        <v>1E-4</v>
      </c>
    </row>
    <row r="33" spans="1:14" x14ac:dyDescent="0.25">
      <c r="B33" s="114">
        <v>15</v>
      </c>
      <c r="C33" s="133">
        <f t="shared" si="0"/>
        <v>0</v>
      </c>
    </row>
    <row r="34" spans="1:14" x14ac:dyDescent="0.25">
      <c r="C34" s="19">
        <f>SUM(C18:C33)</f>
        <v>1.0000301601484298</v>
      </c>
      <c r="D34" s="7" t="s">
        <v>45</v>
      </c>
    </row>
    <row r="36" spans="1:14" x14ac:dyDescent="0.25">
      <c r="A36" s="6" t="s">
        <v>218</v>
      </c>
      <c r="B36" s="6"/>
      <c r="C36" s="6"/>
      <c r="D36" s="6"/>
      <c r="E36" s="6"/>
      <c r="F36" s="6"/>
      <c r="G36" s="6"/>
      <c r="H36" s="6"/>
      <c r="I36" s="6"/>
      <c r="J36" s="6"/>
      <c r="K36" s="6"/>
      <c r="L36" s="6"/>
      <c r="M36" s="6"/>
      <c r="N36" s="93"/>
    </row>
    <row r="37" spans="1:14" x14ac:dyDescent="0.25">
      <c r="A37" s="33"/>
      <c r="B37" s="6"/>
      <c r="C37" s="6"/>
      <c r="D37" s="6"/>
      <c r="E37" s="6"/>
      <c r="F37" s="6"/>
      <c r="G37" s="6"/>
      <c r="H37" s="6"/>
      <c r="I37" s="6"/>
      <c r="J37" s="6"/>
      <c r="K37" s="6"/>
      <c r="L37" s="6"/>
      <c r="M37" s="6"/>
      <c r="N37" s="93"/>
    </row>
    <row r="38" spans="1:14" x14ac:dyDescent="0.25">
      <c r="A38" s="33" t="s">
        <v>219</v>
      </c>
      <c r="B38" s="6"/>
      <c r="C38" s="94">
        <v>2.5</v>
      </c>
      <c r="D38" s="6" t="s">
        <v>46</v>
      </c>
      <c r="E38" s="6"/>
      <c r="F38" s="6"/>
      <c r="G38" s="6"/>
      <c r="H38" s="6"/>
      <c r="I38" s="6"/>
      <c r="J38" s="6"/>
      <c r="K38" s="6"/>
      <c r="L38" s="6"/>
      <c r="M38" s="6"/>
      <c r="N38" s="93"/>
    </row>
    <row r="39" spans="1:14" x14ac:dyDescent="0.25">
      <c r="A39" s="33" t="s">
        <v>220</v>
      </c>
      <c r="B39" s="6"/>
      <c r="C39" s="94">
        <v>10</v>
      </c>
      <c r="D39" s="6" t="s">
        <v>46</v>
      </c>
      <c r="E39" s="6"/>
      <c r="F39" s="6"/>
      <c r="G39" s="6"/>
      <c r="H39" s="6"/>
      <c r="I39" s="6"/>
      <c r="J39" s="6"/>
      <c r="K39" s="6"/>
      <c r="L39" s="6"/>
      <c r="M39" s="6"/>
      <c r="N39" s="93"/>
    </row>
    <row r="40" spans="1:14" x14ac:dyDescent="0.25">
      <c r="A40" s="33" t="s">
        <v>221</v>
      </c>
      <c r="B40" s="6"/>
      <c r="C40" s="33" t="s">
        <v>47</v>
      </c>
      <c r="D40" s="6"/>
      <c r="E40" s="6"/>
      <c r="F40" s="6"/>
      <c r="G40" s="6"/>
      <c r="H40" s="6"/>
      <c r="I40" s="6"/>
      <c r="J40" s="6"/>
      <c r="K40" s="6"/>
      <c r="L40" s="6"/>
      <c r="M40" s="6"/>
      <c r="N40" s="93"/>
    </row>
    <row r="41" spans="1:14" x14ac:dyDescent="0.25">
      <c r="A41" s="33" t="s">
        <v>222</v>
      </c>
      <c r="B41" s="6"/>
      <c r="C41" s="33" t="s">
        <v>48</v>
      </c>
      <c r="D41" s="6"/>
      <c r="E41" s="6"/>
      <c r="F41" s="6"/>
      <c r="G41" s="6"/>
      <c r="H41" s="6"/>
      <c r="I41" s="6"/>
      <c r="J41" s="6"/>
      <c r="K41" s="6"/>
      <c r="L41" s="6"/>
      <c r="M41" s="6"/>
      <c r="N41" s="93"/>
    </row>
    <row r="42" spans="1:14" x14ac:dyDescent="0.25">
      <c r="A42" s="20"/>
      <c r="B42" s="20"/>
      <c r="C42" s="20"/>
      <c r="D42" s="20"/>
      <c r="E42" s="20"/>
      <c r="F42" s="20"/>
      <c r="G42" s="20"/>
      <c r="H42" s="20"/>
      <c r="I42" s="6"/>
      <c r="J42" s="6"/>
      <c r="K42" s="6"/>
      <c r="L42" s="6"/>
      <c r="M42" s="6"/>
      <c r="N42" s="93"/>
    </row>
    <row r="43" spans="1:14" x14ac:dyDescent="0.25">
      <c r="A43" s="6" t="s">
        <v>150</v>
      </c>
      <c r="B43" s="20"/>
      <c r="C43" s="20"/>
      <c r="D43" s="20"/>
      <c r="E43" s="20"/>
      <c r="F43" s="20"/>
      <c r="G43" s="20"/>
      <c r="H43" s="20"/>
      <c r="I43" s="6"/>
      <c r="J43" s="6"/>
      <c r="K43" s="6"/>
      <c r="L43" s="6"/>
      <c r="M43" s="6"/>
      <c r="N43" s="93"/>
    </row>
    <row r="44" spans="1:14" x14ac:dyDescent="0.25">
      <c r="A44" s="20"/>
      <c r="B44" s="20"/>
      <c r="C44" s="20"/>
      <c r="D44" s="20"/>
      <c r="E44" s="20"/>
      <c r="F44" s="20"/>
      <c r="G44" s="20"/>
      <c r="H44" s="20"/>
      <c r="I44" s="20"/>
      <c r="J44" s="6"/>
      <c r="K44" s="6"/>
      <c r="L44" s="6"/>
      <c r="M44" s="6"/>
      <c r="N44" s="93"/>
    </row>
    <row r="45" spans="1:14" ht="47.25" x14ac:dyDescent="0.25">
      <c r="A45" s="20"/>
      <c r="B45" s="131" t="s">
        <v>216</v>
      </c>
      <c r="C45" s="131" t="s">
        <v>217</v>
      </c>
      <c r="D45" s="20"/>
      <c r="E45" s="20"/>
      <c r="F45" s="20"/>
      <c r="G45" s="20"/>
      <c r="H45" s="20"/>
      <c r="I45" s="20"/>
      <c r="J45" s="6"/>
      <c r="K45" s="6"/>
      <c r="L45" s="6"/>
      <c r="M45" s="6"/>
      <c r="N45" s="93"/>
    </row>
    <row r="46" spans="1:14" x14ac:dyDescent="0.25">
      <c r="A46" s="20"/>
      <c r="B46" s="114">
        <v>0</v>
      </c>
      <c r="C46" s="134">
        <v>0.7</v>
      </c>
      <c r="D46" s="20"/>
      <c r="E46" s="20"/>
      <c r="F46" s="20"/>
      <c r="G46" s="20"/>
      <c r="H46" s="20"/>
      <c r="I46" s="20"/>
      <c r="J46" s="6"/>
      <c r="K46" s="6"/>
      <c r="L46" s="6"/>
      <c r="M46" s="6"/>
      <c r="N46" s="93"/>
    </row>
    <row r="47" spans="1:14" x14ac:dyDescent="0.25">
      <c r="A47" s="20"/>
      <c r="B47" s="114">
        <v>1</v>
      </c>
      <c r="C47" s="134">
        <v>0.5</v>
      </c>
      <c r="D47" s="20"/>
      <c r="E47" s="20"/>
      <c r="F47" s="20"/>
      <c r="G47" s="20"/>
      <c r="H47" s="20"/>
      <c r="I47" s="20"/>
      <c r="J47" s="6"/>
      <c r="K47" s="6"/>
      <c r="L47" s="6"/>
      <c r="M47" s="6"/>
      <c r="N47" s="93"/>
    </row>
    <row r="48" spans="1:14" x14ac:dyDescent="0.25">
      <c r="A48" s="20"/>
      <c r="B48" s="114">
        <v>2</v>
      </c>
      <c r="C48" s="134">
        <v>0.3</v>
      </c>
      <c r="D48" s="20"/>
      <c r="E48" s="20"/>
      <c r="F48" s="20"/>
      <c r="G48" s="20"/>
      <c r="H48" s="20"/>
      <c r="I48" s="20"/>
      <c r="J48" s="6"/>
      <c r="K48" s="6"/>
      <c r="L48" s="6"/>
      <c r="M48" s="6"/>
      <c r="N48" s="93"/>
    </row>
    <row r="49" spans="1:14" x14ac:dyDescent="0.25">
      <c r="A49" s="20"/>
      <c r="B49" s="114">
        <v>3</v>
      </c>
      <c r="C49" s="134">
        <v>-0.125</v>
      </c>
      <c r="D49" s="20"/>
      <c r="E49" s="20"/>
      <c r="F49" s="20"/>
      <c r="G49" s="20"/>
      <c r="H49" s="20"/>
      <c r="I49" s="20"/>
      <c r="J49" s="6"/>
      <c r="K49" s="6"/>
      <c r="L49" s="6"/>
      <c r="M49" s="6"/>
      <c r="N49" s="93"/>
    </row>
    <row r="50" spans="1:14" x14ac:dyDescent="0.25">
      <c r="A50" s="20"/>
      <c r="B50" s="114">
        <v>4</v>
      </c>
      <c r="C50" s="134">
        <v>-0.625</v>
      </c>
      <c r="D50" s="20"/>
      <c r="E50" s="20"/>
      <c r="F50" s="20"/>
      <c r="G50" s="20"/>
      <c r="H50" s="20"/>
      <c r="I50" s="20"/>
      <c r="J50" s="6"/>
      <c r="K50" s="6"/>
      <c r="L50" s="6"/>
      <c r="M50" s="6"/>
      <c r="N50" s="93"/>
    </row>
    <row r="51" spans="1:14" x14ac:dyDescent="0.25">
      <c r="A51" s="20"/>
      <c r="B51" s="114">
        <v>5</v>
      </c>
      <c r="C51" s="134">
        <v>-1.125</v>
      </c>
      <c r="D51" s="20"/>
      <c r="E51" s="20"/>
      <c r="F51" s="20"/>
      <c r="G51" s="20"/>
      <c r="H51" s="20"/>
      <c r="I51" s="20"/>
      <c r="J51" s="6"/>
      <c r="K51" s="6"/>
      <c r="L51" s="6"/>
      <c r="M51" s="6"/>
      <c r="N51" s="93"/>
    </row>
    <row r="52" spans="1:14" x14ac:dyDescent="0.25">
      <c r="A52" s="20"/>
      <c r="B52" s="114">
        <v>6</v>
      </c>
      <c r="C52" s="134">
        <v>-1.625</v>
      </c>
      <c r="D52" s="20"/>
      <c r="E52" s="20"/>
      <c r="F52" s="20"/>
      <c r="G52" s="20"/>
      <c r="H52" s="20"/>
      <c r="I52" s="20"/>
      <c r="J52" s="6"/>
      <c r="K52" s="6"/>
      <c r="L52" s="6"/>
      <c r="M52" s="6"/>
      <c r="N52" s="93"/>
    </row>
    <row r="53" spans="1:14" x14ac:dyDescent="0.25">
      <c r="A53" s="20"/>
      <c r="B53" s="114">
        <v>7</v>
      </c>
      <c r="C53" s="134">
        <v>-2.125</v>
      </c>
      <c r="D53" s="20"/>
      <c r="E53" s="20"/>
      <c r="F53" s="20"/>
      <c r="G53" s="20"/>
      <c r="H53" s="20"/>
      <c r="I53" s="20"/>
      <c r="J53" s="6"/>
      <c r="K53" s="6"/>
      <c r="L53" s="6"/>
      <c r="M53" s="6"/>
      <c r="N53" s="93"/>
    </row>
    <row r="54" spans="1:14" x14ac:dyDescent="0.25">
      <c r="A54" s="20"/>
      <c r="B54" s="114">
        <v>8</v>
      </c>
      <c r="C54" s="134">
        <v>-2.625</v>
      </c>
      <c r="D54" s="20"/>
      <c r="E54" s="20"/>
      <c r="F54" s="20"/>
      <c r="G54" s="20"/>
      <c r="H54" s="20"/>
      <c r="I54" s="20"/>
      <c r="J54" s="6"/>
      <c r="K54" s="6"/>
      <c r="L54" s="6"/>
      <c r="M54" s="6"/>
      <c r="N54" s="93"/>
    </row>
    <row r="55" spans="1:14" x14ac:dyDescent="0.25">
      <c r="A55" s="20"/>
      <c r="B55" s="114">
        <v>9</v>
      </c>
      <c r="C55" s="134">
        <v>-3.125</v>
      </c>
      <c r="D55" s="20"/>
      <c r="E55" s="20"/>
      <c r="F55" s="20"/>
      <c r="G55" s="20"/>
      <c r="H55" s="20"/>
      <c r="I55" s="20"/>
      <c r="J55" s="6"/>
      <c r="K55" s="6"/>
      <c r="L55" s="6"/>
      <c r="M55" s="6"/>
      <c r="N55" s="93"/>
    </row>
    <row r="56" spans="1:14" x14ac:dyDescent="0.25">
      <c r="A56" s="20"/>
      <c r="B56" s="114" t="s">
        <v>49</v>
      </c>
      <c r="C56" s="134">
        <v>-3.625</v>
      </c>
      <c r="D56" s="20"/>
      <c r="E56" s="20"/>
      <c r="F56" s="20"/>
      <c r="G56" s="20"/>
      <c r="H56" s="20"/>
      <c r="I56" s="20"/>
      <c r="J56" s="6"/>
      <c r="K56" s="6"/>
      <c r="L56" s="6"/>
      <c r="M56" s="6"/>
      <c r="N56" s="93"/>
    </row>
    <row r="57" spans="1:14" x14ac:dyDescent="0.25">
      <c r="A57" s="20"/>
      <c r="B57" s="20"/>
      <c r="C57" s="20"/>
      <c r="D57" s="20"/>
      <c r="E57" s="20"/>
      <c r="F57" s="20"/>
      <c r="G57" s="20"/>
      <c r="H57" s="20"/>
      <c r="I57" s="20"/>
      <c r="J57" s="6"/>
      <c r="K57" s="6"/>
      <c r="L57" s="6"/>
      <c r="M57" s="6"/>
      <c r="N57" s="93"/>
    </row>
    <row r="58" spans="1:14" x14ac:dyDescent="0.25">
      <c r="A58" s="66" t="s">
        <v>232</v>
      </c>
      <c r="B58" s="6"/>
      <c r="C58" s="6"/>
      <c r="D58" s="6"/>
      <c r="E58" s="6"/>
      <c r="F58" s="6"/>
      <c r="G58" s="6"/>
      <c r="H58" s="6"/>
      <c r="I58" s="6"/>
      <c r="J58" s="6"/>
      <c r="K58" s="6"/>
      <c r="L58" s="6"/>
      <c r="M58" s="6"/>
      <c r="N58" s="93"/>
    </row>
    <row r="59" spans="1:14" x14ac:dyDescent="0.25">
      <c r="A59" s="6"/>
      <c r="B59" s="6"/>
      <c r="C59" s="6"/>
      <c r="D59" s="6"/>
      <c r="E59" s="6"/>
      <c r="F59" s="6"/>
      <c r="G59" s="6"/>
      <c r="H59" s="6"/>
      <c r="I59" s="6"/>
      <c r="J59" s="6"/>
      <c r="K59" s="6"/>
      <c r="L59" s="6"/>
      <c r="M59" s="6"/>
      <c r="N59" s="93"/>
    </row>
    <row r="60" spans="1:14" x14ac:dyDescent="0.25">
      <c r="A60" s="95" t="s">
        <v>151</v>
      </c>
      <c r="B60" s="6"/>
      <c r="C60" s="6"/>
      <c r="D60" s="6"/>
      <c r="E60" s="6"/>
      <c r="F60" s="6"/>
      <c r="G60" s="6"/>
      <c r="H60" s="6"/>
      <c r="I60" s="6"/>
      <c r="J60" s="6"/>
      <c r="K60" s="6"/>
      <c r="L60" s="6"/>
      <c r="M60" s="6"/>
      <c r="N60" s="93"/>
    </row>
    <row r="61" spans="1:14" x14ac:dyDescent="0.25">
      <c r="A61" s="6"/>
      <c r="B61" s="6"/>
      <c r="C61" s="6"/>
      <c r="D61" s="6"/>
      <c r="E61" s="6"/>
      <c r="F61" s="6"/>
      <c r="G61" s="6"/>
      <c r="H61" s="6"/>
      <c r="I61" s="6"/>
      <c r="J61" s="6"/>
      <c r="K61" s="6"/>
      <c r="L61" s="6"/>
      <c r="M61" s="6"/>
      <c r="N61" s="93"/>
    </row>
    <row r="62" spans="1:14" x14ac:dyDescent="0.25">
      <c r="A62" s="95" t="s">
        <v>233</v>
      </c>
      <c r="B62" s="6"/>
      <c r="C62" s="6"/>
      <c r="D62" s="6"/>
      <c r="E62" s="6"/>
      <c r="F62" s="6"/>
      <c r="G62" s="6"/>
      <c r="H62" s="6"/>
      <c r="I62" s="6"/>
      <c r="J62" s="6"/>
      <c r="K62" s="6"/>
      <c r="L62" s="6"/>
      <c r="M62" s="6"/>
      <c r="N62" s="93"/>
    </row>
    <row r="63" spans="1:14" x14ac:dyDescent="0.25">
      <c r="A63" s="6"/>
      <c r="B63" s="6"/>
      <c r="C63" s="6"/>
      <c r="D63" s="6"/>
      <c r="E63" s="6"/>
      <c r="F63" s="6"/>
      <c r="G63" s="6"/>
      <c r="H63" s="6"/>
      <c r="I63" s="6"/>
      <c r="J63" s="6"/>
      <c r="K63" s="6"/>
      <c r="L63" s="6"/>
      <c r="M63" s="6"/>
      <c r="N63" s="93"/>
    </row>
    <row r="64" spans="1:14" x14ac:dyDescent="0.25">
      <c r="A64" s="7" t="s">
        <v>0</v>
      </c>
    </row>
    <row r="65" spans="1:13" x14ac:dyDescent="0.25">
      <c r="B65" s="17"/>
      <c r="C65" s="17" t="s">
        <v>50</v>
      </c>
      <c r="D65" s="17" t="s">
        <v>51</v>
      </c>
      <c r="E65" s="17" t="s">
        <v>234</v>
      </c>
      <c r="F65" s="17" t="s">
        <v>52</v>
      </c>
      <c r="G65" s="17" t="s">
        <v>53</v>
      </c>
      <c r="H65" s="17" t="s">
        <v>54</v>
      </c>
      <c r="I65" s="96" t="s">
        <v>55</v>
      </c>
    </row>
    <row r="66" spans="1:13" x14ac:dyDescent="0.25">
      <c r="B66" s="18" t="s">
        <v>56</v>
      </c>
      <c r="C66" s="17">
        <f>C38</f>
        <v>2.5</v>
      </c>
      <c r="D66" s="17">
        <f>C66*10%</f>
        <v>0.25</v>
      </c>
      <c r="E66" s="17">
        <f>2</f>
        <v>2</v>
      </c>
      <c r="F66" s="17">
        <f>C66-D66-E66</f>
        <v>0.25</v>
      </c>
      <c r="G66" s="17">
        <f>F66*80%</f>
        <v>0.2</v>
      </c>
      <c r="H66" s="17">
        <v>0</v>
      </c>
      <c r="I66" s="96">
        <f>C66-E66-G66+H66</f>
        <v>0.3</v>
      </c>
    </row>
    <row r="67" spans="1:13" x14ac:dyDescent="0.25">
      <c r="B67" s="18" t="s">
        <v>57</v>
      </c>
      <c r="C67" s="17">
        <f>C66</f>
        <v>2.5</v>
      </c>
      <c r="D67" s="17">
        <f>C67*10%</f>
        <v>0.25</v>
      </c>
      <c r="E67" s="17">
        <f>5</f>
        <v>5</v>
      </c>
      <c r="F67" s="17">
        <f>C67-D67-E67</f>
        <v>-2.75</v>
      </c>
      <c r="G67" s="17">
        <v>0</v>
      </c>
      <c r="H67" s="17">
        <f>(E67+D67-C67)*50%</f>
        <v>1.375</v>
      </c>
      <c r="I67" s="96">
        <f>C67-E67-G67+H67</f>
        <v>-1.125</v>
      </c>
    </row>
    <row r="70" spans="1:13" x14ac:dyDescent="0.25">
      <c r="A70" s="58" t="s">
        <v>152</v>
      </c>
      <c r="B70" s="6"/>
      <c r="C70" s="6"/>
      <c r="D70" s="6"/>
      <c r="E70" s="6"/>
      <c r="F70" s="6"/>
      <c r="G70" s="6"/>
      <c r="H70" s="3"/>
      <c r="I70" s="3"/>
      <c r="J70" s="3"/>
      <c r="K70" s="3"/>
      <c r="L70" s="3"/>
      <c r="M70" s="3"/>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Q1</vt:lpstr>
      <vt:lpstr>Q2</vt:lpstr>
      <vt:lpstr>Q3</vt:lpstr>
      <vt:lpstr>Q4</vt:lpstr>
      <vt:lpstr>Q5</vt:lpstr>
      <vt:lpstr>Q6</vt:lpstr>
      <vt:lpstr>Q7</vt:lpstr>
      <vt:lpstr>Q8</vt:lpstr>
      <vt:lpstr>lambda</vt:lpstr>
      <vt:lpstr>'Q8'!P_1</vt:lpstr>
      <vt:lpstr>'Q8'!P_2</vt:lpstr>
      <vt:lpstr>'Q8'!P_3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 Zionce</cp:lastModifiedBy>
  <cp:lastPrinted>2018-12-31T14:01:19Z</cp:lastPrinted>
  <dcterms:created xsi:type="dcterms:W3CDTF">2016-11-07T18:30:57Z</dcterms:created>
  <dcterms:modified xsi:type="dcterms:W3CDTF">2021-01-19T18:37:08Z</dcterms:modified>
</cp:coreProperties>
</file>