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Q:\Aleshia\Fall 2023 Solutions\"/>
    </mc:Choice>
  </mc:AlternateContent>
  <xr:revisionPtr revIDLastSave="0" documentId="8_{1B7439C6-6F77-49C3-AD5F-6E46533E0A43}" xr6:coauthVersionLast="47" xr6:coauthVersionMax="47" xr10:uidLastSave="{00000000-0000-0000-0000-000000000000}"/>
  <bookViews>
    <workbookView xWindow="29760" yWindow="960" windowWidth="15375" windowHeight="7815" tabRatio="784" xr2:uid="{00000000-000D-0000-FFFF-FFFF00000000}"/>
  </bookViews>
  <sheets>
    <sheet name="Q1" sheetId="51" r:id="rId1"/>
    <sheet name="Q2" sheetId="47" r:id="rId2"/>
    <sheet name="Q3" sheetId="50" r:id="rId3"/>
    <sheet name="Q4" sheetId="52" r:id="rId4"/>
    <sheet name="Q5" sheetId="53" r:id="rId5"/>
    <sheet name="Q6" sheetId="54" r:id="rId6"/>
    <sheet name="Q7" sheetId="44" r:id="rId7"/>
    <sheet name="Q8" sheetId="55" r:id="rId8"/>
    <sheet name="Q9" sheetId="45" r:id="rId9"/>
    <sheet name="Q10" sheetId="56" r:id="rId10"/>
    <sheet name="Q11" sheetId="46" r:id="rId11"/>
    <sheet name="Q12" sheetId="48" r:id="rId12"/>
    <sheet name="Q13" sheetId="57" r:id="rId13"/>
    <sheet name="Sheet2" sheetId="49" state="hidden" r:id="rId14"/>
  </sheets>
  <definedNames>
    <definedName name="AAD">'Q13'!#REF!</definedName>
    <definedName name="Attach">'Q13'!#REF!</definedName>
    <definedName name="attach2">'Q1'!$L$4</definedName>
    <definedName name="Cover">'Q13'!#REF!</definedName>
    <definedName name="ILF_Tab">'Q1'!$B$16:$C$32</definedName>
    <definedName name="layer">'Q1'!$J$4</definedName>
    <definedName name="OLE_LINK9" localSheetId="11">'Q12'!#REF!</definedName>
    <definedName name="OLE_LINK9" localSheetId="4">'Q5'!#REF!</definedName>
    <definedName name="OLE_LINK9" localSheetId="6">'Q7'!#REF!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57" l="1"/>
  <c r="C29" i="44"/>
  <c r="C34" i="44" s="1" a="1"/>
  <c r="C34" i="44" s="1"/>
  <c r="C28" i="44"/>
  <c r="C27" i="44"/>
  <c r="C33" i="44" a="1"/>
  <c r="C33" i="44" s="1"/>
  <c r="C32" i="44" a="1"/>
  <c r="C32" i="44" s="1"/>
  <c r="C31" i="44" a="1"/>
  <c r="C31" i="44" s="1"/>
  <c r="T58" i="52"/>
  <c r="S58" i="52"/>
  <c r="R58" i="52"/>
  <c r="Q58" i="52"/>
  <c r="P58" i="52"/>
  <c r="O58" i="52"/>
  <c r="N58" i="52"/>
  <c r="M58" i="52"/>
  <c r="T56" i="52"/>
  <c r="S56" i="52"/>
  <c r="R56" i="52"/>
  <c r="Q56" i="52"/>
  <c r="P56" i="52"/>
  <c r="O56" i="52"/>
  <c r="N56" i="52"/>
  <c r="M56" i="52"/>
  <c r="T54" i="52"/>
  <c r="S54" i="52"/>
  <c r="R54" i="52"/>
  <c r="Q54" i="52"/>
  <c r="P54" i="52"/>
  <c r="O54" i="52"/>
  <c r="N54" i="52"/>
  <c r="M54" i="52"/>
  <c r="T52" i="52"/>
  <c r="S52" i="52"/>
  <c r="R52" i="52"/>
  <c r="Q52" i="52"/>
  <c r="P52" i="52"/>
  <c r="O52" i="52"/>
  <c r="N52" i="52"/>
  <c r="M52" i="52"/>
  <c r="T50" i="52"/>
  <c r="S50" i="52"/>
  <c r="R50" i="52"/>
  <c r="Q50" i="52"/>
  <c r="P50" i="52"/>
  <c r="O50" i="52"/>
  <c r="N50" i="52"/>
  <c r="M50" i="52"/>
  <c r="T48" i="52"/>
  <c r="S48" i="52"/>
  <c r="R48" i="52"/>
  <c r="Q48" i="52"/>
  <c r="P48" i="52"/>
  <c r="O48" i="52"/>
  <c r="N48" i="52"/>
  <c r="M48" i="52"/>
  <c r="T46" i="52"/>
  <c r="S46" i="52"/>
  <c r="R46" i="52"/>
  <c r="Q46" i="52"/>
  <c r="P46" i="52"/>
  <c r="O46" i="52"/>
  <c r="N46" i="52"/>
  <c r="M46" i="52"/>
  <c r="T44" i="52"/>
  <c r="S44" i="52"/>
  <c r="R44" i="52"/>
  <c r="Q44" i="52"/>
  <c r="P44" i="52"/>
  <c r="O44" i="52"/>
  <c r="N44" i="52"/>
  <c r="M44" i="52"/>
  <c r="T42" i="52"/>
  <c r="S42" i="52"/>
  <c r="R42" i="52"/>
  <c r="Q42" i="52"/>
  <c r="P42" i="52"/>
  <c r="O42" i="52"/>
  <c r="N42" i="52"/>
  <c r="M42" i="52"/>
  <c r="T40" i="52"/>
  <c r="S40" i="52"/>
  <c r="R40" i="52"/>
  <c r="Q40" i="52"/>
  <c r="P40" i="52"/>
  <c r="O40" i="52"/>
  <c r="N40" i="52"/>
  <c r="M40" i="52"/>
  <c r="T38" i="52"/>
  <c r="S38" i="52"/>
  <c r="R38" i="52"/>
  <c r="Q38" i="52"/>
  <c r="P38" i="52"/>
  <c r="O38" i="52"/>
  <c r="N38" i="52"/>
  <c r="M38" i="52"/>
  <c r="T36" i="52"/>
  <c r="S36" i="52"/>
  <c r="R36" i="52"/>
  <c r="Q36" i="52"/>
  <c r="P36" i="52"/>
  <c r="O36" i="52"/>
  <c r="N36" i="52"/>
  <c r="M36" i="52"/>
  <c r="T34" i="52"/>
  <c r="S34" i="52"/>
  <c r="R34" i="52"/>
  <c r="Q34" i="52"/>
  <c r="P34" i="52"/>
  <c r="O34" i="52"/>
  <c r="N34" i="52"/>
  <c r="M34" i="52"/>
  <c r="T32" i="52"/>
  <c r="S32" i="52"/>
  <c r="R32" i="52"/>
  <c r="Q32" i="52"/>
  <c r="P32" i="52"/>
  <c r="O32" i="52"/>
  <c r="N32" i="52"/>
  <c r="M32" i="52"/>
  <c r="T30" i="52"/>
  <c r="S30" i="52"/>
  <c r="R30" i="52"/>
  <c r="Q30" i="52"/>
  <c r="P30" i="52"/>
  <c r="O30" i="52"/>
  <c r="N30" i="52"/>
  <c r="M30" i="52"/>
  <c r="S28" i="52"/>
  <c r="R28" i="52"/>
  <c r="Q28" i="52"/>
  <c r="P28" i="52"/>
  <c r="O28" i="52"/>
  <c r="N28" i="52"/>
  <c r="M28" i="52"/>
  <c r="T28" i="52"/>
  <c r="E47" i="56"/>
  <c r="E46" i="56"/>
  <c r="C37" i="57"/>
  <c r="C26" i="44" l="1"/>
  <c r="C22" i="57" l="1"/>
  <c r="C21" i="57"/>
  <c r="C20" i="57"/>
  <c r="C19" i="57"/>
  <c r="C23" i="57" s="1"/>
  <c r="B22" i="57"/>
  <c r="B21" i="57"/>
  <c r="B20" i="57"/>
  <c r="B19" i="57"/>
  <c r="E21" i="57" l="1"/>
  <c r="C38" i="57"/>
  <c r="C39" i="57" s="1"/>
  <c r="E20" i="57"/>
  <c r="D19" i="57"/>
  <c r="E22" i="57"/>
  <c r="D20" i="57"/>
  <c r="D22" i="57"/>
  <c r="D21" i="57"/>
  <c r="C41" i="57" l="1"/>
  <c r="C42" i="57" s="1"/>
  <c r="C43" i="57" s="1"/>
  <c r="C44" i="57" s="1"/>
  <c r="C45" i="57" s="1"/>
  <c r="C46" i="57" s="1"/>
  <c r="C47" i="57" s="1"/>
  <c r="C40" i="57"/>
  <c r="E23" i="57"/>
  <c r="D23" i="57"/>
  <c r="D27" i="57" s="1"/>
  <c r="D28" i="57" l="1"/>
  <c r="C54" i="57" s="1"/>
  <c r="C55" i="57" s="1"/>
  <c r="I41" i="48"/>
  <c r="H41" i="48"/>
  <c r="I40" i="48"/>
  <c r="I39" i="48"/>
  <c r="I38" i="48"/>
  <c r="I37" i="48"/>
  <c r="H40" i="48"/>
  <c r="H39" i="48"/>
  <c r="H38" i="48"/>
  <c r="H37" i="48"/>
  <c r="B40" i="48"/>
  <c r="B39" i="48"/>
  <c r="B38" i="48"/>
  <c r="B37" i="48"/>
  <c r="E40" i="48"/>
  <c r="D40" i="48"/>
  <c r="G40" i="48" s="1"/>
  <c r="C40" i="48"/>
  <c r="E39" i="48"/>
  <c r="D39" i="48"/>
  <c r="C39" i="48"/>
  <c r="E38" i="48"/>
  <c r="D38" i="48"/>
  <c r="G38" i="48" s="1"/>
  <c r="C38" i="48"/>
  <c r="E37" i="48"/>
  <c r="D37" i="48"/>
  <c r="G37" i="48" s="1"/>
  <c r="C37" i="48"/>
  <c r="F46" i="46"/>
  <c r="D40" i="46"/>
  <c r="D39" i="46"/>
  <c r="D38" i="46"/>
  <c r="D37" i="46"/>
  <c r="E37" i="46" s="1"/>
  <c r="F37" i="46" s="1"/>
  <c r="G37" i="46" s="1"/>
  <c r="C33" i="46"/>
  <c r="E39" i="46" s="1"/>
  <c r="F39" i="46" s="1"/>
  <c r="G39" i="46" s="1"/>
  <c r="H39" i="46" s="1"/>
  <c r="I39" i="46" s="1"/>
  <c r="E38" i="46" l="1"/>
  <c r="F38" i="46" s="1"/>
  <c r="G38" i="46" s="1"/>
  <c r="H38" i="46" s="1"/>
  <c r="E40" i="46"/>
  <c r="F40" i="46" s="1"/>
  <c r="G40" i="46" s="1"/>
  <c r="H40" i="46" s="1"/>
  <c r="I40" i="46" s="1"/>
  <c r="J40" i="46" s="1"/>
  <c r="D44" i="46" s="1"/>
  <c r="D43" i="46" l="1"/>
  <c r="E48" i="56" l="1"/>
  <c r="E49" i="56" s="1"/>
  <c r="J47" i="56"/>
  <c r="G29" i="56"/>
  <c r="G28" i="56"/>
  <c r="G27" i="56"/>
  <c r="G26" i="56"/>
  <c r="G25" i="56"/>
  <c r="G24" i="56"/>
  <c r="G23" i="56"/>
  <c r="G22" i="56"/>
  <c r="F27" i="56"/>
  <c r="F26" i="56"/>
  <c r="F25" i="56"/>
  <c r="F24" i="56"/>
  <c r="F23" i="56"/>
  <c r="F22" i="56"/>
  <c r="F28" i="56"/>
  <c r="E28" i="56"/>
  <c r="E27" i="56"/>
  <c r="E26" i="56"/>
  <c r="E25" i="56"/>
  <c r="E24" i="56"/>
  <c r="E23" i="56"/>
  <c r="E22" i="56"/>
  <c r="D22" i="56"/>
  <c r="D23" i="56"/>
  <c r="D24" i="56"/>
  <c r="D25" i="56"/>
  <c r="D26" i="56"/>
  <c r="D27" i="56"/>
  <c r="D28" i="56"/>
  <c r="C22" i="56"/>
  <c r="C23" i="56"/>
  <c r="C24" i="56"/>
  <c r="C25" i="56"/>
  <c r="C26" i="56"/>
  <c r="C27" i="56"/>
  <c r="C28" i="56"/>
  <c r="B22" i="56"/>
  <c r="B23" i="56"/>
  <c r="B24" i="56"/>
  <c r="B25" i="56"/>
  <c r="B26" i="56"/>
  <c r="B27" i="56"/>
  <c r="B28" i="56"/>
  <c r="E50" i="56" l="1"/>
  <c r="D50" i="45" l="1"/>
  <c r="E50" i="45" s="1"/>
  <c r="D49" i="45"/>
  <c r="E49" i="45" s="1"/>
  <c r="D48" i="45"/>
  <c r="E48" i="45" s="1"/>
  <c r="D47" i="45"/>
  <c r="E47" i="45" s="1"/>
  <c r="D46" i="45"/>
  <c r="E46" i="45" s="1"/>
  <c r="D45" i="45"/>
  <c r="E45" i="45" s="1"/>
  <c r="D44" i="45"/>
  <c r="E44" i="45" s="1"/>
  <c r="D43" i="45"/>
  <c r="E43" i="45" s="1"/>
  <c r="D42" i="45"/>
  <c r="E42" i="45" s="1"/>
  <c r="D41" i="45"/>
  <c r="E41" i="45" s="1"/>
  <c r="C50" i="45"/>
  <c r="C49" i="45"/>
  <c r="C48" i="45"/>
  <c r="C47" i="45"/>
  <c r="C46" i="45"/>
  <c r="C45" i="45"/>
  <c r="C44" i="45"/>
  <c r="C43" i="45"/>
  <c r="C42" i="45"/>
  <c r="C41" i="45"/>
  <c r="B50" i="45"/>
  <c r="B49" i="45"/>
  <c r="B48" i="45"/>
  <c r="B47" i="45"/>
  <c r="B46" i="45"/>
  <c r="B45" i="45"/>
  <c r="B44" i="45"/>
  <c r="B43" i="45"/>
  <c r="B42" i="45"/>
  <c r="B41" i="45"/>
  <c r="D48" i="55"/>
  <c r="C53" i="45" l="1"/>
  <c r="C54" i="45" s="1"/>
  <c r="C47" i="44"/>
  <c r="B47" i="44"/>
  <c r="C46" i="44"/>
  <c r="B46" i="44"/>
  <c r="C45" i="44"/>
  <c r="B45" i="44"/>
  <c r="F29" i="44"/>
  <c r="F28" i="44"/>
  <c r="F27" i="44"/>
  <c r="F26" i="44"/>
  <c r="C55" i="45" l="1"/>
  <c r="C56" i="45" s="1"/>
  <c r="D45" i="44"/>
  <c r="E45" i="44" s="1"/>
  <c r="F45" i="44" s="1"/>
  <c r="D47" i="44"/>
  <c r="E47" i="44" s="1"/>
  <c r="F47" i="44" s="1"/>
  <c r="D46" i="44"/>
  <c r="E46" i="44" s="1"/>
  <c r="F46" i="44" s="1"/>
  <c r="F48" i="44" l="1"/>
  <c r="E27" i="53" l="1"/>
  <c r="D27" i="53"/>
  <c r="C27" i="53"/>
  <c r="E26" i="53"/>
  <c r="D26" i="53"/>
  <c r="C26" i="53"/>
  <c r="E23" i="53"/>
  <c r="F26" i="53" l="1"/>
  <c r="D28" i="53"/>
  <c r="D40" i="53" s="1"/>
  <c r="E28" i="53"/>
  <c r="E40" i="53" s="1"/>
  <c r="C28" i="53"/>
  <c r="C40" i="53" l="1"/>
  <c r="F28" i="53"/>
  <c r="D48" i="53" s="1"/>
  <c r="E29" i="53" l="1"/>
  <c r="E30" i="53" s="1"/>
  <c r="D29" i="53"/>
  <c r="D30" i="53" s="1"/>
  <c r="C29" i="53"/>
  <c r="F40" i="53"/>
  <c r="E37" i="53"/>
  <c r="E41" i="53" l="1"/>
  <c r="D41" i="53"/>
  <c r="D42" i="53" s="1"/>
  <c r="C41" i="53"/>
  <c r="D49" i="53"/>
  <c r="E42" i="53"/>
  <c r="C42" i="53"/>
  <c r="C30" i="53"/>
  <c r="C48" i="53" s="1"/>
  <c r="C49" i="53" l="1"/>
  <c r="F110" i="52"/>
  <c r="F111" i="52"/>
  <c r="F109" i="52"/>
  <c r="J85" i="52"/>
  <c r="I85" i="52"/>
  <c r="I86" i="52" s="1"/>
  <c r="H85" i="52"/>
  <c r="H86" i="52" s="1"/>
  <c r="H87" i="52" s="1"/>
  <c r="G85" i="52"/>
  <c r="G86" i="52" s="1"/>
  <c r="G87" i="52" s="1"/>
  <c r="G88" i="52" s="1"/>
  <c r="F85" i="52"/>
  <c r="F86" i="52" s="1"/>
  <c r="F87" i="52" s="1"/>
  <c r="F88" i="52" s="1"/>
  <c r="F89" i="52" s="1"/>
  <c r="E85" i="52"/>
  <c r="E86" i="52" s="1"/>
  <c r="E87" i="52" s="1"/>
  <c r="E88" i="52" s="1"/>
  <c r="E89" i="52" s="1"/>
  <c r="E90" i="52" s="1"/>
  <c r="D85" i="52"/>
  <c r="D86" i="52" s="1"/>
  <c r="D87" i="52" s="1"/>
  <c r="D88" i="52" s="1"/>
  <c r="D89" i="52" s="1"/>
  <c r="D90" i="52" s="1"/>
  <c r="D91" i="52" s="1"/>
  <c r="B47" i="52"/>
  <c r="C35" i="52"/>
  <c r="C34" i="52"/>
  <c r="D34" i="52" s="1"/>
  <c r="C46" i="52" s="1"/>
  <c r="C33" i="52"/>
  <c r="D33" i="52" s="1"/>
  <c r="C32" i="52"/>
  <c r="D32" i="52" s="1"/>
  <c r="C31" i="52"/>
  <c r="D31" i="52" s="1"/>
  <c r="C43" i="52" s="1"/>
  <c r="C30" i="52"/>
  <c r="D30" i="52" s="1"/>
  <c r="C42" i="52" s="1"/>
  <c r="C29" i="52"/>
  <c r="D29" i="52" s="1"/>
  <c r="C28" i="52"/>
  <c r="D28" i="52" s="1"/>
  <c r="M84" i="52" l="1" a="1"/>
  <c r="M84" i="52" s="1"/>
  <c r="C111" i="52" s="1"/>
  <c r="E28" i="52"/>
  <c r="C48" i="52"/>
  <c r="D69" i="52" s="1"/>
  <c r="E29" i="52"/>
  <c r="C41" i="52"/>
  <c r="E31" i="52"/>
  <c r="E30" i="52"/>
  <c r="E33" i="52"/>
  <c r="D45" i="52" s="1"/>
  <c r="C45" i="52"/>
  <c r="E32" i="52"/>
  <c r="C44" i="52"/>
  <c r="C40" i="52"/>
  <c r="D42" i="52" l="1"/>
  <c r="F29" i="52"/>
  <c r="D65" i="52"/>
  <c r="F31" i="52"/>
  <c r="D64" i="52"/>
  <c r="D66" i="52"/>
  <c r="D68" i="52"/>
  <c r="D67" i="52"/>
  <c r="D63" i="52"/>
  <c r="F30" i="52"/>
  <c r="D43" i="52"/>
  <c r="D48" i="52"/>
  <c r="D41" i="52"/>
  <c r="F28" i="52"/>
  <c r="C49" i="52"/>
  <c r="D40" i="52"/>
  <c r="D44" i="52"/>
  <c r="F32" i="52"/>
  <c r="E44" i="52" s="1"/>
  <c r="G31" i="52" l="1"/>
  <c r="F43" i="52" s="1"/>
  <c r="D79" i="52"/>
  <c r="D74" i="52"/>
  <c r="D75" i="52"/>
  <c r="D77" i="52"/>
  <c r="D78" i="52"/>
  <c r="D76" i="52"/>
  <c r="D80" i="52"/>
  <c r="G29" i="52"/>
  <c r="E41" i="52"/>
  <c r="E63" i="52"/>
  <c r="E68" i="52"/>
  <c r="E64" i="52"/>
  <c r="E66" i="52"/>
  <c r="E65" i="52"/>
  <c r="E67" i="52"/>
  <c r="G30" i="52"/>
  <c r="E43" i="52"/>
  <c r="E42" i="52"/>
  <c r="E48" i="52"/>
  <c r="G28" i="52"/>
  <c r="E40" i="52"/>
  <c r="D49" i="52"/>
  <c r="H29" i="52" l="1"/>
  <c r="I29" i="52" s="1"/>
  <c r="H41" i="52" s="1"/>
  <c r="F41" i="52"/>
  <c r="H30" i="52"/>
  <c r="G42" i="52" s="1"/>
  <c r="E79" i="52"/>
  <c r="E74" i="52"/>
  <c r="E75" i="52"/>
  <c r="E77" i="52"/>
  <c r="E78" i="52"/>
  <c r="E76" i="52"/>
  <c r="F42" i="52"/>
  <c r="F48" i="52"/>
  <c r="F63" i="52"/>
  <c r="F65" i="52"/>
  <c r="F64" i="52"/>
  <c r="F66" i="52"/>
  <c r="F67" i="52"/>
  <c r="E49" i="52"/>
  <c r="F40" i="52"/>
  <c r="H28" i="52"/>
  <c r="F75" i="52" l="1"/>
  <c r="F77" i="52"/>
  <c r="F74" i="52"/>
  <c r="F78" i="52"/>
  <c r="F76" i="52"/>
  <c r="G41" i="52"/>
  <c r="F49" i="52"/>
  <c r="G48" i="52"/>
  <c r="G64" i="52"/>
  <c r="G66" i="52"/>
  <c r="G65" i="52"/>
  <c r="G63" i="52"/>
  <c r="I28" i="52"/>
  <c r="G40" i="52"/>
  <c r="G75" i="52" l="1"/>
  <c r="G76" i="52"/>
  <c r="G77" i="52"/>
  <c r="G74" i="52"/>
  <c r="G49" i="52"/>
  <c r="H48" i="52"/>
  <c r="H64" i="52"/>
  <c r="H65" i="52"/>
  <c r="H63" i="52"/>
  <c r="H40" i="52"/>
  <c r="H49" i="52" s="1"/>
  <c r="J28" i="52"/>
  <c r="I48" i="52" s="1"/>
  <c r="J63" i="52" s="1"/>
  <c r="I75" i="52" l="1"/>
  <c r="I74" i="52"/>
  <c r="H75" i="52"/>
  <c r="H76" i="52"/>
  <c r="H74" i="52"/>
  <c r="I64" i="52"/>
  <c r="I63" i="52"/>
  <c r="M62" i="52" s="1" a="1"/>
  <c r="M62" i="52" s="1"/>
  <c r="C109" i="52" s="1"/>
  <c r="I51" i="52"/>
  <c r="H51" i="52" s="1"/>
  <c r="I40" i="52"/>
  <c r="I49" i="52" s="1"/>
  <c r="I52" i="52" l="1"/>
  <c r="H52" i="52" s="1"/>
  <c r="G52" i="52" s="1"/>
  <c r="F52" i="52" s="1"/>
  <c r="E52" i="52" s="1"/>
  <c r="D52" i="52" s="1"/>
  <c r="C52" i="52" s="1"/>
  <c r="J74" i="52"/>
  <c r="M73" i="52" s="1" a="1"/>
  <c r="M73" i="52" s="1"/>
  <c r="C110" i="52" s="1"/>
  <c r="T27" i="52"/>
  <c r="G51" i="52"/>
  <c r="S27" i="52"/>
  <c r="F51" i="52" l="1"/>
  <c r="R27" i="52"/>
  <c r="E51" i="52" l="1"/>
  <c r="Q27" i="52"/>
  <c r="D51" i="52" l="1"/>
  <c r="P27" i="52"/>
  <c r="C51" i="52" l="1"/>
  <c r="O27" i="52"/>
  <c r="M27" i="52" l="1"/>
  <c r="N27" i="52"/>
  <c r="R29" i="52" l="1" a="1"/>
  <c r="R29" i="52" s="1"/>
  <c r="Q29" i="52" a="1"/>
  <c r="Q29" i="52" s="1"/>
  <c r="P29" i="52" a="1"/>
  <c r="P29" i="52" s="1"/>
  <c r="S29" i="52" a="1"/>
  <c r="S29" i="52" s="1"/>
  <c r="O29" i="52" a="1"/>
  <c r="O29" i="52" s="1"/>
  <c r="T29" i="52" a="1"/>
  <c r="T29" i="52" s="1"/>
  <c r="N29" i="52" a="1"/>
  <c r="N29" i="52" s="1"/>
  <c r="M29" i="52" l="1"/>
  <c r="T31" i="52" l="1" a="1"/>
  <c r="T31" i="52" s="1"/>
  <c r="Q31" i="52" l="1" a="1"/>
  <c r="Q31" i="52" s="1"/>
  <c r="O31" i="52" a="1"/>
  <c r="O31" i="52" s="1"/>
  <c r="P31" i="52" a="1"/>
  <c r="P31" i="52" s="1"/>
  <c r="R31" i="52" a="1"/>
  <c r="R31" i="52" s="1"/>
  <c r="S31" i="52" a="1"/>
  <c r="S31" i="52" s="1"/>
  <c r="N31" i="52" a="1"/>
  <c r="N31" i="52" s="1"/>
  <c r="M31" i="52" l="1"/>
  <c r="T33" i="52" l="1" a="1"/>
  <c r="T33" i="52" s="1"/>
  <c r="R33" i="52" l="1" a="1"/>
  <c r="R33" i="52" s="1"/>
  <c r="Q33" i="52" a="1"/>
  <c r="Q33" i="52" s="1"/>
  <c r="P33" i="52" a="1"/>
  <c r="P33" i="52" s="1"/>
  <c r="N33" i="52" a="1"/>
  <c r="N33" i="52" s="1"/>
  <c r="S33" i="52" a="1"/>
  <c r="S33" i="52" s="1"/>
  <c r="O33" i="52" a="1"/>
  <c r="O33" i="52" s="1"/>
  <c r="M33" i="52" l="1"/>
  <c r="Q35" i="52" l="1" a="1"/>
  <c r="Q35" i="52" s="1"/>
  <c r="P35" i="52" a="1"/>
  <c r="P35" i="52" s="1"/>
  <c r="R35" i="52" a="1"/>
  <c r="R35" i="52" s="1"/>
  <c r="S35" i="52" a="1"/>
  <c r="S35" i="52" s="1"/>
  <c r="T35" i="52" a="1"/>
  <c r="T35" i="52" s="1"/>
  <c r="O35" i="52" a="1"/>
  <c r="O35" i="52" s="1"/>
  <c r="N35" i="52" a="1"/>
  <c r="N35" i="52" s="1"/>
  <c r="M35" i="52" l="1"/>
  <c r="T37" i="52" l="1" a="1"/>
  <c r="T37" i="52" s="1"/>
  <c r="N37" i="52" l="1" a="1"/>
  <c r="N37" i="52" s="1"/>
  <c r="P37" i="52" a="1"/>
  <c r="P37" i="52" s="1"/>
  <c r="R37" i="52" a="1"/>
  <c r="R37" i="52" s="1"/>
  <c r="S37" i="52" a="1"/>
  <c r="S37" i="52" s="1"/>
  <c r="Q37" i="52" a="1"/>
  <c r="Q37" i="52" s="1"/>
  <c r="O37" i="52" a="1"/>
  <c r="O37" i="52" s="1"/>
  <c r="M37" i="52" l="1"/>
  <c r="T39" i="52" l="1" a="1"/>
  <c r="T39" i="52" s="1"/>
  <c r="S39" i="52" l="1" a="1"/>
  <c r="S39" i="52" s="1"/>
  <c r="R39" i="52" a="1"/>
  <c r="R39" i="52" s="1"/>
  <c r="N39" i="52" a="1"/>
  <c r="N39" i="52" s="1"/>
  <c r="O39" i="52" a="1"/>
  <c r="O39" i="52" s="1"/>
  <c r="P39" i="52" a="1"/>
  <c r="P39" i="52" s="1"/>
  <c r="Q39" i="52" a="1"/>
  <c r="Q39" i="52" s="1"/>
  <c r="M39" i="52" l="1"/>
  <c r="T41" i="52" l="1" a="1"/>
  <c r="T41" i="52" s="1"/>
  <c r="Q41" i="52" l="1" a="1"/>
  <c r="Q41" i="52" s="1"/>
  <c r="S41" i="52" a="1"/>
  <c r="S41" i="52" s="1"/>
  <c r="O41" i="52" a="1"/>
  <c r="O41" i="52" s="1"/>
  <c r="P41" i="52" a="1"/>
  <c r="P41" i="52" s="1"/>
  <c r="N41" i="52" a="1"/>
  <c r="N41" i="52" s="1"/>
  <c r="R41" i="52" a="1"/>
  <c r="R41" i="52" s="1"/>
  <c r="M41" i="52" l="1"/>
  <c r="P43" i="52" l="1" a="1"/>
  <c r="P43" i="52" s="1"/>
  <c r="O43" i="52" l="1" a="1"/>
  <c r="O43" i="52" s="1"/>
  <c r="T43" i="52" a="1"/>
  <c r="T43" i="52" s="1"/>
  <c r="S43" i="52" a="1"/>
  <c r="S43" i="52" s="1"/>
  <c r="N43" i="52" a="1"/>
  <c r="N43" i="52" s="1"/>
  <c r="Q43" i="52" a="1"/>
  <c r="Q43" i="52" s="1"/>
  <c r="R43" i="52" a="1"/>
  <c r="R43" i="52" s="1"/>
  <c r="M43" i="52" l="1"/>
  <c r="T45" i="52" s="1" a="1"/>
  <c r="T45" i="52" s="1"/>
  <c r="N45" i="52" l="1" a="1"/>
  <c r="N45" i="52" s="1"/>
  <c r="O45" i="52" a="1"/>
  <c r="O45" i="52" s="1"/>
  <c r="R45" i="52" a="1"/>
  <c r="R45" i="52" s="1"/>
  <c r="Q45" i="52" a="1"/>
  <c r="Q45" i="52" s="1"/>
  <c r="S45" i="52" a="1"/>
  <c r="S45" i="52" s="1"/>
  <c r="P45" i="52" a="1"/>
  <c r="P45" i="52" s="1"/>
  <c r="M45" i="52" l="1"/>
  <c r="T47" i="52" a="1"/>
  <c r="T47" i="52" s="1"/>
  <c r="P47" i="52" l="1" a="1"/>
  <c r="P47" i="52" s="1"/>
  <c r="R47" i="52" a="1"/>
  <c r="R47" i="52" s="1"/>
  <c r="S47" i="52" a="1"/>
  <c r="S47" i="52" s="1"/>
  <c r="N47" i="52" l="1" a="1"/>
  <c r="N47" i="52" s="1"/>
  <c r="O47" i="52" a="1"/>
  <c r="O47" i="52" s="1"/>
  <c r="Q47" i="52" a="1"/>
  <c r="Q47" i="52" s="1"/>
  <c r="M47" i="52"/>
  <c r="T49" i="52" l="1" a="1"/>
  <c r="T49" i="52" s="1"/>
  <c r="N49" i="52" a="1"/>
  <c r="N49" i="52" s="1"/>
  <c r="O49" i="52" a="1"/>
  <c r="O49" i="52" s="1"/>
  <c r="S49" i="52" a="1"/>
  <c r="S49" i="52" s="1"/>
  <c r="Q49" i="52" a="1"/>
  <c r="Q49" i="52" s="1"/>
  <c r="P49" i="52" a="1"/>
  <c r="P49" i="52" s="1"/>
  <c r="R49" i="52" a="1"/>
  <c r="R49" i="52" s="1"/>
  <c r="M49" i="52" l="1"/>
  <c r="T51" i="52" l="1" a="1"/>
  <c r="T51" i="52" s="1"/>
  <c r="O51" i="52" l="1" a="1"/>
  <c r="O51" i="52" s="1"/>
  <c r="S51" i="52" a="1"/>
  <c r="S51" i="52" s="1"/>
  <c r="N51" i="52" a="1"/>
  <c r="N51" i="52" s="1"/>
  <c r="Q51" i="52" a="1"/>
  <c r="Q51" i="52" s="1"/>
  <c r="R51" i="52" a="1"/>
  <c r="R51" i="52" s="1"/>
  <c r="P51" i="52" a="1"/>
  <c r="P51" i="52" s="1"/>
  <c r="M51" i="52" l="1"/>
  <c r="R53" i="52" l="1" a="1"/>
  <c r="R53" i="52" s="1"/>
  <c r="T53" i="52" a="1"/>
  <c r="T53" i="52" s="1"/>
  <c r="S53" i="52" a="1"/>
  <c r="S53" i="52" s="1"/>
  <c r="O53" i="52" a="1"/>
  <c r="O53" i="52" s="1"/>
  <c r="Q53" i="52" l="1" a="1"/>
  <c r="Q53" i="52" s="1"/>
  <c r="P53" i="52" a="1"/>
  <c r="P53" i="52" s="1"/>
  <c r="N53" i="52" a="1"/>
  <c r="N53" i="52" s="1"/>
  <c r="M53" i="52" l="1"/>
  <c r="O55" i="52" l="1" a="1"/>
  <c r="O55" i="52" s="1"/>
  <c r="T55" i="52" a="1"/>
  <c r="T55" i="52" s="1"/>
  <c r="Q55" i="52" a="1"/>
  <c r="Q55" i="52" s="1"/>
  <c r="R55" i="52" a="1"/>
  <c r="R55" i="52" s="1"/>
  <c r="P55" i="52" a="1"/>
  <c r="P55" i="52" s="1"/>
  <c r="N55" i="52" l="1" a="1"/>
  <c r="N55" i="52" s="1"/>
  <c r="S55" i="52" a="1"/>
  <c r="S55" i="52" s="1"/>
  <c r="M55" i="52" s="1"/>
  <c r="T57" i="52" l="1" a="1"/>
  <c r="T57" i="52" s="1"/>
  <c r="J94" i="52" s="1"/>
  <c r="Q57" i="52" a="1"/>
  <c r="Q57" i="52" s="1"/>
  <c r="G94" i="52" s="1"/>
  <c r="S57" i="52" l="1" a="1"/>
  <c r="S57" i="52" s="1"/>
  <c r="I94" i="52" s="1"/>
  <c r="R57" i="52" a="1"/>
  <c r="R57" i="52" s="1"/>
  <c r="H94" i="52" s="1"/>
  <c r="P57" i="52" a="1"/>
  <c r="P57" i="52" s="1"/>
  <c r="F94" i="52" s="1"/>
  <c r="O57" i="52" a="1"/>
  <c r="O57" i="52" s="1"/>
  <c r="E94" i="52" s="1"/>
  <c r="N57" i="52" a="1"/>
  <c r="N57" i="52" s="1"/>
  <c r="D94" i="52" s="1"/>
  <c r="M57" i="52" l="1"/>
  <c r="A98" i="52"/>
  <c r="A99" i="52"/>
  <c r="A97" i="52"/>
  <c r="A102" i="52" l="1"/>
  <c r="D102" i="52" s="1"/>
  <c r="A100" i="52"/>
  <c r="A101" i="52"/>
  <c r="A96" i="52"/>
  <c r="E98" i="52"/>
  <c r="F98" i="52"/>
  <c r="G98" i="52"/>
  <c r="D98" i="52"/>
  <c r="H98" i="52"/>
  <c r="D97" i="52"/>
  <c r="E97" i="52"/>
  <c r="I97" i="52"/>
  <c r="H97" i="52"/>
  <c r="G97" i="52"/>
  <c r="F97" i="52"/>
  <c r="D99" i="52"/>
  <c r="G99" i="52"/>
  <c r="F99" i="52"/>
  <c r="E99" i="52"/>
  <c r="H96" i="52" l="1"/>
  <c r="I96" i="52"/>
  <c r="G96" i="52"/>
  <c r="D96" i="52"/>
  <c r="J96" i="52"/>
  <c r="F96" i="52"/>
  <c r="E96" i="52"/>
  <c r="D101" i="52"/>
  <c r="E101" i="52"/>
  <c r="M95" i="52" a="1"/>
  <c r="M95" i="52" s="1"/>
  <c r="C112" i="52" s="1"/>
  <c r="F112" i="52" s="1"/>
  <c r="D100" i="52"/>
  <c r="E100" i="52"/>
  <c r="F100" i="52"/>
  <c r="D57" i="50" l="1"/>
  <c r="D56" i="50"/>
  <c r="D55" i="50"/>
  <c r="D54" i="50"/>
  <c r="D53" i="50"/>
  <c r="D52" i="50"/>
  <c r="D51" i="50"/>
  <c r="D50" i="50"/>
  <c r="D49" i="50"/>
  <c r="D48" i="50"/>
  <c r="D33" i="50"/>
  <c r="D34" i="50"/>
  <c r="D35" i="50"/>
  <c r="D36" i="50"/>
  <c r="D37" i="50"/>
  <c r="D38" i="50"/>
  <c r="D39" i="50"/>
  <c r="D40" i="50"/>
  <c r="D41" i="50"/>
  <c r="D42" i="50"/>
  <c r="A42" i="50"/>
  <c r="A57" i="50" s="1"/>
  <c r="A41" i="50"/>
  <c r="A56" i="50" s="1"/>
  <c r="A40" i="50"/>
  <c r="A55" i="50" s="1"/>
  <c r="A39" i="50"/>
  <c r="A54" i="50" s="1"/>
  <c r="A38" i="50"/>
  <c r="A53" i="50" s="1"/>
  <c r="A37" i="50"/>
  <c r="A52" i="50" s="1"/>
  <c r="A36" i="50"/>
  <c r="A51" i="50" s="1"/>
  <c r="A35" i="50"/>
  <c r="A50" i="50" s="1"/>
  <c r="A34" i="50"/>
  <c r="A49" i="50" s="1"/>
  <c r="A33" i="50"/>
  <c r="A48" i="50" s="1"/>
  <c r="C42" i="50"/>
  <c r="E42" i="50" s="1"/>
  <c r="F57" i="50" s="1"/>
  <c r="B42" i="50"/>
  <c r="B57" i="50" s="1"/>
  <c r="E57" i="50" s="1"/>
  <c r="C41" i="50"/>
  <c r="E41" i="50" s="1"/>
  <c r="F56" i="50" s="1"/>
  <c r="B41" i="50"/>
  <c r="B56" i="50" s="1"/>
  <c r="E56" i="50" s="1"/>
  <c r="C40" i="50"/>
  <c r="E40" i="50" s="1"/>
  <c r="F55" i="50" s="1"/>
  <c r="B40" i="50"/>
  <c r="B55" i="50" s="1"/>
  <c r="E55" i="50" s="1"/>
  <c r="C39" i="50"/>
  <c r="E39" i="50" s="1"/>
  <c r="F54" i="50" s="1"/>
  <c r="B39" i="50"/>
  <c r="B54" i="50" s="1"/>
  <c r="E54" i="50" s="1"/>
  <c r="C38" i="50"/>
  <c r="E38" i="50" s="1"/>
  <c r="F53" i="50" s="1"/>
  <c r="B38" i="50"/>
  <c r="B53" i="50" s="1"/>
  <c r="E53" i="50" s="1"/>
  <c r="C37" i="50"/>
  <c r="E37" i="50" s="1"/>
  <c r="F52" i="50" s="1"/>
  <c r="B37" i="50"/>
  <c r="B52" i="50" s="1"/>
  <c r="E52" i="50" s="1"/>
  <c r="C36" i="50"/>
  <c r="E36" i="50" s="1"/>
  <c r="F51" i="50" s="1"/>
  <c r="B36" i="50"/>
  <c r="B51" i="50" s="1"/>
  <c r="E51" i="50" s="1"/>
  <c r="C35" i="50"/>
  <c r="E35" i="50" s="1"/>
  <c r="F50" i="50" s="1"/>
  <c r="B35" i="50"/>
  <c r="B50" i="50" s="1"/>
  <c r="E50" i="50" s="1"/>
  <c r="C34" i="50"/>
  <c r="E34" i="50" s="1"/>
  <c r="F49" i="50" s="1"/>
  <c r="B34" i="50"/>
  <c r="B49" i="50" s="1"/>
  <c r="E49" i="50" s="1"/>
  <c r="C33" i="50"/>
  <c r="E33" i="50" s="1"/>
  <c r="F48" i="50" s="1"/>
  <c r="B33" i="50"/>
  <c r="B48" i="50" s="1"/>
  <c r="E48" i="50" s="1"/>
  <c r="D68" i="50" l="1"/>
  <c r="D67" i="50"/>
  <c r="D69" i="50"/>
  <c r="D66" i="50"/>
  <c r="C51" i="50"/>
  <c r="C52" i="50"/>
  <c r="C57" i="50"/>
  <c r="C49" i="50"/>
  <c r="C50" i="50"/>
  <c r="C54" i="50"/>
  <c r="C53" i="50"/>
  <c r="C55" i="50"/>
  <c r="C48" i="50"/>
  <c r="C56" i="50"/>
  <c r="I36" i="50"/>
  <c r="I35" i="50"/>
  <c r="I33" i="50"/>
  <c r="I34" i="50"/>
  <c r="G57" i="50" l="1"/>
  <c r="H57" i="50" s="1"/>
  <c r="C69" i="50"/>
  <c r="E69" i="50" s="1"/>
  <c r="G53" i="50"/>
  <c r="H53" i="50" s="1"/>
  <c r="C67" i="50"/>
  <c r="E67" i="50" s="1"/>
  <c r="G49" i="50"/>
  <c r="H49" i="50" s="1"/>
  <c r="C66" i="50"/>
  <c r="G55" i="50"/>
  <c r="H55" i="50" s="1"/>
  <c r="C68" i="50"/>
  <c r="E68" i="50" s="1"/>
  <c r="D70" i="50"/>
  <c r="G48" i="50"/>
  <c r="H48" i="50" s="1"/>
  <c r="G50" i="50"/>
  <c r="H50" i="50" s="1"/>
  <c r="G51" i="50"/>
  <c r="H51" i="50" s="1"/>
  <c r="G52" i="50"/>
  <c r="H52" i="50" s="1"/>
  <c r="G54" i="50"/>
  <c r="H54" i="50" s="1"/>
  <c r="G56" i="50"/>
  <c r="H56" i="50" s="1"/>
  <c r="C70" i="50" l="1"/>
  <c r="E66" i="50"/>
  <c r="E70" i="50" s="1"/>
  <c r="B60" i="50"/>
  <c r="F72" i="50" s="1"/>
  <c r="D66" i="51" l="1"/>
  <c r="B75" i="51"/>
  <c r="D52" i="51"/>
  <c r="C82" i="51" s="1"/>
  <c r="D51" i="51"/>
  <c r="C81" i="51" s="1"/>
  <c r="D50" i="51"/>
  <c r="C80" i="51" s="1"/>
  <c r="D49" i="51"/>
  <c r="C79" i="51" s="1"/>
  <c r="M37" i="51"/>
  <c r="M38" i="51"/>
  <c r="M39" i="51"/>
  <c r="M40" i="51"/>
  <c r="L40" i="51"/>
  <c r="L39" i="51"/>
  <c r="L38" i="51"/>
  <c r="L37" i="51"/>
  <c r="D45" i="51"/>
  <c r="C45" i="51"/>
  <c r="E45" i="51" s="1"/>
  <c r="B45" i="51"/>
  <c r="B74" i="51" s="1"/>
  <c r="D44" i="51"/>
  <c r="C44" i="51"/>
  <c r="E44" i="51" s="1"/>
  <c r="B44" i="51"/>
  <c r="B73" i="51" s="1"/>
  <c r="D43" i="51"/>
  <c r="C43" i="51"/>
  <c r="E43" i="51" s="1"/>
  <c r="B43" i="51"/>
  <c r="B72" i="51" s="1"/>
  <c r="D42" i="51"/>
  <c r="C42" i="51"/>
  <c r="E42" i="51" s="1"/>
  <c r="B42" i="51"/>
  <c r="B71" i="51" s="1"/>
  <c r="D41" i="51"/>
  <c r="C41" i="51"/>
  <c r="E41" i="51" s="1"/>
  <c r="B41" i="51"/>
  <c r="B70" i="51" s="1"/>
  <c r="D40" i="51"/>
  <c r="C40" i="51"/>
  <c r="E40" i="51" s="1"/>
  <c r="B40" i="51"/>
  <c r="B69" i="51" s="1"/>
  <c r="D39" i="51"/>
  <c r="C39" i="51"/>
  <c r="E39" i="51" s="1"/>
  <c r="B39" i="51"/>
  <c r="B68" i="51" s="1"/>
  <c r="D38" i="51"/>
  <c r="C38" i="51"/>
  <c r="E38" i="51" s="1"/>
  <c r="B38" i="51"/>
  <c r="B67" i="51" s="1"/>
  <c r="C83" i="51" l="1"/>
  <c r="F42" i="51"/>
  <c r="G42" i="51" s="1"/>
  <c r="C69" i="51"/>
  <c r="C72" i="51"/>
  <c r="C67" i="51"/>
  <c r="C68" i="51"/>
  <c r="C73" i="51"/>
  <c r="F45" i="51"/>
  <c r="G45" i="51" s="1"/>
  <c r="C70" i="51"/>
  <c r="C71" i="51"/>
  <c r="C74" i="51"/>
  <c r="H39" i="51"/>
  <c r="H40" i="51"/>
  <c r="D53" i="51"/>
  <c r="H41" i="51"/>
  <c r="H45" i="51"/>
  <c r="H38" i="51"/>
  <c r="H43" i="51"/>
  <c r="H44" i="51"/>
  <c r="H42" i="51"/>
  <c r="F43" i="51"/>
  <c r="F38" i="51"/>
  <c r="F44" i="51"/>
  <c r="F39" i="51"/>
  <c r="F40" i="51"/>
  <c r="F41" i="51"/>
  <c r="D71" i="51" l="1"/>
  <c r="D74" i="51"/>
  <c r="H74" i="51" s="1"/>
  <c r="I74" i="51" s="1"/>
  <c r="J74" i="51" s="1"/>
  <c r="H71" i="51"/>
  <c r="I71" i="51" s="1"/>
  <c r="J71" i="51" s="1"/>
  <c r="E71" i="51"/>
  <c r="F71" i="51" s="1"/>
  <c r="G71" i="51" s="1"/>
  <c r="I45" i="51"/>
  <c r="G44" i="51"/>
  <c r="I44" i="51" s="1"/>
  <c r="D73" i="51"/>
  <c r="G38" i="51"/>
  <c r="I38" i="51" s="1"/>
  <c r="D67" i="51"/>
  <c r="G43" i="51"/>
  <c r="I43" i="51" s="1"/>
  <c r="D72" i="51"/>
  <c r="G41" i="51"/>
  <c r="I41" i="51" s="1"/>
  <c r="D70" i="51"/>
  <c r="G40" i="51"/>
  <c r="I40" i="51" s="1"/>
  <c r="D69" i="51"/>
  <c r="G39" i="51"/>
  <c r="I39" i="51" s="1"/>
  <c r="D68" i="51"/>
  <c r="I42" i="51"/>
  <c r="L71" i="51" l="1"/>
  <c r="E51" i="51"/>
  <c r="F51" i="51" s="1"/>
  <c r="E74" i="51"/>
  <c r="F74" i="51" s="1"/>
  <c r="G74" i="51" s="1"/>
  <c r="L74" i="51" s="1"/>
  <c r="E52" i="51"/>
  <c r="F52" i="51" s="1"/>
  <c r="E50" i="51"/>
  <c r="F50" i="51" s="1"/>
  <c r="E70" i="51"/>
  <c r="F70" i="51" s="1"/>
  <c r="G70" i="51" s="1"/>
  <c r="L70" i="51" s="1"/>
  <c r="H70" i="51"/>
  <c r="I70" i="51" s="1"/>
  <c r="J70" i="51" s="1"/>
  <c r="H72" i="51"/>
  <c r="I72" i="51" s="1"/>
  <c r="J72" i="51" s="1"/>
  <c r="E72" i="51"/>
  <c r="F72" i="51" s="1"/>
  <c r="G72" i="51" s="1"/>
  <c r="E67" i="51"/>
  <c r="F67" i="51" s="1"/>
  <c r="G67" i="51" s="1"/>
  <c r="H67" i="51"/>
  <c r="I67" i="51" s="1"/>
  <c r="E68" i="51"/>
  <c r="F68" i="51" s="1"/>
  <c r="G68" i="51" s="1"/>
  <c r="H68" i="51"/>
  <c r="I68" i="51" s="1"/>
  <c r="J68" i="51" s="1"/>
  <c r="H73" i="51"/>
  <c r="I73" i="51" s="1"/>
  <c r="E73" i="51"/>
  <c r="F73" i="51" s="1"/>
  <c r="G73" i="51" s="1"/>
  <c r="E69" i="51"/>
  <c r="F69" i="51" s="1"/>
  <c r="G69" i="51" s="1"/>
  <c r="H69" i="51"/>
  <c r="I69" i="51" s="1"/>
  <c r="J69" i="51" s="1"/>
  <c r="I46" i="51"/>
  <c r="E49" i="51"/>
  <c r="L72" i="51" l="1"/>
  <c r="D81" i="51" s="1"/>
  <c r="L69" i="51"/>
  <c r="D80" i="51" s="1"/>
  <c r="L68" i="51"/>
  <c r="J67" i="51"/>
  <c r="L67" i="51" s="1"/>
  <c r="J73" i="51"/>
  <c r="L73" i="51" s="1"/>
  <c r="D82" i="51" s="1"/>
  <c r="G75" i="51"/>
  <c r="E53" i="51"/>
  <c r="F49" i="51"/>
  <c r="J75" i="51" l="1"/>
  <c r="L75" i="51"/>
  <c r="D79" i="51"/>
  <c r="G77" i="49" l="1"/>
  <c r="M63" i="49"/>
  <c r="M64" i="49" s="1"/>
  <c r="M65" i="49" s="1"/>
  <c r="M62" i="49"/>
  <c r="M61" i="49"/>
  <c r="M60" i="49"/>
  <c r="L65" i="49"/>
  <c r="L64" i="49"/>
  <c r="L63" i="49"/>
  <c r="L62" i="49"/>
  <c r="L61" i="49"/>
  <c r="L60" i="49"/>
  <c r="K65" i="49"/>
  <c r="K64" i="49"/>
  <c r="K63" i="49"/>
  <c r="K62" i="49"/>
  <c r="K61" i="49"/>
  <c r="K60" i="49"/>
  <c r="J65" i="49"/>
  <c r="J64" i="49"/>
  <c r="J63" i="49"/>
  <c r="J62" i="49"/>
  <c r="J61" i="49"/>
  <c r="J60" i="49"/>
  <c r="I61" i="49"/>
  <c r="I62" i="49"/>
  <c r="I63" i="49"/>
  <c r="I64" i="49"/>
  <c r="I65" i="49"/>
  <c r="I60" i="49"/>
  <c r="H63" i="49"/>
  <c r="H64" i="49" s="1"/>
  <c r="H65" i="49" s="1"/>
  <c r="H62" i="49"/>
  <c r="H61" i="49"/>
  <c r="H60" i="49"/>
  <c r="G65" i="49"/>
  <c r="G64" i="49"/>
  <c r="G63" i="49"/>
  <c r="G62" i="49"/>
  <c r="G61" i="49"/>
  <c r="G60" i="49"/>
  <c r="F65" i="49"/>
  <c r="F64" i="49"/>
  <c r="F63" i="49"/>
  <c r="F62" i="49"/>
  <c r="F61" i="49"/>
  <c r="F60" i="49"/>
  <c r="S49" i="49"/>
  <c r="S50" i="49"/>
  <c r="S51" i="49"/>
  <c r="S52" i="49"/>
  <c r="S53" i="49"/>
  <c r="S54" i="49"/>
  <c r="S55" i="49"/>
  <c r="S48" i="49"/>
  <c r="O54" i="49"/>
  <c r="O53" i="49"/>
  <c r="O52" i="49"/>
  <c r="O51" i="49"/>
  <c r="O50" i="49"/>
  <c r="O49" i="49"/>
  <c r="O48" i="49"/>
  <c r="O47" i="49"/>
  <c r="O46" i="49"/>
  <c r="O45" i="49"/>
  <c r="O44" i="49"/>
  <c r="O43" i="49"/>
  <c r="O42" i="49"/>
  <c r="O55" i="49"/>
  <c r="E85" i="49"/>
  <c r="E84" i="49"/>
  <c r="E83" i="49"/>
  <c r="E82" i="49"/>
  <c r="E81" i="49"/>
  <c r="E80" i="49"/>
  <c r="K77" i="49"/>
  <c r="J77" i="49"/>
  <c r="G85" i="49"/>
  <c r="J85" i="49" s="1"/>
  <c r="K76" i="49"/>
  <c r="J76" i="49"/>
  <c r="G76" i="49"/>
  <c r="G84" i="49" s="1"/>
  <c r="J84" i="49" s="1"/>
  <c r="K75" i="49"/>
  <c r="J75" i="49"/>
  <c r="G75" i="49"/>
  <c r="G83" i="49" s="1"/>
  <c r="J83" i="49" s="1"/>
  <c r="K74" i="49"/>
  <c r="J74" i="49"/>
  <c r="G74" i="49"/>
  <c r="G82" i="49" s="1"/>
  <c r="J82" i="49" s="1"/>
  <c r="K73" i="49"/>
  <c r="J73" i="49"/>
  <c r="K72" i="49"/>
  <c r="J72" i="49"/>
  <c r="G73" i="49"/>
  <c r="G81" i="49" s="1"/>
  <c r="J81" i="49" s="1"/>
  <c r="G72" i="49"/>
  <c r="G80" i="49" s="1"/>
  <c r="J80" i="49" s="1"/>
  <c r="A48" i="49"/>
  <c r="C48" i="49"/>
  <c r="A54" i="49"/>
  <c r="A53" i="49"/>
  <c r="A52" i="49"/>
  <c r="A51" i="49"/>
  <c r="A50" i="49"/>
  <c r="A49" i="49"/>
  <c r="C53" i="49"/>
  <c r="C52" i="49"/>
  <c r="C51" i="49"/>
  <c r="C50" i="49"/>
  <c r="C49" i="49"/>
  <c r="C54" i="49"/>
  <c r="A82" i="49"/>
  <c r="A75" i="49"/>
  <c r="A76" i="49"/>
  <c r="A77" i="49"/>
  <c r="A78" i="49"/>
  <c r="A79" i="49"/>
  <c r="D77" i="49"/>
  <c r="D76" i="49"/>
  <c r="D75" i="49"/>
  <c r="D74" i="49"/>
  <c r="D73" i="49"/>
  <c r="G56" i="49"/>
  <c r="M42" i="49"/>
  <c r="M43" i="49" s="1"/>
  <c r="M44" i="49" s="1"/>
  <c r="M45" i="49" s="1"/>
  <c r="M46" i="49" s="1"/>
  <c r="M47" i="49" s="1"/>
  <c r="M48" i="49" s="1"/>
  <c r="M49" i="49" s="1"/>
  <c r="M50" i="49" s="1"/>
  <c r="M51" i="49" s="1"/>
  <c r="M52" i="49" s="1"/>
  <c r="M53" i="49" s="1"/>
  <c r="L56" i="49"/>
  <c r="K56" i="49"/>
  <c r="J56" i="49"/>
  <c r="N49" i="49"/>
  <c r="N48" i="49"/>
  <c r="N47" i="49"/>
  <c r="N46" i="49"/>
  <c r="N45" i="49"/>
  <c r="N44" i="49"/>
  <c r="N43" i="49"/>
  <c r="N42" i="49"/>
  <c r="N54" i="49"/>
  <c r="N53" i="49"/>
  <c r="N52" i="49"/>
  <c r="N51" i="49"/>
  <c r="N50" i="49"/>
  <c r="N55" i="49"/>
  <c r="M36" i="49"/>
  <c r="M33" i="49"/>
  <c r="L33" i="49"/>
  <c r="M35" i="49" s="1"/>
  <c r="Q32" i="49"/>
  <c r="P32" i="49"/>
  <c r="U32" i="49" s="1"/>
  <c r="Q30" i="49"/>
  <c r="P30" i="49"/>
  <c r="Q27" i="49"/>
  <c r="P27" i="49"/>
  <c r="N32" i="49"/>
  <c r="N31" i="49"/>
  <c r="N30" i="49"/>
  <c r="N29" i="49"/>
  <c r="N28" i="49"/>
  <c r="N27" i="49"/>
  <c r="A22" i="49"/>
  <c r="A21" i="49"/>
  <c r="A20" i="49"/>
  <c r="A19" i="49"/>
  <c r="A18" i="49"/>
  <c r="A17" i="49"/>
  <c r="A16" i="49"/>
  <c r="A15" i="49"/>
  <c r="N22" i="49" s="1"/>
  <c r="K17" i="49"/>
  <c r="K18" i="49"/>
  <c r="K19" i="49"/>
  <c r="K20" i="49"/>
  <c r="K21" i="49"/>
  <c r="K22" i="49"/>
  <c r="K10" i="49"/>
  <c r="K9" i="49"/>
  <c r="K8" i="49"/>
  <c r="K7" i="49"/>
  <c r="K6" i="49"/>
  <c r="K5" i="49"/>
  <c r="F3" i="49"/>
  <c r="K4" i="49" s="1"/>
  <c r="D10" i="49"/>
  <c r="D9" i="49"/>
  <c r="D8" i="49"/>
  <c r="D7" i="49"/>
  <c r="D6" i="49"/>
  <c r="D5" i="49"/>
  <c r="D4" i="49"/>
  <c r="D3" i="49"/>
  <c r="E10" i="49"/>
  <c r="E9" i="49"/>
  <c r="E8" i="49"/>
  <c r="E7" i="49"/>
  <c r="E6" i="49"/>
  <c r="E5" i="49"/>
  <c r="E4" i="49"/>
  <c r="E3" i="49"/>
  <c r="N77" i="49" l="1"/>
  <c r="L76" i="49"/>
  <c r="L73" i="49"/>
  <c r="N74" i="49"/>
  <c r="N73" i="49"/>
  <c r="N76" i="49"/>
  <c r="H74" i="49"/>
  <c r="H72" i="49"/>
  <c r="N72" i="49"/>
  <c r="N75" i="49"/>
  <c r="M54" i="49"/>
  <c r="P53" i="49"/>
  <c r="Q53" i="49" s="1"/>
  <c r="L72" i="49"/>
  <c r="H73" i="49"/>
  <c r="L74" i="49"/>
  <c r="H77" i="49"/>
  <c r="H75" i="49"/>
  <c r="L75" i="49"/>
  <c r="L77" i="49"/>
  <c r="H76" i="49"/>
  <c r="N33" i="49"/>
  <c r="N20" i="49"/>
  <c r="R32" i="49"/>
  <c r="J9" i="49"/>
  <c r="R27" i="49"/>
  <c r="D18" i="49"/>
  <c r="E20" i="49"/>
  <c r="T27" i="49"/>
  <c r="J10" i="49"/>
  <c r="Q33" i="49"/>
  <c r="J6" i="49"/>
  <c r="J8" i="49"/>
  <c r="D21" i="49"/>
  <c r="P33" i="49"/>
  <c r="T30" i="49"/>
  <c r="T32" i="49"/>
  <c r="V32" i="49" s="1"/>
  <c r="J5" i="49"/>
  <c r="U27" i="49"/>
  <c r="U30" i="49"/>
  <c r="J7" i="49"/>
  <c r="R30" i="49"/>
  <c r="S30" i="49" s="1"/>
  <c r="E17" i="49"/>
  <c r="E15" i="49"/>
  <c r="D20" i="49"/>
  <c r="D15" i="49"/>
  <c r="N16" i="49"/>
  <c r="N21" i="49"/>
  <c r="E22" i="49"/>
  <c r="E18" i="49"/>
  <c r="D22" i="49"/>
  <c r="D17" i="49"/>
  <c r="N17" i="49"/>
  <c r="E19" i="49"/>
  <c r="E16" i="49"/>
  <c r="N18" i="49"/>
  <c r="D19" i="49"/>
  <c r="D16" i="49"/>
  <c r="N19" i="49"/>
  <c r="E21" i="49"/>
  <c r="J21" i="49" s="1"/>
  <c r="F15" i="49"/>
  <c r="J4" i="49"/>
  <c r="I5" i="49"/>
  <c r="I4" i="49"/>
  <c r="I7" i="49"/>
  <c r="I8" i="49"/>
  <c r="I10" i="49"/>
  <c r="I9" i="49"/>
  <c r="I6" i="49"/>
  <c r="M55" i="49" l="1"/>
  <c r="P55" i="49" s="1"/>
  <c r="Q55" i="49" s="1"/>
  <c r="P54" i="49"/>
  <c r="Q54" i="49" s="1"/>
  <c r="I18" i="49"/>
  <c r="V30" i="49"/>
  <c r="R33" i="49"/>
  <c r="S32" i="49"/>
  <c r="J16" i="49"/>
  <c r="I21" i="49"/>
  <c r="V27" i="49"/>
  <c r="I22" i="49"/>
  <c r="J17" i="49"/>
  <c r="J18" i="49"/>
  <c r="J19" i="49"/>
  <c r="I16" i="49"/>
  <c r="J20" i="49"/>
  <c r="I20" i="49"/>
  <c r="I19" i="49"/>
  <c r="I17" i="49"/>
  <c r="K16" i="49"/>
  <c r="N15" i="49"/>
  <c r="J22" i="4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<sst xmlns="http://schemas.openxmlformats.org/spreadsheetml/2006/main" count="656" uniqueCount="437">
  <si>
    <t>Be sure that it is possible to follow your formulas and that your answers are clearly indicated.</t>
  </si>
  <si>
    <t>Answer in the space below</t>
  </si>
  <si>
    <t>(b)</t>
  </si>
  <si>
    <t>(a)</t>
  </si>
  <si>
    <t>(c)</t>
  </si>
  <si>
    <t>First</t>
  </si>
  <si>
    <t>Second</t>
  </si>
  <si>
    <t>Third</t>
  </si>
  <si>
    <t>Fourth</t>
  </si>
  <si>
    <t>(d)</t>
  </si>
  <si>
    <t>Probability</t>
  </si>
  <si>
    <t>From</t>
  </si>
  <si>
    <t>To</t>
  </si>
  <si>
    <t>Claim Range</t>
  </si>
  <si>
    <t>Policy Limit</t>
  </si>
  <si>
    <t>Count</t>
  </si>
  <si>
    <t>ES1</t>
  </si>
  <si>
    <t>ES2</t>
  </si>
  <si>
    <t>-</t>
  </si>
  <si>
    <t>unlimited</t>
  </si>
  <si>
    <t>COUNT</t>
  </si>
  <si>
    <t>CUMUL COUNT</t>
  </si>
  <si>
    <t>COUNT DIST</t>
  </si>
  <si>
    <t>INDEM</t>
  </si>
  <si>
    <t>Unlim ALAE</t>
  </si>
  <si>
    <t>CLAIMS</t>
  </si>
  <si>
    <t>CUMUL CLMS</t>
  </si>
  <si>
    <t>AVG INDEM</t>
  </si>
  <si>
    <t>Question 3</t>
  </si>
  <si>
    <t>Accident Year</t>
  </si>
  <si>
    <t>From (months)</t>
  </si>
  <si>
    <t>To 
(months)</t>
  </si>
  <si>
    <t>Increment</t>
  </si>
  <si>
    <t>Diagonal 
Age</t>
  </si>
  <si>
    <t>Accident Year Total</t>
  </si>
  <si>
    <t>(e)</t>
  </si>
  <si>
    <r>
      <t>(</t>
    </r>
    <r>
      <rPr>
        <i/>
        <sz val="12"/>
        <color theme="8" tint="-0.499984740745262"/>
        <rFont val="Times New Roman"/>
        <family val="1"/>
      </rPr>
      <t>1 point</t>
    </r>
    <r>
      <rPr>
        <sz val="12"/>
        <color theme="8" tint="-0.499984740745262"/>
        <rFont val="Times New Roman"/>
        <family val="1"/>
      </rPr>
      <t>)  Estimate the process standard deviation of the loss reserve for all accident years combined.</t>
    </r>
  </si>
  <si>
    <t>X</t>
  </si>
  <si>
    <t>Y</t>
  </si>
  <si>
    <t>Z</t>
  </si>
  <si>
    <t>Coefficient of Variation (CoV)</t>
  </si>
  <si>
    <t>Question 5</t>
  </si>
  <si>
    <t>Question 7</t>
  </si>
  <si>
    <t>Question 8</t>
  </si>
  <si>
    <t>Question 9</t>
  </si>
  <si>
    <t>Question 10</t>
  </si>
  <si>
    <t>Question 1</t>
  </si>
  <si>
    <t>All responses for this question are to be provided in the Word document.</t>
  </si>
  <si>
    <t>Question 2</t>
  </si>
  <si>
    <t>Question 4</t>
  </si>
  <si>
    <t>Question 11</t>
  </si>
  <si>
    <t>Question 12</t>
  </si>
  <si>
    <t>Question 13</t>
  </si>
  <si>
    <t>A</t>
  </si>
  <si>
    <t>B</t>
  </si>
  <si>
    <t>C</t>
  </si>
  <si>
    <t>D</t>
  </si>
  <si>
    <t>Policy 
Year</t>
  </si>
  <si>
    <t>Question 6</t>
  </si>
  <si>
    <t>AY</t>
  </si>
  <si>
    <t>ERD</t>
  </si>
  <si>
    <t>You are given the following information:</t>
  </si>
  <si>
    <r>
      <t>(</t>
    </r>
    <r>
      <rPr>
        <i/>
        <sz val="12"/>
        <color theme="8" tint="-0.499984740745262"/>
        <rFont val="Times New Roman"/>
        <family val="1"/>
      </rPr>
      <t>5 points</t>
    </r>
    <r>
      <rPr>
        <sz val="12"/>
        <color theme="8" tint="-0.499984740745262"/>
        <rFont val="Times New Roman"/>
        <family val="1"/>
      </rPr>
      <t xml:space="preserve">)  A reinsurer is pricing a property per risk excess treaty for accident year 2024 covering the layer 3,000,000 excess of 1,000,000.  
</t>
    </r>
  </si>
  <si>
    <t>Untrended Loss Evaluated as of 12/31/2022</t>
  </si>
  <si>
    <t>Loss ID</t>
  </si>
  <si>
    <r>
      <t>·</t>
    </r>
    <r>
      <rPr>
        <sz val="7"/>
        <color theme="8" tint="-0.499984740745262"/>
        <rFont val="Times New Roman"/>
        <family val="1"/>
      </rPr>
      <t xml:space="preserve">       </t>
    </r>
    <r>
      <rPr>
        <sz val="12"/>
        <color theme="8" tint="-0.499984740745262"/>
        <rFont val="Times New Roman"/>
        <family val="1"/>
      </rPr>
      <t>All losses of at least 500,000 are shown.</t>
    </r>
  </si>
  <si>
    <r>
      <t>·</t>
    </r>
    <r>
      <rPr>
        <sz val="7"/>
        <color theme="8" tint="-0.499984740745262"/>
        <rFont val="Times New Roman"/>
        <family val="1"/>
      </rPr>
      <t xml:space="preserve">       </t>
    </r>
    <r>
      <rPr>
        <sz val="12"/>
        <color theme="8" tint="-0.499984740745262"/>
        <rFont val="Times New Roman"/>
        <family val="1"/>
      </rPr>
      <t>Loss trend is 7% per year.</t>
    </r>
  </si>
  <si>
    <r>
      <t>·</t>
    </r>
    <r>
      <rPr>
        <sz val="7"/>
        <color theme="8" tint="-0.499984740745262"/>
        <rFont val="Times New Roman"/>
        <family val="1"/>
      </rPr>
      <t xml:space="preserve">       </t>
    </r>
    <r>
      <rPr>
        <sz val="12"/>
        <color theme="8" tint="-0.499984740745262"/>
        <rFont val="Times New Roman"/>
        <family val="1"/>
      </rPr>
      <t>Accident year development factors applicable to losses in the layer 3,000,000 excess of 1,000,000:</t>
    </r>
  </si>
  <si>
    <t>12-Ultimate</t>
  </si>
  <si>
    <t>24-Ultimate</t>
  </si>
  <si>
    <t>36-Ultimate</t>
  </si>
  <si>
    <t>48-Ultimate</t>
  </si>
  <si>
    <t>Increase 
in Losses</t>
  </si>
  <si>
    <t>Accident 
Year</t>
  </si>
  <si>
    <t>On Level Subject 
Premium</t>
  </si>
  <si>
    <r>
      <t>(</t>
    </r>
    <r>
      <rPr>
        <i/>
        <sz val="12"/>
        <color theme="8" tint="-0.499984740745262"/>
        <rFont val="Times New Roman"/>
        <family val="1"/>
      </rPr>
      <t>0.5 points</t>
    </r>
    <r>
      <rPr>
        <sz val="12"/>
        <color theme="8" tint="-0.499984740745262"/>
        <rFont val="Times New Roman"/>
        <family val="1"/>
      </rPr>
      <t>)  Explain why using the average of all years may not be appropriate for pricing the 2024 treaty.</t>
    </r>
  </si>
  <si>
    <t>You apply Clark’s stochastic reserving model using the LDF method and a loglogistic distribution with cumulative</t>
  </si>
  <si>
    <r>
      <t xml:space="preserve">distribution function </t>
    </r>
    <r>
      <rPr>
        <i/>
        <sz val="12"/>
        <color theme="8" tint="-0.499984740745262"/>
        <rFont val="Times New Roman"/>
        <family val="1"/>
      </rPr>
      <t>G(x)</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ω</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ω</t>
    </r>
    <r>
      <rPr>
        <sz val="12"/>
        <color theme="8" tint="-0.499984740745262"/>
        <rFont val="Times New Roman"/>
        <family val="1"/>
      </rPr>
      <t xml:space="preserve"> + </t>
    </r>
    <r>
      <rPr>
        <i/>
        <sz val="12"/>
        <color theme="8" tint="-0.499984740745262"/>
        <rFont val="Times New Roman"/>
        <family val="1"/>
      </rPr>
      <t>θ</t>
    </r>
    <r>
      <rPr>
        <i/>
        <vertAlign val="superscript"/>
        <sz val="12"/>
        <color theme="8" tint="-0.499984740745262"/>
        <rFont val="Times New Roman"/>
        <family val="1"/>
      </rPr>
      <t>ω</t>
    </r>
    <r>
      <rPr>
        <sz val="12"/>
        <color theme="8" tint="-0.499984740745262"/>
        <rFont val="Times New Roman"/>
        <family val="1"/>
      </rPr>
      <t xml:space="preserve">) where </t>
    </r>
    <r>
      <rPr>
        <i/>
        <sz val="12"/>
        <color theme="8" tint="-0.499984740745262"/>
        <rFont val="Times New Roman"/>
        <family val="1"/>
      </rPr>
      <t>x</t>
    </r>
    <r>
      <rPr>
        <sz val="12"/>
        <color theme="8" tint="-0.499984740745262"/>
        <rFont val="Times New Roman"/>
        <family val="1"/>
      </rPr>
      <t xml:space="preserve"> is in months. </t>
    </r>
  </si>
  <si>
    <t xml:space="preserve">Clark states “The Cape Cod method … will usually produce a significantly smaller estimation error [than the LDF method].” </t>
  </si>
  <si>
    <r>
      <t>(</t>
    </r>
    <r>
      <rPr>
        <i/>
        <sz val="12"/>
        <color theme="8" tint="-0.499984740745262"/>
        <rFont val="Times New Roman"/>
        <family val="1"/>
      </rPr>
      <t>1 point</t>
    </r>
    <r>
      <rPr>
        <sz val="12"/>
        <color theme="8" tint="-0.499984740745262"/>
        <rFont val="Times New Roman"/>
        <family val="1"/>
      </rPr>
      <t>)  State two reasons why this is the case.</t>
    </r>
  </si>
  <si>
    <r>
      <t>(</t>
    </r>
    <r>
      <rPr>
        <i/>
        <sz val="12"/>
        <color theme="8" tint="-0.499984740745262"/>
        <rFont val="Times New Roman"/>
        <family val="1"/>
      </rPr>
      <t>2 points</t>
    </r>
    <r>
      <rPr>
        <sz val="12"/>
        <color theme="8" tint="-0.499984740745262"/>
        <rFont val="Times New Roman"/>
        <family val="1"/>
      </rPr>
      <t xml:space="preserve">)  Calculate the maximum likelihood estimates of </t>
    </r>
    <r>
      <rPr>
        <i/>
        <sz val="12"/>
        <color theme="8" tint="-0.499984740745262"/>
        <rFont val="Times New Roman"/>
        <family val="1"/>
      </rPr>
      <t>ULT</t>
    </r>
    <r>
      <rPr>
        <sz val="12"/>
        <color theme="8" tint="-0.499984740745262"/>
        <rFont val="Times New Roman"/>
        <family val="1"/>
      </rPr>
      <t xml:space="preserve"> for each of the four accident years.</t>
    </r>
  </si>
  <si>
    <r>
      <t>(</t>
    </r>
    <r>
      <rPr>
        <i/>
        <sz val="12"/>
        <color theme="8" tint="-0.499984740745262"/>
        <rFont val="Times New Roman"/>
        <family val="1"/>
      </rPr>
      <t>1 point</t>
    </r>
    <r>
      <rPr>
        <sz val="12"/>
        <color theme="8" tint="-0.499984740745262"/>
        <rFont val="Times New Roman"/>
        <family val="1"/>
      </rPr>
      <t>)  Explain why this reduction is to be expected.</t>
    </r>
  </si>
  <si>
    <r>
      <t xml:space="preserve">The maximum likelihood estimate (MLE) of </t>
    </r>
    <r>
      <rPr>
        <i/>
        <sz val="12"/>
        <color theme="8" tint="-0.499984740745262"/>
        <rFont val="Times New Roman"/>
        <family val="1"/>
      </rPr>
      <t>θ</t>
    </r>
    <r>
      <rPr>
        <sz val="12"/>
        <color theme="8" tint="-0.499984740745262"/>
        <rFont val="Times New Roman"/>
        <family val="1"/>
      </rPr>
      <t xml:space="preserve"> is 6.8410 and of</t>
    </r>
    <r>
      <rPr>
        <i/>
        <sz val="12"/>
        <color theme="8" tint="-0.499984740745262"/>
        <rFont val="Times New Roman"/>
        <family val="1"/>
      </rPr>
      <t xml:space="preserve"> ω</t>
    </r>
    <r>
      <rPr>
        <sz val="13.2"/>
        <color theme="8" tint="-0.499984740745262"/>
        <rFont val="Times New Roman"/>
        <family val="1"/>
      </rPr>
      <t xml:space="preserve"> is 0.9804</t>
    </r>
    <r>
      <rPr>
        <sz val="12"/>
        <color theme="8" tint="-0.499984740745262"/>
        <rFont val="Times New Roman"/>
        <family val="1"/>
      </rPr>
      <t>.</t>
    </r>
  </si>
  <si>
    <t>Development Year</t>
  </si>
  <si>
    <t>You wish to consider the following four alternative models:</t>
  </si>
  <si>
    <r>
      <t>(i)</t>
    </r>
    <r>
      <rPr>
        <sz val="7"/>
        <color theme="8" tint="-0.499984740745262"/>
        <rFont val="Times New Roman"/>
        <family val="1"/>
      </rPr>
      <t xml:space="preserve">              </t>
    </r>
    <r>
      <rPr>
        <sz val="12"/>
        <color theme="8" tint="-0.499984740745262"/>
        <rFont val="Times New Roman"/>
        <family val="1"/>
      </rPr>
      <t>Mack chain ladder</t>
    </r>
  </si>
  <si>
    <r>
      <t>(ii)</t>
    </r>
    <r>
      <rPr>
        <sz val="7"/>
        <color theme="8" tint="-0.499984740745262"/>
        <rFont val="Times New Roman"/>
        <family val="1"/>
      </rPr>
      <t xml:space="preserve">            </t>
    </r>
    <r>
      <rPr>
        <sz val="12"/>
        <color theme="8" tint="-0.499984740745262"/>
        <rFont val="Times New Roman"/>
        <family val="1"/>
      </rPr>
      <t>Chain ladder with unweighted average development factors</t>
    </r>
  </si>
  <si>
    <r>
      <t>(iv)</t>
    </r>
    <r>
      <rPr>
        <sz val="7"/>
        <color theme="8" tint="-0.499984740745262"/>
        <rFont val="Times New Roman"/>
        <family val="1"/>
      </rPr>
      <t xml:space="preserve">           </t>
    </r>
    <r>
      <rPr>
        <sz val="12"/>
        <color theme="8" tint="-0.499984740745262"/>
        <rFont val="Times New Roman"/>
        <family val="1"/>
      </rPr>
      <t>Bornhuetter Ferguson (BF)</t>
    </r>
  </si>
  <si>
    <r>
      <t>(iii)</t>
    </r>
    <r>
      <rPr>
        <sz val="7"/>
        <color theme="8" tint="-0.499984740745262"/>
        <rFont val="Times New Roman"/>
        <family val="1"/>
      </rPr>
      <t xml:space="preserve">           </t>
    </r>
    <r>
      <rPr>
        <sz val="12"/>
        <color theme="8" tint="-0.499984740745262"/>
        <rFont val="Times New Roman"/>
        <family val="1"/>
      </rPr>
      <t>Additive chain ladder</t>
    </r>
  </si>
  <si>
    <r>
      <t>(</t>
    </r>
    <r>
      <rPr>
        <i/>
        <sz val="12"/>
        <color theme="8" tint="-0.499984740745262"/>
        <rFont val="Times New Roman"/>
        <family val="1"/>
      </rPr>
      <t>6 points</t>
    </r>
    <r>
      <rPr>
        <sz val="12"/>
        <color theme="8" tint="-0.499984740745262"/>
        <rFont val="Times New Roman"/>
        <family val="1"/>
      </rPr>
      <t>)  Construct the fitted incremental triangle and compute the sum of squared errors (SSE) for each of the four alternative models.  (Omit the first column from the fitted triangles and the SSE calculations.)</t>
    </r>
  </si>
  <si>
    <r>
      <t>(</t>
    </r>
    <r>
      <rPr>
        <i/>
        <sz val="12"/>
        <color theme="8" tint="-0.499984740745262"/>
        <rFont val="Times New Roman"/>
        <family val="1"/>
      </rPr>
      <t>1.5 points</t>
    </r>
    <r>
      <rPr>
        <sz val="12"/>
        <color theme="8" tint="-0.499984740745262"/>
        <rFont val="Times New Roman"/>
        <family val="1"/>
      </rPr>
      <t>)  Compute one test statistic, based on the SSE, for each model.</t>
    </r>
  </si>
  <si>
    <r>
      <t>(</t>
    </r>
    <r>
      <rPr>
        <i/>
        <sz val="12"/>
        <color theme="8" tint="-0.499984740745262"/>
        <rFont val="Times New Roman"/>
        <family val="1"/>
      </rPr>
      <t>0.5 points</t>
    </r>
    <r>
      <rPr>
        <sz val="12"/>
        <color theme="8" tint="-0.499984740745262"/>
        <rFont val="Times New Roman"/>
        <family val="1"/>
      </rPr>
      <t>)  Identify the best model based on the value of this test statistic for each model.</t>
    </r>
  </si>
  <si>
    <r>
      <t>(</t>
    </r>
    <r>
      <rPr>
        <i/>
        <sz val="12"/>
        <color theme="8" tint="-0.499984740745262"/>
        <rFont val="Times New Roman"/>
        <family val="1"/>
      </rPr>
      <t>8 points</t>
    </r>
    <r>
      <rPr>
        <sz val="12"/>
        <color theme="8" tint="-0.499984740745262"/>
        <rFont val="Times New Roman"/>
        <family val="1"/>
      </rPr>
      <t xml:space="preserve">)  You are interested in determining a model for loss development.  The triangle of incremental loss data you are working with, by accident year (AY) </t>
    </r>
  </si>
  <si>
    <t>and development year, is:</t>
  </si>
  <si>
    <t>Account</t>
  </si>
  <si>
    <t>Expected Losses</t>
  </si>
  <si>
    <t>Correlation of Losses Between Accounts</t>
  </si>
  <si>
    <r>
      <t>·</t>
    </r>
    <r>
      <rPr>
        <sz val="7"/>
        <color theme="8" tint="-0.499984740745262"/>
        <rFont val="Times New Roman"/>
        <family val="1"/>
      </rPr>
      <t xml:space="preserve">       </t>
    </r>
    <r>
      <rPr>
        <sz val="12"/>
        <color theme="8" tint="-0.499984740745262"/>
        <rFont val="Times New Roman"/>
        <family val="1"/>
      </rPr>
      <t>ABC uses the Marginal Surplus method to calculate risk loads.</t>
    </r>
  </si>
  <si>
    <r>
      <t>(</t>
    </r>
    <r>
      <rPr>
        <i/>
        <sz val="12"/>
        <color theme="8" tint="-0.499984740745262"/>
        <rFont val="Times New Roman"/>
        <family val="1"/>
      </rPr>
      <t>1.5 points</t>
    </r>
    <r>
      <rPr>
        <sz val="12"/>
        <color theme="8" tint="-0.499984740745262"/>
        <rFont val="Times New Roman"/>
        <family val="1"/>
      </rPr>
      <t xml:space="preserve">)  Calculate the renewal risk loads for each of the three accounts (X, Y and Z) using the Marginal Surplus method. </t>
    </r>
  </si>
  <si>
    <t>Retrospective Rating Parameters</t>
  </si>
  <si>
    <t>Basic premium factor (BPF)</t>
  </si>
  <si>
    <t>Expected ultimate loss divided by standard premium (ELR)</t>
  </si>
  <si>
    <t>Loss conversion factor (LCF)</t>
  </si>
  <si>
    <t>Tax multiplier (TM)</t>
  </si>
  <si>
    <t>Retrospective Adjustment</t>
  </si>
  <si>
    <t>Ultimate 
Losses</t>
  </si>
  <si>
    <r>
      <t>(</t>
    </r>
    <r>
      <rPr>
        <i/>
        <sz val="12"/>
        <color theme="8" tint="-0.499984740745262"/>
        <rFont val="Times New Roman"/>
        <family val="1"/>
      </rPr>
      <t>2 points</t>
    </r>
    <r>
      <rPr>
        <sz val="12"/>
        <color theme="8" tint="-0.499984740745262"/>
        <rFont val="Times New Roman"/>
        <family val="1"/>
      </rPr>
      <t xml:space="preserve">)  Calculate the implied Cumulative Premium Development to Loss Development (CPDLD) ratios for the first to fourth retrospective rating adjustments using the formula approach. </t>
    </r>
  </si>
  <si>
    <r>
      <t>(</t>
    </r>
    <r>
      <rPr>
        <i/>
        <sz val="12"/>
        <color theme="8" tint="-0.499984740745262"/>
        <rFont val="Times New Roman"/>
        <family val="1"/>
      </rPr>
      <t>1 point</t>
    </r>
    <r>
      <rPr>
        <sz val="12"/>
        <color theme="8" tint="-0.499984740745262"/>
        <rFont val="Times New Roman"/>
        <family val="1"/>
      </rPr>
      <t>)  Provide two situations in which one would favor the formula approach to estimating PDLD ratios over the empirical approach assuming there is sufficient data to use the empirical approach.</t>
    </r>
  </si>
  <si>
    <r>
      <t>(</t>
    </r>
    <r>
      <rPr>
        <i/>
        <sz val="12"/>
        <color theme="8" tint="-0.499984740745262"/>
        <rFont val="Times New Roman"/>
        <family val="1"/>
      </rPr>
      <t>1 point</t>
    </r>
    <r>
      <rPr>
        <sz val="12"/>
        <color theme="8" tint="-0.499984740745262"/>
        <rFont val="Times New Roman"/>
        <family val="1"/>
      </rPr>
      <t>)  Calculate the premium asset on retrospectively rated policies as of December 31, 2022.</t>
    </r>
  </si>
  <si>
    <r>
      <t>(</t>
    </r>
    <r>
      <rPr>
        <i/>
        <sz val="12"/>
        <color theme="8" tint="-0.499984740745262"/>
        <rFont val="Times New Roman"/>
        <family val="1"/>
      </rPr>
      <t>4 points</t>
    </r>
    <r>
      <rPr>
        <sz val="12"/>
        <color theme="8" tint="-0.499984740745262"/>
        <rFont val="Times New Roman"/>
        <family val="1"/>
      </rPr>
      <t>)  “A Framework for Assessing Risk Margins,” by Marshall et al. (Marshall), described various methods for assessing correlation effects with respect to risk margins.</t>
    </r>
  </si>
  <si>
    <r>
      <t>(</t>
    </r>
    <r>
      <rPr>
        <i/>
        <sz val="12"/>
        <color theme="8" tint="-0.499984740745262"/>
        <rFont val="Times New Roman"/>
        <family val="1"/>
      </rPr>
      <t>1 point</t>
    </r>
    <r>
      <rPr>
        <sz val="12"/>
        <color theme="8" tint="-0.499984740745262"/>
        <rFont val="Times New Roman"/>
        <family val="1"/>
      </rPr>
      <t>)   Identify two reasons that quantitative methods should not be used to assess these correlation effects.</t>
    </r>
  </si>
  <si>
    <t xml:space="preserve">You are calculating a risk margin for claim liabilities in a long-tailed line of business. </t>
  </si>
  <si>
    <t>You are using Marshall’s balanced scorecard approach to measure the internal systemic risk coefficient of variation (CoV).</t>
  </si>
  <si>
    <t>Your balanced scorecard approach has the following features:</t>
  </si>
  <si>
    <r>
      <t>·</t>
    </r>
    <r>
      <rPr>
        <sz val="7"/>
        <color theme="8" tint="-0.499984740745262"/>
        <rFont val="Times New Roman"/>
        <family val="1"/>
      </rPr>
      <t xml:space="preserve">       </t>
    </r>
    <r>
      <rPr>
        <sz val="12"/>
        <color theme="8" tint="-0.499984740745262"/>
        <rFont val="Times New Roman"/>
        <family val="1"/>
      </rPr>
      <t>Each of the three main sources of internal systemic risk has only two risk indicators.</t>
    </r>
  </si>
  <si>
    <r>
      <t>·</t>
    </r>
    <r>
      <rPr>
        <sz val="7"/>
        <color theme="8" tint="-0.499984740745262"/>
        <rFont val="Times New Roman"/>
        <family val="1"/>
      </rPr>
      <t xml:space="preserve">       </t>
    </r>
    <r>
      <rPr>
        <sz val="12"/>
        <color theme="8" tint="-0.499984740745262"/>
        <rFont val="Times New Roman"/>
        <family val="1"/>
      </rPr>
      <t>Risk indicators are given equal weight within each source of internal systemic risk.</t>
    </r>
  </si>
  <si>
    <t>You are given the following information for this line of business:</t>
  </si>
  <si>
    <r>
      <t>·</t>
    </r>
    <r>
      <rPr>
        <sz val="7"/>
        <color theme="8" tint="-0.499984740745262"/>
        <rFont val="Times New Roman"/>
        <family val="1"/>
      </rPr>
      <t xml:space="preserve">       </t>
    </r>
    <r>
      <rPr>
        <sz val="12"/>
        <color theme="8" tint="-0.499984740745262"/>
        <rFont val="Times New Roman"/>
        <family val="1"/>
      </rPr>
      <t>Actuaries meet regularly with the relevant managers to discuss business and claim process changes.</t>
    </r>
  </si>
  <si>
    <r>
      <t>·</t>
    </r>
    <r>
      <rPr>
        <sz val="7"/>
        <color theme="8" tint="-0.499984740745262"/>
        <rFont val="Times New Roman"/>
        <family val="1"/>
      </rPr>
      <t xml:space="preserve">       </t>
    </r>
    <r>
      <rPr>
        <sz val="12"/>
        <color theme="8" tint="-0.499984740745262"/>
        <rFont val="Times New Roman"/>
        <family val="1"/>
      </rPr>
      <t>Claim level data is available to analyze key predictors.</t>
    </r>
  </si>
  <si>
    <t>Risk Source</t>
  </si>
  <si>
    <t>Risk Indicator</t>
  </si>
  <si>
    <t>Score
(1 or 5)</t>
  </si>
  <si>
    <t>Reason for receiving the score</t>
  </si>
  <si>
    <t>Weight</t>
  </si>
  <si>
    <t>Parameter selection error</t>
  </si>
  <si>
    <t>Specification 
error</t>
  </si>
  <si>
    <t>Data error</t>
  </si>
  <si>
    <t>Answer in the space indicated below.</t>
  </si>
  <si>
    <t>You are provided with the following CoV scale:</t>
  </si>
  <si>
    <t>Score from balanced scorecard assessment</t>
  </si>
  <si>
    <t>1.0-2.0</t>
  </si>
  <si>
    <t>2.0-3.0</t>
  </si>
  <si>
    <t>3.0-4.0</t>
  </si>
  <si>
    <t>4.0-5.0</t>
  </si>
  <si>
    <t>Internal Systemic Risk CoV</t>
  </si>
  <si>
    <r>
      <t>(</t>
    </r>
    <r>
      <rPr>
        <i/>
        <sz val="12"/>
        <color theme="8" tint="-0.499984740745262"/>
        <rFont val="Times New Roman"/>
        <family val="1"/>
      </rPr>
      <t>0.5 points</t>
    </r>
    <r>
      <rPr>
        <sz val="12"/>
        <color theme="8" tint="-0.499984740745262"/>
        <rFont val="Times New Roman"/>
        <family val="1"/>
      </rPr>
      <t>)  Select the internal systemic risk CoV using the completed internal systemic risk balanced scorecard from part (b).</t>
    </r>
  </si>
  <si>
    <r>
      <t>(</t>
    </r>
    <r>
      <rPr>
        <i/>
        <sz val="12"/>
        <color theme="8" tint="-0.499984740745262"/>
        <rFont val="Times New Roman"/>
        <family val="1"/>
      </rPr>
      <t>4 points</t>
    </r>
    <r>
      <rPr>
        <sz val="12"/>
        <color theme="8" tint="-0.499984740745262"/>
        <rFont val="Times New Roman"/>
        <family val="1"/>
      </rPr>
      <t xml:space="preserve">)   </t>
    </r>
  </si>
  <si>
    <r>
      <t>(</t>
    </r>
    <r>
      <rPr>
        <i/>
        <sz val="12"/>
        <color theme="8" tint="-0.499984740745262"/>
        <rFont val="Times New Roman"/>
        <family val="1"/>
      </rPr>
      <t>0.5 points</t>
    </r>
    <r>
      <rPr>
        <sz val="12"/>
        <color theme="8" tint="-0.499984740745262"/>
        <rFont val="Times New Roman"/>
        <family val="1"/>
      </rPr>
      <t>)  Explain why the “10% - 10% rule” is often not considered appropriate for determining the existence of sufficient risk transfer in a reinsurance agreement.</t>
    </r>
  </si>
  <si>
    <r>
      <t>(</t>
    </r>
    <r>
      <rPr>
        <i/>
        <sz val="12"/>
        <color theme="8" tint="-0.499984740745262"/>
        <rFont val="Times New Roman"/>
        <family val="1"/>
      </rPr>
      <t>1 point</t>
    </r>
    <r>
      <rPr>
        <sz val="12"/>
        <color theme="8" tint="-0.499984740745262"/>
        <rFont val="Times New Roman"/>
        <family val="1"/>
      </rPr>
      <t>)  Define the expected reinsurer deficit (ERD) metric as used for determining the existence of sufficient risk transfer in a reinsurance agreement.</t>
    </r>
  </si>
  <si>
    <t>You are given the following information regarding an annual aggregate excess of loss reinsurance agreement for UVW Insurance by X-Re:</t>
  </si>
  <si>
    <r>
      <t>·</t>
    </r>
    <r>
      <rPr>
        <sz val="7"/>
        <color theme="8" tint="-0.499984740745262"/>
        <rFont val="Times New Roman"/>
        <family val="1"/>
      </rPr>
      <t xml:space="preserve">       </t>
    </r>
    <r>
      <rPr>
        <sz val="12"/>
        <color theme="8" tint="-0.499984740745262"/>
        <rFont val="Times New Roman"/>
        <family val="1"/>
      </rPr>
      <t>The aggregate excess loss layer is 800 million excess of 200 million.</t>
    </r>
  </si>
  <si>
    <r>
      <t>·</t>
    </r>
    <r>
      <rPr>
        <sz val="7"/>
        <color theme="8" tint="-0.499984740745262"/>
        <rFont val="Times New Roman"/>
        <family val="1"/>
      </rPr>
      <t xml:space="preserve">       </t>
    </r>
    <r>
      <rPr>
        <sz val="12"/>
        <color theme="8" tint="-0.499984740745262"/>
        <rFont val="Times New Roman"/>
        <family val="1"/>
      </rPr>
      <t>The annual after-tax investment yield is 3.5%.</t>
    </r>
  </si>
  <si>
    <r>
      <t>·</t>
    </r>
    <r>
      <rPr>
        <sz val="7"/>
        <color theme="8" tint="-0.499984740745262"/>
        <rFont val="Times New Roman"/>
        <family val="1"/>
      </rPr>
      <t xml:space="preserve">       </t>
    </r>
    <r>
      <rPr>
        <sz val="12"/>
        <color theme="8" tint="-0.499984740745262"/>
        <rFont val="Times New Roman"/>
        <family val="1"/>
      </rPr>
      <t>Reinsured losses are assumed to be settled two years after expiration of the agreement.</t>
    </r>
  </si>
  <si>
    <t>excess</t>
  </si>
  <si>
    <t>Layer</t>
  </si>
  <si>
    <t>Yield</t>
  </si>
  <si>
    <t>Settlement</t>
  </si>
  <si>
    <t>UVW Direct Losses (millions)</t>
  </si>
  <si>
    <t xml:space="preserve">The reinsurance premium paid by UVW to X-Re results in an ERD of 5%. </t>
  </si>
  <si>
    <r>
      <t>(</t>
    </r>
    <r>
      <rPr>
        <i/>
        <sz val="12"/>
        <color theme="8" tint="-0.499984740745262"/>
        <rFont val="Times New Roman"/>
        <family val="1"/>
      </rPr>
      <t>1 point</t>
    </r>
    <r>
      <rPr>
        <sz val="12"/>
        <color theme="8" tint="-0.499984740745262"/>
        <rFont val="Times New Roman"/>
        <family val="1"/>
      </rPr>
      <t>)  Explain why UVW would likely not need to test for risk transfer with respect to this reinsurance agreement.</t>
    </r>
  </si>
  <si>
    <t>Reported Claims (000) at 12/31/2022</t>
  </si>
  <si>
    <t>Estimated CDF</t>
  </si>
  <si>
    <t>250,000 to Unlimited</t>
  </si>
  <si>
    <t>750,000 to Unlimited</t>
  </si>
  <si>
    <t>Total 
Limits</t>
  </si>
  <si>
    <t>750,000 
Limits</t>
  </si>
  <si>
    <t>250,000 
Limits</t>
  </si>
  <si>
    <t>Accident Year 
(AY)</t>
  </si>
  <si>
    <t>There is no development beyond 84 months.</t>
  </si>
  <si>
    <r>
      <t>(</t>
    </r>
    <r>
      <rPr>
        <i/>
        <sz val="12"/>
        <color theme="8" tint="-0.499984740745262"/>
        <rFont val="Times New Roman"/>
        <family val="1"/>
      </rPr>
      <t>1.5 points</t>
    </r>
    <r>
      <rPr>
        <sz val="12"/>
        <color theme="8" tint="-0.499984740745262"/>
        <rFont val="Times New Roman"/>
        <family val="1"/>
      </rPr>
      <t>)  Calculate total IBNR for the layer as of December 31, 2022 using Siewert's formula.</t>
    </r>
  </si>
  <si>
    <r>
      <t>(</t>
    </r>
    <r>
      <rPr>
        <i/>
        <sz val="12"/>
        <color theme="8" tint="-0.499984740745262"/>
        <rFont val="Times New Roman"/>
        <family val="1"/>
      </rPr>
      <t>1 point</t>
    </r>
    <r>
      <rPr>
        <sz val="12"/>
        <color theme="8" tint="-0.499984740745262"/>
        <rFont val="Times New Roman"/>
        <family val="1"/>
      </rPr>
      <t>)  Describe a peculiarity with the CDFs derived from Siewert’s formula in part (a).</t>
    </r>
  </si>
  <si>
    <r>
      <t>·</t>
    </r>
    <r>
      <rPr>
        <sz val="7"/>
        <color theme="8" tint="-0.499984740745262"/>
        <rFont val="Times New Roman"/>
        <family val="1"/>
      </rPr>
      <t xml:space="preserve">       </t>
    </r>
    <r>
      <rPr>
        <sz val="12"/>
        <color theme="8" tint="-0.499984740745262"/>
        <rFont val="Times New Roman"/>
        <family val="1"/>
      </rPr>
      <t>Ultimate claims at 250,000 limits for AY 2022 using actual development factors are 5,019,000.</t>
    </r>
  </si>
  <si>
    <r>
      <t>·</t>
    </r>
    <r>
      <rPr>
        <sz val="7"/>
        <color theme="8" tint="-0.499984740745262"/>
        <rFont val="Times New Roman"/>
        <family val="1"/>
      </rPr>
      <t xml:space="preserve">       </t>
    </r>
    <r>
      <rPr>
        <sz val="12"/>
        <color theme="8" tint="-0.499984740745262"/>
        <rFont val="Times New Roman"/>
        <family val="1"/>
      </rPr>
      <t>The estimated ILF at 750,000 relative to 250,000 at the January 1, 2020 cost level is 1.19.</t>
    </r>
  </si>
  <si>
    <r>
      <t>·</t>
    </r>
    <r>
      <rPr>
        <sz val="7"/>
        <color theme="8" tint="-0.499984740745262"/>
        <rFont val="Times New Roman"/>
        <family val="1"/>
      </rPr>
      <t xml:space="preserve">       </t>
    </r>
    <r>
      <rPr>
        <sz val="12"/>
        <color theme="8" tint="-0.499984740745262"/>
        <rFont val="Times New Roman"/>
        <family val="1"/>
      </rPr>
      <t>The selected annual trend factor for a 750,000 limit is 2.2%.</t>
    </r>
  </si>
  <si>
    <r>
      <t>·</t>
    </r>
    <r>
      <rPr>
        <sz val="7"/>
        <color theme="8" tint="-0.499984740745262"/>
        <rFont val="Times New Roman"/>
        <family val="1"/>
      </rPr>
      <t xml:space="preserve">       </t>
    </r>
    <r>
      <rPr>
        <sz val="12"/>
        <color theme="8" tint="-0.499984740745262"/>
        <rFont val="Times New Roman"/>
        <family val="1"/>
      </rPr>
      <t>The selected annual trend factor for a 250,000 limit is 1.0%.</t>
    </r>
  </si>
  <si>
    <t>Ultimate at 250k limit</t>
  </si>
  <si>
    <t>ILF 750k to 250k at 1/1/2020</t>
  </si>
  <si>
    <t>Annual trend factor for 750k limit</t>
  </si>
  <si>
    <t>Annual trend factor for 250k limit</t>
  </si>
  <si>
    <r>
      <t>(</t>
    </r>
    <r>
      <rPr>
        <i/>
        <sz val="12"/>
        <color theme="8" tint="-0.499984740745262"/>
        <rFont val="Times New Roman"/>
        <family val="1"/>
      </rPr>
      <t>1.5 points</t>
    </r>
    <r>
      <rPr>
        <sz val="12"/>
        <color theme="8" tint="-0.499984740745262"/>
        <rFont val="Times New Roman"/>
        <family val="1"/>
      </rPr>
      <t>)  Calculate the layer IBNR for AY 2022 as of December 31, 2022 using the ILF method.</t>
    </r>
  </si>
  <si>
    <r>
      <t>(</t>
    </r>
    <r>
      <rPr>
        <i/>
        <sz val="12"/>
        <color theme="8" tint="-0.499984740745262"/>
        <rFont val="Times New Roman"/>
        <family val="1"/>
      </rPr>
      <t>0.5 points</t>
    </r>
    <r>
      <rPr>
        <sz val="12"/>
        <color theme="8" tint="-0.499984740745262"/>
        <rFont val="Times New Roman"/>
        <family val="1"/>
      </rPr>
      <t>)  Identify two advantages of claims-made coverage.</t>
    </r>
  </si>
  <si>
    <r>
      <t>(</t>
    </r>
    <r>
      <rPr>
        <i/>
        <sz val="12"/>
        <color theme="8" tint="-0.499984740745262"/>
        <rFont val="Times New Roman"/>
        <family val="1"/>
      </rPr>
      <t>0.5 points</t>
    </r>
    <r>
      <rPr>
        <sz val="12"/>
        <color theme="8" tint="-0.499984740745262"/>
        <rFont val="Times New Roman"/>
        <family val="1"/>
      </rPr>
      <t>)  Identify two advantages of occurrence coverage.</t>
    </r>
  </si>
  <si>
    <t>You are provided with the following historical information for the association:</t>
  </si>
  <si>
    <t>from accident year lag 0</t>
  </si>
  <si>
    <t>from accident year lag 1</t>
  </si>
  <si>
    <t>from accident year lag 2</t>
  </si>
  <si>
    <t>from accident year lag 3</t>
  </si>
  <si>
    <r>
      <t>·</t>
    </r>
    <r>
      <rPr>
        <sz val="7"/>
        <color theme="8" tint="-0.499984740745262"/>
        <rFont val="Times New Roman"/>
        <family val="1"/>
      </rPr>
      <t xml:space="preserve">       </t>
    </r>
    <r>
      <rPr>
        <sz val="12"/>
        <color theme="8" tint="-0.499984740745262"/>
        <rFont val="Times New Roman"/>
        <family val="1"/>
      </rPr>
      <t>Report year 2021 ultimate claims are comprised of the following:</t>
    </r>
  </si>
  <si>
    <r>
      <t>·</t>
    </r>
    <r>
      <rPr>
        <sz val="7"/>
        <color theme="8" tint="-0.499984740745262"/>
        <rFont val="Times New Roman"/>
        <family val="1"/>
      </rPr>
      <t xml:space="preserve">       </t>
    </r>
    <r>
      <rPr>
        <sz val="12"/>
        <color theme="8" tint="-0.499984740745262"/>
        <rFont val="Times New Roman"/>
        <family val="1"/>
      </rPr>
      <t>The annual claim trend is 8.5%.</t>
    </r>
  </si>
  <si>
    <t>Trend</t>
  </si>
  <si>
    <r>
      <t>(</t>
    </r>
    <r>
      <rPr>
        <i/>
        <sz val="12"/>
        <color theme="8" tint="-0.499984740745262"/>
        <rFont val="Times New Roman"/>
        <family val="1"/>
      </rPr>
      <t>1 point</t>
    </r>
    <r>
      <rPr>
        <sz val="12"/>
        <color theme="8" tint="-0.499984740745262"/>
        <rFont val="Times New Roman"/>
        <family val="1"/>
      </rPr>
      <t>)  Compare the size of expected ultimate claims for report year 2024 to expected ultimate claims for accident year 2024.</t>
    </r>
  </si>
  <si>
    <r>
      <t>(</t>
    </r>
    <r>
      <rPr>
        <i/>
        <sz val="12"/>
        <color theme="8" tint="-0.499984740745262"/>
        <rFont val="Times New Roman"/>
        <family val="1"/>
      </rPr>
      <t>1 point</t>
    </r>
    <r>
      <rPr>
        <sz val="12"/>
        <color theme="8" tint="-0.499984740745262"/>
        <rFont val="Times New Roman"/>
        <family val="1"/>
      </rPr>
      <t>)  Explain why members with claims-made policies for prior years will have a coverage gap if they decide to get coverage with the association on January 1, 2024.</t>
    </r>
  </si>
  <si>
    <r>
      <t>(</t>
    </r>
    <r>
      <rPr>
        <i/>
        <sz val="12"/>
        <color theme="8" tint="-0.499984740745262"/>
        <rFont val="Times New Roman"/>
        <family val="1"/>
      </rPr>
      <t>3 points</t>
    </r>
    <r>
      <rPr>
        <sz val="12"/>
        <color theme="8" tint="-0.499984740745262"/>
        <rFont val="Times New Roman"/>
        <family val="1"/>
      </rPr>
      <t>)</t>
    </r>
  </si>
  <si>
    <r>
      <t>(</t>
    </r>
    <r>
      <rPr>
        <i/>
        <sz val="12"/>
        <color theme="8" tint="-0.499984740745262"/>
        <rFont val="Times New Roman"/>
        <family val="1"/>
      </rPr>
      <t>1.5 points</t>
    </r>
    <r>
      <rPr>
        <sz val="12"/>
        <color theme="8" tint="-0.499984740745262"/>
        <rFont val="Times New Roman"/>
        <family val="1"/>
      </rPr>
      <t>)  Explain how insurance policy deductibles assist in reducing both moral and morale hazard.</t>
    </r>
  </si>
  <si>
    <t>(i)            Franchise deductible</t>
  </si>
  <si>
    <t>(ii)           Disappearing deductible</t>
  </si>
  <si>
    <t>Policy</t>
  </si>
  <si>
    <t>Straight Deductible</t>
  </si>
  <si>
    <t>Coinsurance Requirement</t>
  </si>
  <si>
    <t>85% of property value</t>
  </si>
  <si>
    <t>100% of property value</t>
  </si>
  <si>
    <t>None</t>
  </si>
  <si>
    <t>90% of property value</t>
  </si>
  <si>
    <t>Property 
Value</t>
  </si>
  <si>
    <t>Insured 
Limit</t>
  </si>
  <si>
    <t xml:space="preserve">The policy terms are applied in the following order: </t>
  </si>
  <si>
    <r>
      <t>·</t>
    </r>
    <r>
      <rPr>
        <sz val="7"/>
        <color theme="8" tint="-0.499984740745262"/>
        <rFont val="Times New Roman"/>
        <family val="1"/>
      </rPr>
      <t xml:space="preserve">       </t>
    </r>
    <r>
      <rPr>
        <sz val="12"/>
        <color theme="8" tint="-0.499984740745262"/>
        <rFont val="Times New Roman"/>
        <family val="1"/>
      </rPr>
      <t>coinsurance requirement</t>
    </r>
  </si>
  <si>
    <r>
      <t>·</t>
    </r>
    <r>
      <rPr>
        <sz val="7"/>
        <color theme="8" tint="-0.499984740745262"/>
        <rFont val="Times New Roman"/>
        <family val="1"/>
      </rPr>
      <t xml:space="preserve">       </t>
    </r>
    <r>
      <rPr>
        <sz val="12"/>
        <color theme="8" tint="-0.499984740745262"/>
        <rFont val="Times New Roman"/>
        <family val="1"/>
      </rPr>
      <t>limit</t>
    </r>
  </si>
  <si>
    <r>
      <t>·</t>
    </r>
    <r>
      <rPr>
        <sz val="7"/>
        <color theme="8" tint="-0.499984740745262"/>
        <rFont val="Times New Roman"/>
        <family val="1"/>
      </rPr>
      <t xml:space="preserve">       </t>
    </r>
    <r>
      <rPr>
        <sz val="12"/>
        <color theme="8" tint="-0.499984740745262"/>
        <rFont val="Times New Roman"/>
        <family val="1"/>
      </rPr>
      <t>deductible</t>
    </r>
  </si>
  <si>
    <t>(i)            3,500</t>
  </si>
  <si>
    <t>(ii)           350,000</t>
  </si>
  <si>
    <t>Loss Size (billions)</t>
  </si>
  <si>
    <t>Loss sizes are independent of one another and independent of the number of losses.</t>
  </si>
  <si>
    <r>
      <t>(</t>
    </r>
    <r>
      <rPr>
        <i/>
        <sz val="12"/>
        <color theme="8" tint="-0.499984740745262"/>
        <rFont val="Times New Roman"/>
        <family val="1"/>
      </rPr>
      <t>1.5 points</t>
    </r>
    <r>
      <rPr>
        <sz val="12"/>
        <color theme="8" tint="-0.499984740745262"/>
        <rFont val="Times New Roman"/>
        <family val="1"/>
      </rPr>
      <t>)  Demonstrate that the mean and coefficient of variation of aggregate losses are 2 billion and 1.118, respectively.</t>
    </r>
  </si>
  <si>
    <r>
      <t>(</t>
    </r>
    <r>
      <rPr>
        <i/>
        <sz val="12"/>
        <color theme="8" tint="-0.499984740745262"/>
        <rFont val="Times New Roman"/>
        <family val="1"/>
      </rPr>
      <t>3 points</t>
    </r>
    <r>
      <rPr>
        <sz val="12"/>
        <color theme="8" tint="-0.499984740745262"/>
        <rFont val="Times New Roman"/>
        <family val="1"/>
      </rPr>
      <t>)  Complete the following aggregate loss probability table:</t>
    </r>
  </si>
  <si>
    <t>Aggregate Losses 
(billion)</t>
  </si>
  <si>
    <t>You decide to approximate aggregate losses with a lognormal distribution.</t>
  </si>
  <si>
    <r>
      <t>(</t>
    </r>
    <r>
      <rPr>
        <i/>
        <sz val="12"/>
        <color theme="8" tint="-0.499984740745262"/>
        <rFont val="Times New Roman"/>
        <family val="1"/>
      </rPr>
      <t>1.5 points</t>
    </r>
    <r>
      <rPr>
        <sz val="12"/>
        <color theme="8" tint="-0.499984740745262"/>
        <rFont val="Times New Roman"/>
        <family val="1"/>
      </rPr>
      <t xml:space="preserve">)  Calculate the method of moments estimates for </t>
    </r>
    <r>
      <rPr>
        <i/>
        <sz val="12"/>
        <color theme="8" tint="-0.499984740745262"/>
        <rFont val="Times New Roman"/>
        <family val="1"/>
      </rPr>
      <t xml:space="preserve">μ </t>
    </r>
    <r>
      <rPr>
        <sz val="12"/>
        <color theme="8" tint="-0.499984740745262"/>
        <rFont val="Times New Roman"/>
        <family val="1"/>
      </rPr>
      <t xml:space="preserve">and </t>
    </r>
    <r>
      <rPr>
        <i/>
        <sz val="12"/>
        <color theme="8" tint="-0.499984740745262"/>
        <rFont val="Times New Roman"/>
        <family val="1"/>
      </rPr>
      <t>σ</t>
    </r>
    <r>
      <rPr>
        <vertAlign val="superscript"/>
        <sz val="12"/>
        <color theme="8" tint="-0.499984740745262"/>
        <rFont val="Times New Roman"/>
        <family val="1"/>
      </rPr>
      <t>2</t>
    </r>
    <r>
      <rPr>
        <sz val="12"/>
        <color theme="8" tint="-0.499984740745262"/>
        <rFont val="Times New Roman"/>
        <family val="1"/>
      </rPr>
      <t>.</t>
    </r>
  </si>
  <si>
    <t>Loss trend</t>
  </si>
  <si>
    <r>
      <t xml:space="preserve">MLE of </t>
    </r>
    <r>
      <rPr>
        <i/>
        <sz val="12"/>
        <color theme="8" tint="-0.499984740745262"/>
        <rFont val="Times New Roman"/>
        <family val="1"/>
      </rPr>
      <t>θ</t>
    </r>
    <r>
      <rPr>
        <sz val="12"/>
        <color theme="8" tint="-0.499984740745262"/>
        <rFont val="Times New Roman"/>
        <family val="1"/>
      </rPr>
      <t xml:space="preserve"> </t>
    </r>
  </si>
  <si>
    <r>
      <t>(</t>
    </r>
    <r>
      <rPr>
        <i/>
        <sz val="12"/>
        <color theme="8" tint="-0.499984740745262"/>
        <rFont val="Times New Roman"/>
        <family val="1"/>
      </rPr>
      <t>1.5 points</t>
    </r>
    <r>
      <rPr>
        <sz val="12"/>
        <color theme="8" tint="-0.499984740745262"/>
        <rFont val="Times New Roman"/>
        <family val="1"/>
      </rPr>
      <t>)  Calculate the renewal risk loads for each of the three accounts using the Marginal Variance method.</t>
    </r>
  </si>
  <si>
    <t>years after expiration of agreement</t>
  </si>
  <si>
    <t>You are given the following information for four property insurance policies:</t>
  </si>
  <si>
    <r>
      <t>(</t>
    </r>
    <r>
      <rPr>
        <i/>
        <sz val="12"/>
        <color theme="8" tint="-0.499984740745262"/>
        <rFont val="Times New Roman"/>
        <family val="1"/>
      </rPr>
      <t>1.5 points</t>
    </r>
    <r>
      <rPr>
        <sz val="12"/>
        <color theme="8" tint="-0.499984740745262"/>
        <rFont val="Times New Roman"/>
        <family val="1"/>
      </rPr>
      <t>)  Calculate the revised expected loss cost for each year in 2019-2022.</t>
    </r>
  </si>
  <si>
    <t>Ability to identify and use best predictors</t>
  </si>
  <si>
    <t>Best predictors are stable over time</t>
  </si>
  <si>
    <r>
      <t>(</t>
    </r>
    <r>
      <rPr>
        <i/>
        <sz val="12"/>
        <color theme="8" tint="-0.499984740745262"/>
        <rFont val="Times New Roman"/>
        <family val="1"/>
      </rPr>
      <t>6 points</t>
    </r>
    <r>
      <rPr>
        <sz val="12"/>
        <color theme="8" tint="-0.499984740745262"/>
        <rFont val="Times New Roman"/>
        <family val="1"/>
      </rPr>
      <t>)  You are given the following data extracted from a triangle of cumulative paid losses:</t>
    </r>
  </si>
  <si>
    <r>
      <t>·</t>
    </r>
    <r>
      <rPr>
        <sz val="7"/>
        <color theme="8" tint="-0.499984740745262"/>
        <rFont val="Times New Roman"/>
        <family val="1"/>
      </rPr>
      <t xml:space="preserve">       </t>
    </r>
    <r>
      <rPr>
        <sz val="12"/>
        <color theme="8" tint="-0.499984740745262"/>
        <rFont val="Times New Roman"/>
        <family val="1"/>
      </rPr>
      <t>The required return on marginal surplus is 10% and the z-score is 1.5.</t>
    </r>
  </si>
  <si>
    <t>z-score</t>
  </si>
  <si>
    <t>Return on marginal surplus</t>
  </si>
  <si>
    <r>
      <t>(</t>
    </r>
    <r>
      <rPr>
        <i/>
        <sz val="12"/>
        <color theme="8" tint="-0.499984740745262"/>
        <rFont val="Times New Roman"/>
        <family val="1"/>
      </rPr>
      <t>4 points</t>
    </r>
    <r>
      <rPr>
        <sz val="12"/>
        <color theme="8" tint="-0.499984740745262"/>
        <rFont val="Times New Roman"/>
        <family val="1"/>
      </rPr>
      <t>)  You are given the following information for a general insurance company that writes retrospectively rated policies:</t>
    </r>
  </si>
  <si>
    <t>Cumulative Expected Percentage of Loss Emerged</t>
  </si>
  <si>
    <t>Incremental Loss Capping Ratio</t>
  </si>
  <si>
    <r>
      <t>·</t>
    </r>
    <r>
      <rPr>
        <sz val="7"/>
        <color theme="8" tint="-0.499984740745262"/>
        <rFont val="Times New Roman"/>
        <family val="1"/>
      </rPr>
      <t xml:space="preserve">       </t>
    </r>
    <r>
      <rPr>
        <sz val="12"/>
        <color theme="8" tint="-0.499984740745262"/>
        <rFont val="Times New Roman"/>
        <family val="1"/>
      </rPr>
      <t xml:space="preserve">You assign a score of 1 </t>
    </r>
    <r>
      <rPr>
        <u/>
        <sz val="12"/>
        <color theme="8" tint="-0.499984740745262"/>
        <rFont val="Times New Roman"/>
        <family val="1"/>
      </rPr>
      <t>or</t>
    </r>
    <r>
      <rPr>
        <sz val="12"/>
        <color theme="8" tint="-0.499984740745262"/>
        <rFont val="Times New Roman"/>
        <family val="1"/>
      </rPr>
      <t xml:space="preserve"> 5 to each risk indicator.  A score of 1 represents poor practice, while a score of 5 represents good practice. </t>
    </r>
  </si>
  <si>
    <r>
      <t>·</t>
    </r>
    <r>
      <rPr>
        <sz val="7"/>
        <color theme="8" tint="-0.499984740745262"/>
        <rFont val="Times New Roman"/>
        <family val="1"/>
      </rPr>
      <t xml:space="preserve">       </t>
    </r>
    <r>
      <rPr>
        <sz val="12"/>
        <color theme="8" tint="-0.499984740745262"/>
        <rFont val="Times New Roman"/>
        <family val="1"/>
      </rPr>
      <t xml:space="preserve">Two different models were used to estimate the claim liabilities.  The first model has 8 predictors and produces a result of 12 million.  The second model has 6 predictors and produces a result of 23 million. </t>
    </r>
  </si>
  <si>
    <r>
      <t>·</t>
    </r>
    <r>
      <rPr>
        <sz val="7"/>
        <color theme="8" tint="-0.499984740745262"/>
        <rFont val="Times New Roman"/>
        <family val="1"/>
      </rPr>
      <t xml:space="preserve">       </t>
    </r>
    <r>
      <rPr>
        <sz val="12"/>
        <color theme="8" tint="-0.499984740745262"/>
        <rFont val="Times New Roman"/>
        <family val="1"/>
      </rPr>
      <t>The claims data used for modeling was reconciled to the general ledger.  There were no material differences.</t>
    </r>
  </si>
  <si>
    <r>
      <t>(</t>
    </r>
    <r>
      <rPr>
        <i/>
        <sz val="12"/>
        <color theme="8" tint="-0.499984740745262"/>
        <rFont val="Times New Roman"/>
        <family val="1"/>
      </rPr>
      <t>2.5 points</t>
    </r>
    <r>
      <rPr>
        <sz val="12"/>
        <color theme="8" tint="-0.499984740745262"/>
        <rFont val="Times New Roman"/>
        <family val="1"/>
      </rPr>
      <t>)  Complete the following internal systemic risk balanced scorecard:</t>
    </r>
  </si>
  <si>
    <r>
      <t>Severity Relativity (R</t>
    </r>
    <r>
      <rPr>
        <b/>
        <vertAlign val="subscript"/>
        <sz val="12"/>
        <color theme="8" tint="-0.499984740745262"/>
        <rFont val="Times New Roman"/>
        <family val="1"/>
      </rPr>
      <t>t</t>
    </r>
    <r>
      <rPr>
        <b/>
        <sz val="12"/>
        <color theme="8" tint="-0.499984740745262"/>
        <rFont val="Times New Roman"/>
        <family val="1"/>
      </rPr>
      <t>)</t>
    </r>
  </si>
  <si>
    <t>You are considering using the increased limit factor (ILF) method to estimate ultimate claims for the layer.  You have the following additional information:</t>
  </si>
  <si>
    <t xml:space="preserve">A regional association of professionals is considering a malpractice coverage program for its members.  The members were experiencing availability and affordability issues in the insurance market.  It is thought that better terms can be had in the market by negotiating as a group. </t>
  </si>
  <si>
    <t xml:space="preserve">All of the association members have been practicing for at least four years.  Some members have purchased claims-made coverage in the past, but premiums were considered too high. </t>
  </si>
  <si>
    <r>
      <t>(</t>
    </r>
    <r>
      <rPr>
        <i/>
        <sz val="12"/>
        <color theme="8" tint="-0.499984740745262"/>
        <rFont val="Times New Roman"/>
        <family val="1"/>
      </rPr>
      <t>1.5 points</t>
    </r>
    <r>
      <rPr>
        <sz val="12"/>
        <color theme="8" tint="-0.499984740745262"/>
        <rFont val="Times New Roman"/>
        <family val="1"/>
      </rPr>
      <t>)  Determine the total amount paid by the insurance company if the following loss amounts occurred on each of policies A to D:</t>
    </r>
  </si>
  <si>
    <r>
      <t>(</t>
    </r>
    <r>
      <rPr>
        <i/>
        <sz val="12"/>
        <color theme="8" tint="-0.499984740745262"/>
        <rFont val="Times New Roman"/>
        <family val="1"/>
      </rPr>
      <t>6 points</t>
    </r>
    <r>
      <rPr>
        <sz val="12"/>
        <color theme="8" tint="-0.499984740745262"/>
        <rFont val="Times New Roman"/>
        <family val="1"/>
      </rPr>
      <t>)  You are using a collective risk model to model catastrophe risks.  The annual number of catastrophe losses has a Poisson distribution with mean 1.  The loss size distribution for catastrophes is as follows:</t>
    </r>
  </si>
  <si>
    <r>
      <t>(</t>
    </r>
    <r>
      <rPr>
        <i/>
        <sz val="12"/>
        <color theme="8" tint="-0.499984740745262"/>
        <rFont val="Times New Roman"/>
        <family val="1"/>
      </rPr>
      <t>3 points</t>
    </r>
    <r>
      <rPr>
        <sz val="12"/>
        <color theme="8" tint="-0.499984740745262"/>
        <rFont val="Times New Roman"/>
        <family val="1"/>
      </rPr>
      <t>)  Calculate the annual experience rating loss cost for each year in 2019-2022.</t>
    </r>
  </si>
  <si>
    <t>Changing weather patterns are creating uncertainty in the projection of future losses.  To allow for this, the 2019-2022 losses are to be adjusted as follows:</t>
  </si>
  <si>
    <r>
      <t xml:space="preserve">MLE of </t>
    </r>
    <r>
      <rPr>
        <i/>
        <sz val="12"/>
        <color theme="8" tint="-0.499984740745262"/>
        <rFont val="Times New Roman"/>
        <family val="1"/>
      </rPr>
      <t>ω</t>
    </r>
    <r>
      <rPr>
        <sz val="13.2"/>
        <color theme="8" tint="-0.499984740745262"/>
        <rFont val="Times New Roman"/>
        <family val="1"/>
      </rPr>
      <t xml:space="preserve"> </t>
    </r>
  </si>
  <si>
    <r>
      <t xml:space="preserve">A likelihood ratio test indicates that </t>
    </r>
    <r>
      <rPr>
        <i/>
        <sz val="12"/>
        <color theme="8" tint="-0.499984740745262"/>
        <rFont val="Times New Roman"/>
        <family val="1"/>
      </rPr>
      <t>ω</t>
    </r>
    <r>
      <rPr>
        <sz val="12"/>
        <color theme="8" tint="-0.499984740745262"/>
        <rFont val="Times New Roman"/>
        <family val="1"/>
      </rPr>
      <t>=1 is a plausible value.  Using this value and re-estimating the other parameters leads to a significant reduction in the estimated scale factor.</t>
    </r>
  </si>
  <si>
    <r>
      <t>(</t>
    </r>
    <r>
      <rPr>
        <i/>
        <sz val="12"/>
        <color theme="8" tint="-0.499984740745262"/>
        <rFont val="Times New Roman"/>
        <family val="1"/>
      </rPr>
      <t>4 points</t>
    </r>
    <r>
      <rPr>
        <sz val="12"/>
        <color theme="8" tint="-0.499984740745262"/>
        <rFont val="Times New Roman"/>
        <family val="1"/>
      </rPr>
      <t>)  ABC Reinsurance Company has three property catastrophe accounts, X, Y and Z.</t>
    </r>
  </si>
  <si>
    <t>ABC is considering using the Marginal Variance method to allocate risk loads.  The risk load for the combined portfolio of the three accounts is the same as that calculated using the Marginal Surplus method.</t>
  </si>
  <si>
    <t>Completed 
Retro Adjustments 
as of 12/31/22</t>
  </si>
  <si>
    <t>Premium 
Booked from Prior 
Adjustment</t>
  </si>
  <si>
    <t>Losses 
Reported at 
Prior Retro 
Adjustment</t>
  </si>
  <si>
    <r>
      <t>·</t>
    </r>
    <r>
      <rPr>
        <sz val="7"/>
        <color theme="8" tint="-0.499984740745262"/>
        <rFont val="Times New Roman"/>
        <family val="1"/>
      </rPr>
      <t xml:space="preserve">       </t>
    </r>
    <r>
      <rPr>
        <sz val="12"/>
        <color theme="8" tint="-0.499984740745262"/>
        <rFont val="Times New Roman"/>
        <family val="1"/>
      </rPr>
      <t>The reinsurance with X-Re is for 85% of the aggregate loss layer (i.e., partcipation by UVW of 15% in the aggregate excess layer).</t>
    </r>
  </si>
  <si>
    <t>UVW participation</t>
  </si>
  <si>
    <r>
      <t>(</t>
    </r>
    <r>
      <rPr>
        <i/>
        <sz val="12"/>
        <color theme="8" tint="-0.499984740745262"/>
        <rFont val="Times New Roman"/>
        <family val="1"/>
      </rPr>
      <t>1.5 points</t>
    </r>
    <r>
      <rPr>
        <sz val="12"/>
        <color theme="8" tint="-0.499984740745262"/>
        <rFont val="Times New Roman"/>
        <family val="1"/>
      </rPr>
      <t>)  Determine the reinsurance premium.  [Using Excel’s Goal Seek function is an acceptable method for determining this amount.]</t>
    </r>
  </si>
  <si>
    <r>
      <t>(</t>
    </r>
    <r>
      <rPr>
        <i/>
        <sz val="12"/>
        <color theme="8" tint="-0.499984740745262"/>
        <rFont val="Times New Roman"/>
        <family val="1"/>
      </rPr>
      <t>4 points</t>
    </r>
    <r>
      <rPr>
        <sz val="12"/>
        <color theme="8" tint="-0.499984740745262"/>
        <rFont val="Times New Roman"/>
        <family val="1"/>
      </rPr>
      <t>)  You are estimating ultimate claims for the layer of 500,000 excess of 250,000.  You are given the following information including estimated cumulative development factors (CDFs):</t>
    </r>
  </si>
  <si>
    <t xml:space="preserve">The association has decided upon obtaining occurrence coverage policies for its members.  All members that obtained claims-made coverage policies had effective dates of January 1 with a policy term of one year. </t>
  </si>
  <si>
    <r>
      <t>(</t>
    </r>
    <r>
      <rPr>
        <i/>
        <sz val="12"/>
        <color theme="8" tint="-0.499984740745262"/>
        <rFont val="Times New Roman"/>
        <family val="1"/>
      </rPr>
      <t>1 point</t>
    </r>
    <r>
      <rPr>
        <sz val="12"/>
        <color theme="8" tint="-0.499984740745262"/>
        <rFont val="Times New Roman"/>
        <family val="1"/>
      </rPr>
      <t>)  Demonstrate that the renewal risk loads for accounts X, Y and Z, as calculated in both parts (a) and (b), are not renewal additive.</t>
    </r>
  </si>
  <si>
    <t>Premium 
Booked 
as of 
12/31/22</t>
  </si>
  <si>
    <t>Loss</t>
  </si>
  <si>
    <t>Total</t>
  </si>
  <si>
    <t>Trend Factor</t>
  </si>
  <si>
    <t>Trended Loss</t>
  </si>
  <si>
    <t>Trended</t>
  </si>
  <si>
    <t>Layer Loss</t>
  </si>
  <si>
    <t>Layer LDF</t>
  </si>
  <si>
    <t>Trended Ultimate</t>
  </si>
  <si>
    <t>Year</t>
  </si>
  <si>
    <t>Trended Ult</t>
  </si>
  <si>
    <t>Loss Cost</t>
  </si>
  <si>
    <t xml:space="preserve">Trended Loss </t>
  </si>
  <si>
    <t>Increased</t>
  </si>
  <si>
    <t>Trended Ult.</t>
  </si>
  <si>
    <t>(10% increase)</t>
  </si>
  <si>
    <t>(20% increase)</t>
  </si>
  <si>
    <t xml:space="preserve">Revised </t>
  </si>
  <si>
    <t>Subject</t>
  </si>
  <si>
    <t>Premium</t>
  </si>
  <si>
    <t>Developed</t>
  </si>
  <si>
    <t>Factor to Ult.</t>
  </si>
  <si>
    <t>Months</t>
  </si>
  <si>
    <t>•	The Cape Cod method requires that fewer parameters be estimated.
•	The Cape Cod method uses the information in the exposure base.</t>
  </si>
  <si>
    <t>ULT MLE by AY</t>
  </si>
  <si>
    <t>Expected increment</t>
  </si>
  <si>
    <t>sigma-squared</t>
  </si>
  <si>
    <t>estimate of scale factor</t>
  </si>
  <si>
    <t>TOTAL</t>
  </si>
  <si>
    <t>Ultimate</t>
  </si>
  <si>
    <t>AY Paid</t>
  </si>
  <si>
    <t>Reserve</t>
  </si>
  <si>
    <t>Process Standard Deviation</t>
  </si>
  <si>
    <t>The slight change in this parameter will lead to small changes in the MLEs of the other parameters. As a result, the numerator of the scale factor will be similar. However, the denominator will change from 4 to 5, leading to a significant reduction.</t>
  </si>
  <si>
    <t>Cumulative Loss</t>
  </si>
  <si>
    <t>Age-to-Age Factors</t>
  </si>
  <si>
    <t>Development Interval</t>
  </si>
  <si>
    <t>1-2</t>
  </si>
  <si>
    <t>2-3</t>
  </si>
  <si>
    <t>3-4</t>
  </si>
  <si>
    <t>4-5</t>
  </si>
  <si>
    <t>5-6</t>
  </si>
  <si>
    <t>6-7</t>
  </si>
  <si>
    <t>7-8</t>
  </si>
  <si>
    <t>Mack</t>
  </si>
  <si>
    <t>Unweighted</t>
  </si>
  <si>
    <t>Age-to-Ultimate Factors</t>
  </si>
  <si>
    <t>BF iterations</t>
  </si>
  <si>
    <t>f</t>
  </si>
  <si>
    <t>h</t>
  </si>
  <si>
    <t>(iv) BF Fitted</t>
  </si>
  <si>
    <t>SSE</t>
  </si>
  <si>
    <t>(iv) BF SSE</t>
  </si>
  <si>
    <t>(iii) Additive CL SSE</t>
  </si>
  <si>
    <t>Additive CL</t>
  </si>
  <si>
    <t>BF</t>
  </si>
  <si>
    <t>n</t>
  </si>
  <si>
    <t>p</t>
  </si>
  <si>
    <t>AIC</t>
  </si>
  <si>
    <t>The best model is the one with the lowest test statistic, AIC.</t>
  </si>
  <si>
    <t>This would be the BF method for this data set.</t>
  </si>
  <si>
    <t>Risk load multiplier for Marginal Surplus method</t>
  </si>
  <si>
    <t>CoV</t>
  </si>
  <si>
    <t>Exp. Losses</t>
  </si>
  <si>
    <t>Accounts</t>
  </si>
  <si>
    <t>SD</t>
  </si>
  <si>
    <t>Marginal SD</t>
  </si>
  <si>
    <t>Risk Load</t>
  </si>
  <si>
    <t>Combined</t>
  </si>
  <si>
    <t>Risk load multiplier for Marginal Variance method</t>
  </si>
  <si>
    <t>Variance</t>
  </si>
  <si>
    <t>Marginal Var.</t>
  </si>
  <si>
    <t>Marginal Surplus</t>
  </si>
  <si>
    <t>Method</t>
  </si>
  <si>
    <t>Sum over X Y Z</t>
  </si>
  <si>
    <t>Combined X Y Z</t>
  </si>
  <si>
    <t>(i)</t>
  </si>
  <si>
    <t>(ii)</t>
  </si>
  <si>
    <t>Risk Load (RL)</t>
  </si>
  <si>
    <t>RL</t>
  </si>
  <si>
    <t>Incremental EPLE</t>
  </si>
  <si>
    <t>EPLE = Expected Percentage of Loss Emerged</t>
  </si>
  <si>
    <t>PDLD1</t>
  </si>
  <si>
    <t>PDLD2</t>
  </si>
  <si>
    <t>PDLD3</t>
  </si>
  <si>
    <t>PDLD4</t>
  </si>
  <si>
    <t>CPDLD1</t>
  </si>
  <si>
    <t>CPDLD2</t>
  </si>
  <si>
    <t>CPDLD3</t>
  </si>
  <si>
    <t>CPDLD4</t>
  </si>
  <si>
    <t>Policy Year</t>
  </si>
  <si>
    <t>Expected Future Loss Emergence</t>
  </si>
  <si>
    <t>Estimated Future Premium</t>
  </si>
  <si>
    <t>Estimated Total Premium</t>
  </si>
  <si>
    <t>Premium Asset</t>
  </si>
  <si>
    <t>Retro Adj. Years</t>
  </si>
  <si>
    <t>•	It's difficult to separate the past correlation effects between independent risk and systemic risk.
•	Correlations associated with external systemic risk sources may differ materially from correlations associated with past episodes of systemic risk.</t>
  </si>
  <si>
    <t>Range of results produced by models</t>
  </si>
  <si>
    <t>Ability to model using more granular data</t>
  </si>
  <si>
    <t>Timeliness, consistency and reliability of information from business</t>
  </si>
  <si>
    <t>Data subject to appropriate reconciliation</t>
  </si>
  <si>
    <t>Large variance between the two model results suggests great uncertainty in our ability to model. More modeling approaches may need to be considered.</t>
  </si>
  <si>
    <t>Claim level data is available and can help better understand key predictors.</t>
  </si>
  <si>
    <t>Regular communication between actuaries and the portfolio managers can ensure timeliness and reliability of information.</t>
  </si>
  <si>
    <t>The data is reconciled against another source with differences well understood.</t>
  </si>
  <si>
    <t>Weighted average score</t>
  </si>
  <si>
    <t>from table above for a score of 3.6 from the balanced scorecard assessment</t>
  </si>
  <si>
    <t>It does not capture risk transfer in many valid types of reinsurance, such as those with a high loss amount offsetting a low probability of loss.</t>
  </si>
  <si>
    <t xml:space="preserve">Testing for risk transfer is not required when risk transfer is self-evident. Risk transfer in most excess of loss reinsurance contracts is self-evident. 
This aggregate excess of loss reinsurance agreement is priced such that it is exposed to significant risk. </t>
  </si>
  <si>
    <t>Reinsured Amount</t>
  </si>
  <si>
    <t>Present Value of Reinsurer Deficit</t>
  </si>
  <si>
    <t>Probability of Reinsurer Deficit</t>
  </si>
  <si>
    <t>P</t>
  </si>
  <si>
    <t>T</t>
  </si>
  <si>
    <t>ERD -5%</t>
  </si>
  <si>
    <t>$C$56</t>
  </si>
  <si>
    <t>To value</t>
  </si>
  <si>
    <t>By changing cell</t>
  </si>
  <si>
    <t>$C$52</t>
  </si>
  <si>
    <t xml:space="preserve">Set cell </t>
  </si>
  <si>
    <t>Used goal seek</t>
  </si>
  <si>
    <t>starting with 250 (note that any reasonable starting value is acceptable - this may result in a slightly different P)</t>
  </si>
  <si>
    <t>500,000 xs 250,000</t>
  </si>
  <si>
    <t>Projected Ultimate Claims (000)</t>
  </si>
  <si>
    <t>IBNR (000)</t>
  </si>
  <si>
    <t>Ultimate claims at 750,000 limits</t>
  </si>
  <si>
    <t>Ultimate claims for layer of 500,000 xs 250,000</t>
  </si>
  <si>
    <t>Residual trend for 750,000 limit</t>
  </si>
  <si>
    <t>Amounts in 000s</t>
  </si>
  <si>
    <t>Layer IBNR for AY 2022</t>
  </si>
  <si>
    <t>Trend Period</t>
  </si>
  <si>
    <t xml:space="preserve">From </t>
  </si>
  <si>
    <t>years</t>
  </si>
  <si>
    <t>• Greater opportunity for investment income.
• Less risk of coverage gap.</t>
  </si>
  <si>
    <t>Trend factor</t>
  </si>
  <si>
    <t>RY 2021</t>
  </si>
  <si>
    <t>RY 2022</t>
  </si>
  <si>
    <t>RY 2023</t>
  </si>
  <si>
    <t>RY 2024</t>
  </si>
  <si>
    <t>RY 2025</t>
  </si>
  <si>
    <t>RY 2026</t>
  </si>
  <si>
    <t>RY 2027</t>
  </si>
  <si>
    <t>AY Lag</t>
  </si>
  <si>
    <t xml:space="preserve">Report year (RY) claims by accident year (AY) lag </t>
  </si>
  <si>
    <t>Assume report year 2021 claims total is 100</t>
  </si>
  <si>
    <t>Claims</t>
  </si>
  <si>
    <t>AY 2024</t>
  </si>
  <si>
    <t>Moral hazard involves the character of the insured regarding the potential to gain from insurance. Morale hazard involves an insured's indifference to loss because they have insurance protection. A deductible shifts some of the burden from a loss to the insured. This will assist in reducing acts of both moral and morale hazard as there will not be full compensation for the loss.</t>
  </si>
  <si>
    <t>Coins Req.</t>
  </si>
  <si>
    <t>Coinsurance Penalty</t>
  </si>
  <si>
    <t>Insurance company paid after coinsurance, limit and deductible for loss amount:</t>
  </si>
  <si>
    <t>none</t>
  </si>
  <si>
    <t>x</t>
  </si>
  <si>
    <t>px^2</t>
  </si>
  <si>
    <t>px</t>
  </si>
  <si>
    <t xml:space="preserve">λ = </t>
  </si>
  <si>
    <t>CoV = coefficient of variation</t>
  </si>
  <si>
    <t>Aggregate total</t>
  </si>
  <si>
    <t>Mean</t>
  </si>
  <si>
    <t>μ</t>
  </si>
  <si>
    <r>
      <rPr>
        <i/>
        <sz val="11"/>
        <rFont val="Times New Roman"/>
        <family val="1"/>
      </rPr>
      <t>σ</t>
    </r>
    <r>
      <rPr>
        <vertAlign val="superscript"/>
        <sz val="11"/>
        <rFont val="Times New Roman"/>
        <family val="1"/>
      </rPr>
      <t>2</t>
    </r>
  </si>
  <si>
    <r>
      <t>ULT</t>
    </r>
    <r>
      <rPr>
        <b/>
        <i/>
        <vertAlign val="subscript"/>
        <sz val="12"/>
        <color theme="1"/>
        <rFont val="Times New Roman"/>
        <family val="1"/>
      </rPr>
      <t>2019</t>
    </r>
  </si>
  <si>
    <r>
      <t>ULT</t>
    </r>
    <r>
      <rPr>
        <b/>
        <i/>
        <vertAlign val="subscript"/>
        <sz val="12"/>
        <color theme="1"/>
        <rFont val="Times New Roman"/>
        <family val="1"/>
      </rPr>
      <t>2020</t>
    </r>
  </si>
  <si>
    <r>
      <t>ULT</t>
    </r>
    <r>
      <rPr>
        <b/>
        <i/>
        <vertAlign val="subscript"/>
        <sz val="12"/>
        <color theme="1"/>
        <rFont val="Times New Roman"/>
        <family val="1"/>
      </rPr>
      <t>2021</t>
    </r>
  </si>
  <si>
    <r>
      <t>ULT</t>
    </r>
    <r>
      <rPr>
        <b/>
        <i/>
        <vertAlign val="subscript"/>
        <sz val="12"/>
        <color theme="1"/>
        <rFont val="Times New Roman"/>
        <family val="1"/>
      </rPr>
      <t>2022</t>
    </r>
  </si>
  <si>
    <t>As such, they are both not renewal additive.</t>
  </si>
  <si>
    <t xml:space="preserve">The sum of the RLs equals 408 under the Marginal Surplus method and 637 under the Marginal Variance method.  </t>
  </si>
  <si>
    <t xml:space="preserve">Neither equals the RL for the combined total of all accounts. </t>
  </si>
  <si>
    <t>• Less uncertainty in pricing as ultimate amounts do not require pure IBNR. 
• Less effect on annual claim amounts due to sudden changes in either the trend or the reporting pattern.</t>
  </si>
  <si>
    <t>RY 2024 expected ultimate claims are</t>
  </si>
  <si>
    <t>of the AY 2024 expected ultimate claims.</t>
  </si>
  <si>
    <t xml:space="preserve">This is because they will lack coverage for claims incurred prior to January 1, 2024, but not yet reported. This would entail claims incurred in 2023 with accident year lags 1 to 3, claims incurred in 2022 with accident year lags 2 and 3, and claims incurred in 2021 with accident year lag 3. </t>
  </si>
  <si>
    <r>
      <t xml:space="preserve">x = loss size in billions (B), p = probability, </t>
    </r>
    <r>
      <rPr>
        <sz val="12"/>
        <color theme="1"/>
        <rFont val="Calibri"/>
        <family val="2"/>
      </rPr>
      <t>λ</t>
    </r>
    <r>
      <rPr>
        <sz val="12"/>
        <color theme="1"/>
        <rFont val="Times New Roman"/>
        <family val="1"/>
      </rPr>
      <t xml:space="preserve"> = Poisson mean for annual # of losses</t>
    </r>
  </si>
  <si>
    <t>G(at the end of the interval)</t>
  </si>
  <si>
    <t>G(at the start of the interval)</t>
  </si>
  <si>
    <t>(i) Mack CL Fitted</t>
  </si>
  <si>
    <t>(ii) Unweighted CL Fitted</t>
  </si>
  <si>
    <t>(iii) Additive CL Fitted</t>
  </si>
  <si>
    <t>(ii) Unweighted CL SSE</t>
  </si>
  <si>
    <t>(i) Mack CL SSE</t>
  </si>
  <si>
    <t>For the combined total of all accounts, the RL is 454 under both the Marginal Surplus and Marginal Variance methods.</t>
  </si>
  <si>
    <t xml:space="preserve">The ERD measure is derived from the probability distribution of net economic outcomes.  
ERD = pT/P where p = probability of net income loss, T = average severity of net economic loss when it occurs, and P = expected premium. </t>
  </si>
  <si>
    <t xml:space="preserve">ILF trended to 7/1/2022 </t>
  </si>
  <si>
    <t>The loss cost is increasing by accident year, so using the average would be inappropriate. There is a need to reevaluate the model.</t>
  </si>
  <si>
    <r>
      <t>(</t>
    </r>
    <r>
      <rPr>
        <i/>
        <sz val="12"/>
        <color theme="8" tint="-0.499984740745262"/>
        <rFont val="Times New Roman"/>
        <family val="1"/>
      </rPr>
      <t>1 point</t>
    </r>
    <r>
      <rPr>
        <sz val="12"/>
        <color theme="8" tint="-0.499984740745262"/>
        <rFont val="Times New Roman"/>
        <family val="1"/>
      </rPr>
      <t xml:space="preserve">)  </t>
    </r>
  </si>
  <si>
    <r>
      <t>(</t>
    </r>
    <r>
      <rPr>
        <i/>
        <sz val="12"/>
        <color theme="8" tint="-0.499984740745262"/>
        <rFont val="Times New Roman"/>
        <family val="1"/>
      </rPr>
      <t>1 point</t>
    </r>
    <r>
      <rPr>
        <sz val="12"/>
        <color theme="8" tint="-0.499984740745262"/>
        <rFont val="Times New Roman"/>
        <family val="1"/>
      </rPr>
      <t>)  Define the following terms:</t>
    </r>
  </si>
  <si>
    <t>1. Retro rating parameters are changing significantly over time.
2. Historical EPLEs are not indicative of current EPLEs.</t>
  </si>
  <si>
    <t>The estimated CDFs for 250,000 limits are higher than the CDFs for 750,000 limits for accident year 2021 and accident year 2022. It is unusual for lower limits to have a higher CDF.</t>
  </si>
  <si>
    <t>(i)  Franchise deductible –  the insurer pays the full amount of the loss if the covered loss exceeds the deductible amount; otherwise the insurer pays nothing.
(ii) Disappearing deductible – a combination of a straight deductible and a franchise deductible.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</si>
</sst>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_);_(* \(#,##0\);_(* &quot;-&quot;??_);_(@_)"/>
    <numFmt numFmtId="165" formatCode="0.0%"/>
    <numFmt numFmtId="166" formatCode="0.000"/>
    <numFmt numFmtId="167" formatCode="0.0"/>
    <numFmt numFmtId="168" formatCode="_(* #,##0.0000_);_(* \(#,##0.0000\);_(* &quot;-&quot;??_);_(@_)"/>
    <numFmt numFmtId="169" formatCode="0.0000%"/>
    <numFmt numFmtId="170" formatCode="_(* #,##0_);_(* \(#,##0\);_(* &quot;-&quot;????_);_(@_)"/>
    <numFmt numFmtId="171" formatCode="0.0000"/>
    <numFmt numFmtId="172" formatCode="0.0000000"/>
    <numFmt numFmtId="173" formatCode="0.00000"/>
    <numFmt numFmtId="174" formatCode="_(* #,##0.000_);_(* \(#,##0.000\);_(* &quot;-&quot;??_);_(@_)"/>
    <numFmt numFmtId="175" formatCode="#,##0.000"/>
    <numFmt numFmtId="176" formatCode="#,##0.0000"/>
    <numFmt numFmtId="177" formatCode="_(* #,##0.00000_);_(* \(#,##0.00000\);_(* &quot;-&quot;??_);_(@_)"/>
  </numFmts>
  <fonts count="40" x14ac:knownFonts="1">
    <font>
      <sz val="11"/>
      <color theme="1"/>
      <name val="Calibri"/>
      <family val="2"/>
      <scheme val="minor"/>
    </font>
    <font>
      <sz val="11"/>
      <color theme="1"/>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i/>
      <sz val="12"/>
      <color theme="8" tint="-0.499984740745262"/>
      <name val="Times New Roman"/>
      <family val="1"/>
    </font>
    <font>
      <b/>
      <sz val="12"/>
      <color theme="8" tint="-0.499984740745262"/>
      <name val="Times New Roman"/>
      <family val="1"/>
    </font>
    <font>
      <sz val="12"/>
      <color theme="8" tint="-0.499984740745262"/>
      <name val="Symbol"/>
      <family val="1"/>
      <charset val="2"/>
    </font>
    <font>
      <sz val="7"/>
      <color theme="8" tint="-0.499984740745262"/>
      <name val="Times New Roman"/>
      <family val="1"/>
    </font>
    <font>
      <sz val="12"/>
      <name val="Times New Roman"/>
      <family val="1"/>
    </font>
    <font>
      <sz val="11"/>
      <name val="Calibri"/>
      <family val="2"/>
      <scheme val="minor"/>
    </font>
    <font>
      <i/>
      <sz val="12"/>
      <name val="Times New Roman"/>
      <family val="1"/>
    </font>
    <font>
      <sz val="8"/>
      <name val="Calibri"/>
      <family val="2"/>
      <scheme val="minor"/>
    </font>
    <font>
      <b/>
      <sz val="12"/>
      <color theme="1"/>
      <name val="Times New Roman"/>
      <family val="1"/>
    </font>
    <font>
      <b/>
      <i/>
      <sz val="12"/>
      <color theme="4" tint="-0.499984740745262"/>
      <name val="Times New Roman"/>
      <family val="1"/>
    </font>
    <font>
      <sz val="11"/>
      <color theme="1"/>
      <name val="Times New Roman"/>
      <family val="1"/>
    </font>
    <font>
      <i/>
      <vertAlign val="superscript"/>
      <sz val="12"/>
      <color theme="8" tint="-0.499984740745262"/>
      <name val="Times New Roman"/>
      <family val="1"/>
    </font>
    <font>
      <u/>
      <sz val="12"/>
      <color theme="8" tint="-0.499984740745262"/>
      <name val="Times New Roman"/>
      <family val="1"/>
    </font>
    <font>
      <sz val="12"/>
      <color rgb="FF0070C0"/>
      <name val="Times New Roman"/>
      <family val="1"/>
    </font>
    <font>
      <sz val="13.2"/>
      <color theme="8" tint="-0.499984740745262"/>
      <name val="Times New Roman"/>
      <family val="1"/>
    </font>
    <font>
      <b/>
      <sz val="11"/>
      <color theme="8" tint="-0.499984740745262"/>
      <name val="Times New Roman"/>
      <family val="1"/>
    </font>
    <font>
      <sz val="11"/>
      <color theme="8" tint="-0.499984740745262"/>
      <name val="Times New Roman"/>
      <family val="1"/>
    </font>
    <font>
      <vertAlign val="superscript"/>
      <sz val="12"/>
      <color theme="8" tint="-0.499984740745262"/>
      <name val="Times New Roman"/>
      <family val="1"/>
    </font>
    <font>
      <b/>
      <vertAlign val="subscript"/>
      <sz val="12"/>
      <color theme="8" tint="-0.499984740745262"/>
      <name val="Times New Roman"/>
      <family val="1"/>
    </font>
    <font>
      <b/>
      <i/>
      <sz val="12"/>
      <color theme="1"/>
      <name val="Times New Roman"/>
      <family val="1"/>
    </font>
    <font>
      <i/>
      <sz val="11"/>
      <color theme="1"/>
      <name val="Times New Roman"/>
      <family val="1"/>
    </font>
    <font>
      <i/>
      <sz val="12"/>
      <color theme="4" tint="-0.249977111117893"/>
      <name val="Times New Roman"/>
      <family val="1"/>
    </font>
    <font>
      <i/>
      <sz val="12"/>
      <color theme="1"/>
      <name val="Times New Roman"/>
      <family val="1"/>
    </font>
    <font>
      <b/>
      <sz val="12"/>
      <name val="Times New Roman"/>
      <family val="1"/>
    </font>
    <font>
      <b/>
      <sz val="11"/>
      <name val="Times New Roman"/>
      <family val="1"/>
    </font>
    <font>
      <sz val="11"/>
      <name val="Times New Roman"/>
      <family val="1"/>
    </font>
    <font>
      <sz val="12"/>
      <color theme="1"/>
      <name val="Calibri"/>
      <family val="2"/>
    </font>
    <font>
      <i/>
      <sz val="11"/>
      <name val="Times New Roman"/>
      <family val="1"/>
    </font>
    <font>
      <vertAlign val="superscript"/>
      <sz val="11"/>
      <name val="Times New Roman"/>
      <family val="1"/>
    </font>
    <font>
      <sz val="12"/>
      <color rgb="FFFF0000"/>
      <name val="Times New Roman"/>
      <family val="1"/>
    </font>
    <font>
      <b/>
      <i/>
      <sz val="12"/>
      <color rgb="FFFF0000"/>
      <name val="Times New Roman"/>
      <family val="1"/>
    </font>
    <font>
      <i/>
      <sz val="12"/>
      <color rgb="FFFF0000"/>
      <name val="Times New Roman"/>
      <family val="1"/>
    </font>
    <font>
      <b/>
      <i/>
      <vertAlign val="subscript"/>
      <sz val="12"/>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gray0625">
        <bgColor theme="0" tint="-4.9989318521683403E-2"/>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87">
    <xf numFmtId="0" fontId="0" fillId="0" borderId="0" xfId="0"/>
    <xf numFmtId="0" fontId="2" fillId="3" borderId="0" xfId="0" applyFont="1" applyFill="1"/>
    <xf numFmtId="0" fontId="3" fillId="3" borderId="0" xfId="0" applyFont="1" applyFill="1"/>
    <xf numFmtId="0" fontId="4" fillId="3" borderId="0" xfId="0" applyFont="1" applyFill="1"/>
    <xf numFmtId="0" fontId="4" fillId="0" borderId="0" xfId="0" applyFont="1"/>
    <xf numFmtId="0" fontId="5" fillId="4" borderId="0" xfId="0" applyFont="1" applyFill="1" applyAlignment="1">
      <alignment vertical="center"/>
    </xf>
    <xf numFmtId="0" fontId="5" fillId="4" borderId="0" xfId="0" applyFont="1" applyFill="1" applyAlignment="1">
      <alignment vertical="center" wrapText="1"/>
    </xf>
    <xf numFmtId="0" fontId="5" fillId="4" borderId="0" xfId="0" applyFont="1" applyFill="1"/>
    <xf numFmtId="0" fontId="4" fillId="4" borderId="0" xfId="0" applyFont="1" applyFill="1"/>
    <xf numFmtId="0" fontId="6" fillId="4" borderId="0" xfId="0" applyFont="1" applyFill="1"/>
    <xf numFmtId="0" fontId="6" fillId="2" borderId="0" xfId="0" applyFont="1" applyFill="1"/>
    <xf numFmtId="0" fontId="7" fillId="4" borderId="0" xfId="0" applyFont="1" applyFill="1"/>
    <xf numFmtId="0" fontId="5" fillId="4" borderId="0" xfId="0" applyFont="1" applyFill="1" applyAlignment="1">
      <alignment vertical="top"/>
    </xf>
    <xf numFmtId="0" fontId="9" fillId="4" borderId="0" xfId="0" applyFont="1" applyFill="1" applyAlignment="1">
      <alignment horizontal="left"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0" xfId="0" applyFont="1" applyFill="1" applyAlignment="1">
      <alignment vertical="center" wrapText="1"/>
    </xf>
    <xf numFmtId="0" fontId="8" fillId="4" borderId="0" xfId="0" applyFont="1" applyFill="1" applyAlignment="1">
      <alignment horizontal="center" vertical="center" wrapText="1"/>
    </xf>
    <xf numFmtId="165" fontId="5" fillId="4" borderId="1" xfId="2" applyNumberFormat="1" applyFont="1" applyFill="1" applyBorder="1" applyAlignment="1">
      <alignment horizontal="center" vertical="center" wrapText="1"/>
    </xf>
    <xf numFmtId="0" fontId="8" fillId="4" borderId="3" xfId="0" applyFont="1" applyFill="1" applyBorder="1" applyAlignment="1">
      <alignment horizontal="center" wrapText="1"/>
    </xf>
    <xf numFmtId="0" fontId="5" fillId="4" borderId="0" xfId="0" applyFont="1" applyFill="1" applyAlignment="1">
      <alignment vertical="top" wrapText="1"/>
    </xf>
    <xf numFmtId="9" fontId="5" fillId="4" borderId="1" xfId="0" applyNumberFormat="1" applyFont="1" applyFill="1" applyBorder="1" applyAlignment="1">
      <alignment horizontal="center" vertical="center" wrapText="1"/>
    </xf>
    <xf numFmtId="0" fontId="11" fillId="0" borderId="0" xfId="0" applyFont="1"/>
    <xf numFmtId="0" fontId="12" fillId="0" borderId="0" xfId="0" applyFont="1"/>
    <xf numFmtId="0" fontId="5" fillId="4" borderId="0" xfId="0" applyFont="1" applyFill="1" applyAlignment="1">
      <alignment horizontal="left" vertical="center"/>
    </xf>
    <xf numFmtId="0" fontId="11" fillId="0" borderId="0" xfId="0" applyFont="1" applyAlignment="1">
      <alignment vertical="top"/>
    </xf>
    <xf numFmtId="0" fontId="12" fillId="0" borderId="0" xfId="0" applyFont="1" applyAlignment="1">
      <alignment vertical="top"/>
    </xf>
    <xf numFmtId="0" fontId="4" fillId="0" borderId="0" xfId="0" applyFont="1" applyAlignment="1">
      <alignment vertical="top"/>
    </xf>
    <xf numFmtId="0" fontId="0" fillId="0" borderId="0" xfId="0" applyAlignment="1">
      <alignment vertical="top"/>
    </xf>
    <xf numFmtId="43" fontId="0" fillId="0" borderId="0" xfId="1" applyFont="1"/>
    <xf numFmtId="168" fontId="0" fillId="0" borderId="0" xfId="1" applyNumberFormat="1" applyFont="1"/>
    <xf numFmtId="43" fontId="0" fillId="0" borderId="0" xfId="0" applyNumberFormat="1"/>
    <xf numFmtId="165" fontId="0" fillId="0" borderId="0" xfId="2" applyNumberFormat="1" applyFont="1"/>
    <xf numFmtId="169" fontId="0" fillId="0" borderId="0" xfId="2" applyNumberFormat="1" applyFont="1"/>
    <xf numFmtId="170" fontId="0" fillId="0" borderId="0" xfId="0" applyNumberFormat="1"/>
    <xf numFmtId="164" fontId="0" fillId="0" borderId="0" xfId="1" applyNumberFormat="1" applyFont="1"/>
    <xf numFmtId="0" fontId="0" fillId="0" borderId="0" xfId="0" applyAlignment="1">
      <alignment horizontal="right"/>
    </xf>
    <xf numFmtId="164" fontId="0" fillId="0" borderId="0" xfId="0" applyNumberFormat="1"/>
    <xf numFmtId="3" fontId="0" fillId="0" borderId="0" xfId="0" applyNumberFormat="1"/>
    <xf numFmtId="10" fontId="0" fillId="0" borderId="0" xfId="0" applyNumberFormat="1"/>
    <xf numFmtId="0" fontId="0" fillId="2" borderId="0" xfId="0" applyFill="1"/>
    <xf numFmtId="3" fontId="0" fillId="2" borderId="0" xfId="0" applyNumberFormat="1" applyFill="1"/>
    <xf numFmtId="10" fontId="0" fillId="2" borderId="0" xfId="0" applyNumberFormat="1" applyFill="1"/>
    <xf numFmtId="164" fontId="0" fillId="2" borderId="0" xfId="1" applyNumberFormat="1" applyFont="1" applyFill="1"/>
    <xf numFmtId="0" fontId="15" fillId="2" borderId="0" xfId="0" applyFont="1" applyFill="1"/>
    <xf numFmtId="0" fontId="16" fillId="4" borderId="0" xfId="0" applyFont="1" applyFill="1"/>
    <xf numFmtId="0" fontId="0" fillId="4" borderId="0" xfId="0" applyFill="1"/>
    <xf numFmtId="0" fontId="8" fillId="4" borderId="1" xfId="0" applyFont="1" applyFill="1" applyBorder="1" applyAlignment="1">
      <alignment horizontal="center"/>
    </xf>
    <xf numFmtId="0" fontId="5" fillId="4" borderId="1" xfId="0" applyFont="1" applyFill="1" applyBorder="1" applyAlignment="1">
      <alignment horizontal="center"/>
    </xf>
    <xf numFmtId="0" fontId="5" fillId="4" borderId="0" xfId="0" applyFont="1" applyFill="1" applyAlignment="1">
      <alignment horizontal="center"/>
    </xf>
    <xf numFmtId="3" fontId="5" fillId="4" borderId="0" xfId="0" applyNumberFormat="1" applyFont="1" applyFill="1"/>
    <xf numFmtId="0" fontId="5" fillId="4" borderId="0" xfId="0" applyFont="1" applyFill="1" applyAlignment="1">
      <alignment horizontal="left"/>
    </xf>
    <xf numFmtId="3" fontId="4" fillId="4" borderId="0" xfId="0" applyNumberFormat="1" applyFont="1" applyFill="1"/>
    <xf numFmtId="0" fontId="17" fillId="0" borderId="0" xfId="0" applyFont="1"/>
    <xf numFmtId="0" fontId="8" fillId="4" borderId="1" xfId="0" applyFont="1" applyFill="1" applyBorder="1" applyAlignment="1">
      <alignment horizontal="center" vertical="center" wrapText="1"/>
    </xf>
    <xf numFmtId="0" fontId="13" fillId="0" borderId="0" xfId="0" applyFont="1" applyAlignment="1">
      <alignment horizontal="left" vertical="center"/>
    </xf>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0" fontId="5" fillId="4" borderId="1" xfId="0" applyFont="1" applyFill="1" applyBorder="1" applyAlignment="1">
      <alignment vertical="center"/>
    </xf>
    <xf numFmtId="10" fontId="5" fillId="4" borderId="1" xfId="0" applyNumberFormat="1" applyFont="1" applyFill="1" applyBorder="1" applyAlignment="1">
      <alignment horizontal="center" vertical="center"/>
    </xf>
    <xf numFmtId="0" fontId="2" fillId="4" borderId="0" xfId="0" applyFont="1" applyFill="1"/>
    <xf numFmtId="0" fontId="5" fillId="0" borderId="0" xfId="0" applyFont="1"/>
    <xf numFmtId="0" fontId="8" fillId="4" borderId="0" xfId="0" applyFont="1" applyFill="1" applyAlignment="1">
      <alignment horizontal="center" wrapText="1"/>
    </xf>
    <xf numFmtId="0" fontId="5" fillId="4" borderId="1" xfId="0" applyFont="1" applyFill="1" applyBorder="1" applyAlignment="1">
      <alignment horizontal="right" vertical="center" wrapText="1" indent="1"/>
    </xf>
    <xf numFmtId="3" fontId="5" fillId="4" borderId="1" xfId="0" applyNumberFormat="1" applyFont="1" applyFill="1" applyBorder="1" applyAlignment="1">
      <alignment horizontal="right" vertical="center" wrapText="1" indent="1"/>
    </xf>
    <xf numFmtId="3" fontId="5" fillId="4" borderId="0" xfId="0" applyNumberFormat="1" applyFont="1" applyFill="1" applyAlignment="1">
      <alignment horizontal="left" indent="2"/>
    </xf>
    <xf numFmtId="0" fontId="8" fillId="2" borderId="0" xfId="0" applyFont="1" applyFill="1"/>
    <xf numFmtId="0" fontId="20" fillId="4" borderId="0" xfId="0" applyFont="1" applyFill="1" applyAlignment="1">
      <alignment vertical="top"/>
    </xf>
    <xf numFmtId="0" fontId="5" fillId="4" borderId="1" xfId="0" applyFont="1" applyFill="1" applyBorder="1"/>
    <xf numFmtId="0" fontId="9" fillId="4" borderId="0" xfId="0" applyFont="1" applyFill="1" applyAlignment="1">
      <alignment horizontal="left" vertical="center" indent="1"/>
    </xf>
    <xf numFmtId="3" fontId="5" fillId="4" borderId="1" xfId="0" applyNumberFormat="1" applyFont="1" applyFill="1" applyBorder="1" applyAlignment="1">
      <alignment horizontal="right" indent="1"/>
    </xf>
    <xf numFmtId="3" fontId="5" fillId="4" borderId="1" xfId="0" applyNumberFormat="1" applyFont="1" applyFill="1" applyBorder="1" applyAlignment="1">
      <alignment horizontal="left" indent="3"/>
    </xf>
    <xf numFmtId="0" fontId="5" fillId="4" borderId="0" xfId="0" applyFont="1" applyFill="1" applyAlignment="1">
      <alignment horizontal="center" wrapText="1"/>
    </xf>
    <xf numFmtId="0" fontId="8"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0" xfId="0" applyFont="1" applyFill="1" applyAlignment="1">
      <alignment horizontal="left" vertical="center" indent="3"/>
    </xf>
    <xf numFmtId="3" fontId="5" fillId="4" borderId="0" xfId="0" applyNumberFormat="1" applyFont="1" applyFill="1" applyAlignment="1">
      <alignment horizontal="right" vertical="center"/>
    </xf>
    <xf numFmtId="3" fontId="5" fillId="4" borderId="1" xfId="0" applyNumberFormat="1" applyFont="1" applyFill="1" applyBorder="1" applyAlignment="1">
      <alignment horizontal="center" vertical="center"/>
    </xf>
    <xf numFmtId="9" fontId="5" fillId="4" borderId="1" xfId="2" applyFont="1" applyFill="1" applyBorder="1" applyAlignment="1">
      <alignment horizontal="center" vertical="center"/>
    </xf>
    <xf numFmtId="0" fontId="8" fillId="4" borderId="1" xfId="0" applyFont="1" applyFill="1" applyBorder="1" applyAlignment="1">
      <alignment vertical="center" wrapText="1"/>
    </xf>
    <xf numFmtId="167" fontId="5" fillId="4" borderId="1" xfId="0" applyNumberFormat="1" applyFont="1" applyFill="1" applyBorder="1" applyAlignment="1">
      <alignment horizontal="center" vertical="center" wrapText="1"/>
    </xf>
    <xf numFmtId="0" fontId="5" fillId="4" borderId="5" xfId="0" applyFont="1" applyFill="1" applyBorder="1" applyAlignment="1">
      <alignment vertical="center"/>
    </xf>
    <xf numFmtId="0" fontId="5" fillId="4" borderId="2" xfId="0" applyFont="1" applyFill="1" applyBorder="1" applyAlignment="1">
      <alignment vertical="center" wrapText="1"/>
    </xf>
    <xf numFmtId="9" fontId="5" fillId="4" borderId="1" xfId="0" applyNumberFormat="1" applyFont="1" applyFill="1" applyBorder="1" applyAlignment="1">
      <alignment horizontal="center" vertical="center"/>
    </xf>
    <xf numFmtId="9" fontId="5" fillId="4" borderId="1" xfId="2" applyFont="1" applyFill="1" applyBorder="1" applyAlignment="1">
      <alignment horizontal="center" vertical="center" wrapText="1"/>
    </xf>
    <xf numFmtId="0" fontId="5" fillId="4" borderId="3" xfId="0" applyFont="1" applyFill="1" applyBorder="1" applyAlignment="1">
      <alignment horizontal="center" wrapText="1"/>
    </xf>
    <xf numFmtId="3" fontId="5" fillId="4" borderId="3" xfId="0" applyNumberFormat="1" applyFont="1" applyFill="1" applyBorder="1" applyAlignment="1">
      <alignment horizontal="center" wrapText="1"/>
    </xf>
    <xf numFmtId="0" fontId="4" fillId="5" borderId="1" xfId="0" applyFont="1" applyFill="1" applyBorder="1" applyAlignment="1">
      <alignment horizontal="center" vertical="center" wrapText="1"/>
    </xf>
    <xf numFmtId="0" fontId="6" fillId="5" borderId="0" xfId="0" applyFont="1" applyFill="1"/>
    <xf numFmtId="0" fontId="7" fillId="5" borderId="0" xfId="0" applyFont="1" applyFill="1"/>
    <xf numFmtId="0" fontId="5" fillId="5" borderId="0" xfId="0" applyFont="1" applyFill="1"/>
    <xf numFmtId="0" fontId="15" fillId="6" borderId="1" xfId="0" applyFont="1" applyFill="1" applyBorder="1" applyAlignment="1">
      <alignment horizontal="center"/>
    </xf>
    <xf numFmtId="0" fontId="4" fillId="6" borderId="1" xfId="0" applyFont="1" applyFill="1" applyBorder="1" applyAlignment="1">
      <alignment horizontal="center" vertical="center"/>
    </xf>
    <xf numFmtId="0" fontId="15" fillId="6" borderId="1" xfId="0" applyFont="1" applyFill="1" applyBorder="1" applyAlignment="1">
      <alignment horizontal="center" wrapText="1"/>
    </xf>
    <xf numFmtId="0" fontId="9" fillId="4" borderId="0" xfId="0" applyFont="1" applyFill="1" applyAlignment="1">
      <alignment horizontal="left" vertical="center" indent="5"/>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6" fontId="5" fillId="4" borderId="1" xfId="0" applyNumberFormat="1" applyFont="1" applyFill="1" applyBorder="1" applyAlignment="1">
      <alignment horizontal="center" vertical="center"/>
    </xf>
    <xf numFmtId="4" fontId="5" fillId="4" borderId="2" xfId="0" applyNumberFormat="1" applyFont="1" applyFill="1" applyBorder="1" applyAlignment="1">
      <alignment horizontal="center" vertical="center"/>
    </xf>
    <xf numFmtId="165" fontId="5" fillId="4" borderId="2" xfId="2" applyNumberFormat="1" applyFont="1" applyFill="1" applyBorder="1" applyAlignment="1">
      <alignment horizontal="center" vertical="center"/>
    </xf>
    <xf numFmtId="9" fontId="5" fillId="4" borderId="1" xfId="0" applyNumberFormat="1" applyFont="1" applyFill="1" applyBorder="1"/>
    <xf numFmtId="0" fontId="5" fillId="4" borderId="5" xfId="0" applyFont="1" applyFill="1" applyBorder="1"/>
    <xf numFmtId="0" fontId="5" fillId="4" borderId="6" xfId="0" applyFont="1" applyFill="1" applyBorder="1"/>
    <xf numFmtId="0" fontId="5" fillId="4" borderId="2" xfId="0" applyFont="1" applyFill="1" applyBorder="1"/>
    <xf numFmtId="0" fontId="5" fillId="4" borderId="0" xfId="0" applyFont="1" applyFill="1" applyAlignment="1">
      <alignment horizontal="left" vertical="top"/>
    </xf>
    <xf numFmtId="0" fontId="22"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3" fontId="23" fillId="4" borderId="1" xfId="0" applyNumberFormat="1" applyFont="1" applyFill="1" applyBorder="1" applyAlignment="1">
      <alignment horizontal="center" vertical="center" wrapText="1"/>
    </xf>
    <xf numFmtId="0" fontId="23" fillId="4" borderId="0" xfId="0" applyFont="1" applyFill="1" applyAlignment="1">
      <alignment horizontal="center" vertical="center" wrapText="1"/>
    </xf>
    <xf numFmtId="3" fontId="23" fillId="4" borderId="0" xfId="0" applyNumberFormat="1" applyFont="1" applyFill="1" applyAlignment="1">
      <alignment horizontal="center" vertical="center" wrapText="1"/>
    </xf>
    <xf numFmtId="0" fontId="23" fillId="4" borderId="0" xfId="0" applyFont="1" applyFill="1" applyAlignment="1">
      <alignment vertical="center" wrapText="1"/>
    </xf>
    <xf numFmtId="165" fontId="5" fillId="4" borderId="1" xfId="0" applyNumberFormat="1" applyFont="1" applyFill="1" applyBorder="1" applyAlignment="1">
      <alignment horizontal="center" vertical="center"/>
    </xf>
    <xf numFmtId="171" fontId="5" fillId="4" borderId="1" xfId="0" applyNumberFormat="1" applyFont="1" applyFill="1" applyBorder="1"/>
    <xf numFmtId="0" fontId="9" fillId="4" borderId="0" xfId="0" applyFont="1" applyFill="1" applyAlignment="1">
      <alignment horizontal="left" vertical="top"/>
    </xf>
    <xf numFmtId="165" fontId="5" fillId="4" borderId="1" xfId="0" applyNumberFormat="1" applyFont="1" applyFill="1" applyBorder="1"/>
    <xf numFmtId="0" fontId="8"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5" fillId="4" borderId="3" xfId="0" applyNumberFormat="1" applyFont="1" applyFill="1" applyBorder="1" applyAlignment="1">
      <alignment horizontal="right" wrapText="1" indent="2"/>
    </xf>
    <xf numFmtId="3" fontId="5" fillId="4" borderId="1" xfId="0" applyNumberFormat="1" applyFont="1" applyFill="1" applyBorder="1" applyAlignment="1">
      <alignment horizontal="right" vertical="center" wrapText="1" indent="2"/>
    </xf>
    <xf numFmtId="0" fontId="5" fillId="4" borderId="1" xfId="0" applyFont="1" applyFill="1" applyBorder="1" applyAlignment="1">
      <alignment horizontal="right" vertical="center" wrapText="1" indent="2"/>
    </xf>
    <xf numFmtId="3" fontId="5" fillId="4" borderId="3" xfId="0" applyNumberFormat="1" applyFont="1" applyFill="1" applyBorder="1" applyAlignment="1">
      <alignment horizontal="right" wrapText="1" indent="3"/>
    </xf>
    <xf numFmtId="3" fontId="5" fillId="4" borderId="1" xfId="0" applyNumberFormat="1" applyFont="1" applyFill="1" applyBorder="1" applyAlignment="1">
      <alignment horizontal="right" vertical="center" wrapText="1" indent="3"/>
    </xf>
    <xf numFmtId="3" fontId="4" fillId="0" borderId="0" xfId="0" applyNumberFormat="1" applyFont="1"/>
    <xf numFmtId="0" fontId="4" fillId="0" borderId="0" xfId="0" applyFont="1" applyAlignment="1">
      <alignment horizontal="center"/>
    </xf>
    <xf numFmtId="172" fontId="4" fillId="0" borderId="0" xfId="0" applyNumberFormat="1" applyFont="1"/>
    <xf numFmtId="173" fontId="4" fillId="0" borderId="0" xfId="0" applyNumberFormat="1" applyFont="1"/>
    <xf numFmtId="4" fontId="4" fillId="0" borderId="0" xfId="0" applyNumberFormat="1" applyFont="1"/>
    <xf numFmtId="3" fontId="4" fillId="0" borderId="0" xfId="0" applyNumberFormat="1" applyFont="1" applyAlignment="1">
      <alignment horizontal="center"/>
    </xf>
    <xf numFmtId="165" fontId="4" fillId="0" borderId="0" xfId="2" applyNumberFormat="1" applyFont="1" applyAlignment="1">
      <alignment horizontal="center"/>
    </xf>
    <xf numFmtId="9" fontId="4" fillId="0" borderId="0" xfId="0" applyNumberFormat="1" applyFont="1" applyAlignment="1">
      <alignment horizontal="center"/>
    </xf>
    <xf numFmtId="10" fontId="4" fillId="0" borderId="0" xfId="2" applyNumberFormat="1" applyFont="1"/>
    <xf numFmtId="0" fontId="15" fillId="0" borderId="0" xfId="0" applyFont="1" applyAlignment="1">
      <alignment horizontal="center"/>
    </xf>
    <xf numFmtId="165" fontId="15" fillId="0" borderId="0" xfId="2" applyNumberFormat="1" applyFont="1" applyAlignment="1">
      <alignment horizontal="center"/>
    </xf>
    <xf numFmtId="2" fontId="4" fillId="0" borderId="0" xfId="0" applyNumberFormat="1" applyFont="1" applyAlignment="1">
      <alignment horizontal="center"/>
    </xf>
    <xf numFmtId="0" fontId="4" fillId="0" borderId="1" xfId="0" applyFont="1" applyBorder="1" applyAlignment="1">
      <alignment horizontal="center"/>
    </xf>
    <xf numFmtId="0" fontId="4" fillId="0" borderId="1" xfId="0" applyFont="1" applyBorder="1"/>
    <xf numFmtId="3" fontId="4" fillId="0" borderId="1" xfId="0" applyNumberFormat="1" applyFont="1" applyBorder="1" applyAlignment="1">
      <alignment horizontal="left" indent="3"/>
    </xf>
    <xf numFmtId="0" fontId="4" fillId="0" borderId="1" xfId="0" applyFont="1" applyBorder="1" applyAlignment="1">
      <alignment horizontal="center" wrapText="1"/>
    </xf>
    <xf numFmtId="0" fontId="15" fillId="0" borderId="0" xfId="0" applyFont="1"/>
    <xf numFmtId="3" fontId="4" fillId="0" borderId="1" xfId="0" applyNumberFormat="1" applyFont="1" applyBorder="1" applyAlignment="1">
      <alignment horizontal="right" indent="1"/>
    </xf>
    <xf numFmtId="174" fontId="15" fillId="0" borderId="1" xfId="1" applyNumberFormat="1" applyFont="1" applyBorder="1"/>
    <xf numFmtId="0" fontId="26" fillId="0" borderId="1" xfId="0" applyFont="1" applyBorder="1" applyAlignment="1">
      <alignment horizontal="center"/>
    </xf>
    <xf numFmtId="0" fontId="4" fillId="0" borderId="5" xfId="0" applyFont="1" applyBorder="1"/>
    <xf numFmtId="174" fontId="15" fillId="0" borderId="0" xfId="0" applyNumberFormat="1" applyFont="1"/>
    <xf numFmtId="37" fontId="4" fillId="0" borderId="0" xfId="0" applyNumberFormat="1" applyFont="1"/>
    <xf numFmtId="0" fontId="15" fillId="0" borderId="3" xfId="0" applyFont="1" applyBorder="1" applyAlignment="1">
      <alignment horizontal="center" wrapText="1"/>
    </xf>
    <xf numFmtId="0" fontId="15" fillId="0" borderId="4" xfId="0" applyFont="1" applyBorder="1" applyAlignment="1">
      <alignment horizont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right" vertical="center" wrapText="1" indent="1"/>
    </xf>
    <xf numFmtId="0" fontId="4" fillId="0" borderId="1" xfId="0" applyFont="1" applyBorder="1" applyAlignment="1">
      <alignment horizontal="right" vertical="center" wrapText="1" indent="1"/>
    </xf>
    <xf numFmtId="0" fontId="15" fillId="0" borderId="1" xfId="0" applyFont="1" applyBorder="1" applyAlignment="1">
      <alignment horizontal="center"/>
    </xf>
    <xf numFmtId="3" fontId="4" fillId="0" borderId="1" xfId="0" quotePrefix="1" applyNumberFormat="1" applyFont="1" applyBorder="1" applyAlignment="1">
      <alignment horizontal="center"/>
    </xf>
    <xf numFmtId="0" fontId="4" fillId="0" borderId="1" xfId="0" quotePrefix="1" applyFont="1" applyBorder="1" applyAlignment="1">
      <alignment horizontal="center"/>
    </xf>
    <xf numFmtId="175" fontId="4" fillId="0" borderId="1" xfId="0" applyNumberFormat="1" applyFont="1" applyBorder="1"/>
    <xf numFmtId="3" fontId="4" fillId="0" borderId="3" xfId="0" quotePrefix="1" applyNumberFormat="1" applyFont="1" applyBorder="1" applyAlignment="1">
      <alignment horizontal="center"/>
    </xf>
    <xf numFmtId="0" fontId="4" fillId="0" borderId="3" xfId="0" quotePrefix="1" applyFont="1" applyBorder="1" applyAlignment="1">
      <alignment horizontal="center"/>
    </xf>
    <xf numFmtId="167" fontId="4" fillId="0" borderId="0" xfId="0" applyNumberFormat="1" applyFont="1"/>
    <xf numFmtId="0" fontId="17" fillId="0" borderId="0" xfId="0" applyFont="1" applyAlignment="1">
      <alignment horizontal="center"/>
    </xf>
    <xf numFmtId="1" fontId="17" fillId="0" borderId="0" xfId="0" applyNumberFormat="1" applyFont="1"/>
    <xf numFmtId="171" fontId="17" fillId="0" borderId="1" xfId="0" applyNumberFormat="1" applyFont="1" applyBorder="1"/>
    <xf numFmtId="1" fontId="17" fillId="0" borderId="1" xfId="0" applyNumberFormat="1" applyFont="1" applyBorder="1"/>
    <xf numFmtId="176" fontId="17" fillId="0" borderId="1" xfId="0" applyNumberFormat="1" applyFont="1" applyBorder="1"/>
    <xf numFmtId="3" fontId="17" fillId="0" borderId="1" xfId="0" applyNumberFormat="1" applyFont="1" applyBorder="1" applyAlignment="1">
      <alignment horizontal="right" vertical="center" wrapText="1" indent="1"/>
    </xf>
    <xf numFmtId="3" fontId="4" fillId="0" borderId="1" xfId="0" applyNumberFormat="1" applyFont="1" applyBorder="1"/>
    <xf numFmtId="0" fontId="4" fillId="0" borderId="1" xfId="0" applyFont="1" applyBorder="1" applyAlignment="1">
      <alignment horizontal="left" vertical="center"/>
    </xf>
    <xf numFmtId="3" fontId="4" fillId="0" borderId="1" xfId="0" applyNumberFormat="1" applyFont="1" applyBorder="1" applyAlignment="1">
      <alignment horizontal="center" vertical="center"/>
    </xf>
    <xf numFmtId="9" fontId="4" fillId="0" borderId="1" xfId="2" applyFont="1" applyFill="1" applyBorder="1" applyAlignment="1">
      <alignment horizontal="center" vertical="center"/>
    </xf>
    <xf numFmtId="172" fontId="4" fillId="0" borderId="1" xfId="0" applyNumberFormat="1" applyFont="1" applyBorder="1" applyAlignment="1">
      <alignment horizontal="center"/>
    </xf>
    <xf numFmtId="3" fontId="4" fillId="0" borderId="1" xfId="0" applyNumberFormat="1" applyFont="1" applyBorder="1" applyAlignment="1">
      <alignment horizontal="center"/>
    </xf>
    <xf numFmtId="164" fontId="4" fillId="0" borderId="0" xfId="1" applyNumberFormat="1" applyFont="1"/>
    <xf numFmtId="164" fontId="4" fillId="0" borderId="0" xfId="0" applyNumberFormat="1" applyFont="1"/>
    <xf numFmtId="0" fontId="4" fillId="0" borderId="0" xfId="0" applyFont="1" applyAlignment="1">
      <alignment horizontal="right"/>
    </xf>
    <xf numFmtId="0" fontId="4" fillId="0" borderId="9" xfId="0" applyFont="1" applyBorder="1"/>
    <xf numFmtId="171" fontId="4" fillId="0" borderId="1" xfId="0" applyNumberFormat="1" applyFont="1" applyBorder="1"/>
    <xf numFmtId="0" fontId="27" fillId="0" borderId="0" xfId="0" applyFont="1"/>
    <xf numFmtId="0" fontId="4" fillId="0" borderId="0" xfId="0" applyFont="1" applyAlignment="1">
      <alignment horizontal="center" wrapText="1"/>
    </xf>
    <xf numFmtId="9" fontId="4" fillId="0" borderId="1" xfId="0" applyNumberFormat="1" applyFont="1" applyBorder="1" applyAlignment="1">
      <alignment horizontal="center"/>
    </xf>
    <xf numFmtId="0" fontId="6" fillId="0" borderId="0" xfId="0" applyFont="1"/>
    <xf numFmtId="0" fontId="7" fillId="0" borderId="0" xfId="0" applyFont="1"/>
    <xf numFmtId="0" fontId="28" fillId="0" borderId="1" xfId="0" applyFont="1" applyBorder="1" applyAlignment="1">
      <alignment horizontal="center"/>
    </xf>
    <xf numFmtId="10" fontId="4" fillId="0" borderId="0" xfId="0" applyNumberFormat="1" applyFont="1"/>
    <xf numFmtId="0" fontId="29" fillId="0" borderId="0" xfId="0" applyFont="1"/>
    <xf numFmtId="0" fontId="29" fillId="0" borderId="0" xfId="0" applyFont="1" applyAlignment="1">
      <alignment horizontal="left"/>
    </xf>
    <xf numFmtId="0" fontId="15" fillId="0" borderId="1" xfId="0" applyFont="1" applyBorder="1"/>
    <xf numFmtId="167" fontId="15" fillId="0" borderId="1" xfId="0" applyNumberFormat="1" applyFont="1" applyBorder="1"/>
    <xf numFmtId="3" fontId="15" fillId="0" borderId="1" xfId="0" applyNumberFormat="1"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66" fontId="11" fillId="0" borderId="1" xfId="0" applyNumberFormat="1" applyFont="1" applyBorder="1" applyAlignment="1">
      <alignment horizontal="center"/>
    </xf>
    <xf numFmtId="3" fontId="11" fillId="0" borderId="1" xfId="0" applyNumberFormat="1" applyFont="1" applyBorder="1" applyAlignment="1">
      <alignment horizontal="center"/>
    </xf>
    <xf numFmtId="3" fontId="30" fillId="0" borderId="1" xfId="0" applyNumberFormat="1" applyFont="1" applyBorder="1" applyAlignment="1">
      <alignment horizontal="center"/>
    </xf>
    <xf numFmtId="3" fontId="15" fillId="0" borderId="0" xfId="0" applyNumberFormat="1" applyFont="1"/>
    <xf numFmtId="166" fontId="4" fillId="0" borderId="0" xfId="0" applyNumberFormat="1" applyFont="1"/>
    <xf numFmtId="14" fontId="4" fillId="0" borderId="0" xfId="0" applyNumberFormat="1" applyFont="1" applyAlignment="1">
      <alignment horizontal="center"/>
    </xf>
    <xf numFmtId="174" fontId="4" fillId="0" borderId="0" xfId="1" applyNumberFormat="1" applyFont="1"/>
    <xf numFmtId="43" fontId="4" fillId="0" borderId="0" xfId="0" applyNumberFormat="1" applyFont="1"/>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3" fontId="32" fillId="0" borderId="1" xfId="0" applyNumberFormat="1" applyFont="1" applyBorder="1" applyAlignment="1">
      <alignment horizontal="center" vertical="center" wrapText="1"/>
    </xf>
    <xf numFmtId="165" fontId="4" fillId="0" borderId="1" xfId="2" applyNumberFormat="1" applyFont="1" applyBorder="1" applyAlignment="1">
      <alignment horizontal="center"/>
    </xf>
    <xf numFmtId="0" fontId="15" fillId="0" borderId="1" xfId="0" applyFont="1" applyBorder="1" applyAlignment="1">
      <alignment horizontal="right"/>
    </xf>
    <xf numFmtId="0" fontId="4" fillId="0" borderId="1" xfId="0" applyFont="1" applyBorder="1" applyAlignment="1">
      <alignment horizontal="center" vertical="center"/>
    </xf>
    <xf numFmtId="3" fontId="15" fillId="0" borderId="1" xfId="0" applyNumberFormat="1" applyFont="1" applyBorder="1" applyAlignment="1">
      <alignment horizontal="center"/>
    </xf>
    <xf numFmtId="165" fontId="29" fillId="0" borderId="1" xfId="2" applyNumberFormat="1" applyFont="1" applyBorder="1" applyAlignment="1">
      <alignment horizontal="center"/>
    </xf>
    <xf numFmtId="0" fontId="29" fillId="0" borderId="1" xfId="0" applyFont="1" applyBorder="1" applyAlignment="1">
      <alignment horizontal="center"/>
    </xf>
    <xf numFmtId="167" fontId="4" fillId="0" borderId="0" xfId="0" applyNumberFormat="1" applyFont="1" applyAlignment="1">
      <alignment horizontal="center"/>
    </xf>
    <xf numFmtId="0" fontId="4" fillId="0" borderId="0" xfId="0" applyFont="1" applyAlignment="1">
      <alignment horizontal="left"/>
    </xf>
    <xf numFmtId="166" fontId="15" fillId="0" borderId="0" xfId="0" applyNumberFormat="1" applyFont="1" applyAlignment="1">
      <alignment horizontal="center"/>
    </xf>
    <xf numFmtId="171" fontId="4" fillId="5" borderId="1" xfId="0" applyNumberFormat="1" applyFont="1" applyFill="1" applyBorder="1" applyAlignment="1">
      <alignment horizontal="center" vertical="center" wrapText="1"/>
    </xf>
    <xf numFmtId="0" fontId="11" fillId="0" borderId="0" xfId="0" applyFont="1" applyAlignment="1">
      <alignment vertical="center" wrapText="1"/>
    </xf>
    <xf numFmtId="171" fontId="11" fillId="0" borderId="0" xfId="0" applyNumberFormat="1" applyFont="1" applyAlignment="1">
      <alignment horizontal="center" vertical="center" wrapText="1"/>
    </xf>
    <xf numFmtId="171" fontId="4" fillId="0" borderId="0" xfId="0" applyNumberFormat="1" applyFont="1" applyAlignment="1">
      <alignment horizontal="center"/>
    </xf>
    <xf numFmtId="0" fontId="34" fillId="0" borderId="0" xfId="0" applyFont="1" applyAlignment="1">
      <alignment horizontal="center" vertical="center" wrapText="1"/>
    </xf>
    <xf numFmtId="0" fontId="32" fillId="0" borderId="0" xfId="0" applyFont="1" applyAlignment="1">
      <alignment horizontal="center" vertical="center" wrapText="1"/>
    </xf>
    <xf numFmtId="0" fontId="36" fillId="0" borderId="0" xfId="0" applyFont="1"/>
    <xf numFmtId="0" fontId="37" fillId="0" borderId="0" xfId="0" applyFont="1"/>
    <xf numFmtId="0" fontId="38" fillId="0" borderId="0" xfId="0" applyFont="1"/>
    <xf numFmtId="168" fontId="4" fillId="0" borderId="0" xfId="1" applyNumberFormat="1" applyFont="1"/>
    <xf numFmtId="177" fontId="4" fillId="0" borderId="0" xfId="0" applyNumberFormat="1" applyFont="1"/>
    <xf numFmtId="0" fontId="27" fillId="0" borderId="1" xfId="0" applyFont="1" applyBorder="1" applyAlignment="1">
      <alignment horizontal="center"/>
    </xf>
    <xf numFmtId="165" fontId="4" fillId="0" borderId="0" xfId="0" applyNumberFormat="1" applyFont="1"/>
    <xf numFmtId="171" fontId="4" fillId="0" borderId="0" xfId="2" applyNumberFormat="1" applyFont="1"/>
    <xf numFmtId="171" fontId="4" fillId="0" borderId="0" xfId="0" applyNumberFormat="1" applyFont="1"/>
    <xf numFmtId="0" fontId="4" fillId="0" borderId="0" xfId="0" applyFont="1" applyAlignment="1">
      <alignment horizontal="center" vertical="center"/>
    </xf>
    <xf numFmtId="165" fontId="15" fillId="0" borderId="0" xfId="2" applyNumberFormat="1" applyFont="1"/>
    <xf numFmtId="0" fontId="5" fillId="4" borderId="0" xfId="0" applyFont="1" applyFill="1" applyAlignment="1">
      <alignment horizontal="left" indent="1"/>
    </xf>
    <xf numFmtId="0" fontId="4" fillId="0" borderId="0" xfId="0" applyFont="1" applyAlignment="1">
      <alignment horizontal="left" vertical="top"/>
    </xf>
    <xf numFmtId="3" fontId="5" fillId="4" borderId="1" xfId="0" applyNumberFormat="1" applyFont="1" applyFill="1" applyBorder="1" applyAlignment="1">
      <alignment horizontal="right" vertical="center" indent="6"/>
    </xf>
    <xf numFmtId="0" fontId="5" fillId="4" borderId="0" xfId="0" applyFont="1" applyFill="1" applyAlignment="1">
      <alignment wrapText="1"/>
    </xf>
    <xf numFmtId="0" fontId="8" fillId="4" borderId="1" xfId="0" applyFont="1" applyFill="1" applyBorder="1" applyAlignment="1">
      <alignment horizontal="center" wrapText="1"/>
    </xf>
    <xf numFmtId="0" fontId="5" fillId="4" borderId="0" xfId="0" applyFont="1" applyFill="1" applyAlignment="1">
      <alignment vertical="center" wrapText="1"/>
    </xf>
    <xf numFmtId="0" fontId="8" fillId="4" borderId="1" xfId="0" applyFont="1" applyFill="1" applyBorder="1" applyAlignment="1">
      <alignment horizontal="center" vertical="center" wrapText="1"/>
    </xf>
    <xf numFmtId="0" fontId="4" fillId="0" borderId="0" xfId="0" applyFont="1" applyAlignment="1">
      <alignment horizontal="left" vertical="top" wrapText="1"/>
    </xf>
    <xf numFmtId="0" fontId="4" fillId="0" borderId="5" xfId="0" applyFont="1" applyBorder="1" applyAlignment="1">
      <alignment horizontal="center"/>
    </xf>
    <xf numFmtId="0" fontId="4" fillId="0" borderId="2" xfId="0" applyFont="1" applyBorder="1" applyAlignment="1">
      <alignment horizontal="center"/>
    </xf>
    <xf numFmtId="0" fontId="15" fillId="0" borderId="1" xfId="0" applyFont="1" applyBorder="1" applyAlignment="1">
      <alignment horizontal="center"/>
    </xf>
    <xf numFmtId="0" fontId="5" fillId="4" borderId="0" xfId="0" applyFont="1" applyFill="1" applyAlignment="1">
      <alignment horizontal="left" vertical="center" wrapText="1"/>
    </xf>
    <xf numFmtId="0" fontId="5" fillId="4" borderId="0" xfId="0" applyFont="1" applyFill="1" applyAlignment="1">
      <alignment horizontal="left"/>
    </xf>
    <xf numFmtId="0" fontId="15" fillId="0" borderId="1" xfId="0" applyFont="1" applyBorder="1" applyAlignment="1">
      <alignment horizontal="center" vertical="center" wrapText="1"/>
    </xf>
    <xf numFmtId="0" fontId="5" fillId="4" borderId="0" xfId="0" applyFont="1" applyFill="1" applyAlignment="1">
      <alignment vertical="top" wrapText="1"/>
    </xf>
    <xf numFmtId="0" fontId="8" fillId="4" borderId="5" xfId="0" applyFont="1" applyFill="1" applyBorder="1" applyAlignment="1">
      <alignment horizontal="left" vertical="center"/>
    </xf>
    <xf numFmtId="0" fontId="8" fillId="4" borderId="2" xfId="0" applyFont="1" applyFill="1" applyBorder="1" applyAlignment="1">
      <alignment horizontal="left" vertical="center"/>
    </xf>
    <xf numFmtId="0" fontId="5" fillId="4" borderId="5" xfId="0" applyFont="1" applyFill="1" applyBorder="1" applyAlignment="1">
      <alignment horizontal="left" vertical="center"/>
    </xf>
    <xf numFmtId="0" fontId="5" fillId="4" borderId="2" xfId="0" applyFont="1" applyFill="1" applyBorder="1" applyAlignment="1">
      <alignment horizontal="left"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5" fillId="4" borderId="0" xfId="0" applyFont="1" applyFill="1" applyAlignment="1">
      <alignment vertical="top"/>
    </xf>
    <xf numFmtId="0" fontId="8" fillId="4" borderId="1" xfId="0" applyFont="1" applyFill="1" applyBorder="1" applyAlignment="1">
      <alignment horizontal="center" vertical="center"/>
    </xf>
    <xf numFmtId="0" fontId="5" fillId="4" borderId="1" xfId="0" applyFont="1" applyFill="1" applyBorder="1" applyAlignment="1">
      <alignment vertical="center"/>
    </xf>
    <xf numFmtId="0" fontId="5" fillId="4" borderId="1" xfId="0" applyFont="1" applyFill="1" applyBorder="1" applyAlignment="1">
      <alignment vertical="center" wrapText="1"/>
    </xf>
    <xf numFmtId="0" fontId="15" fillId="6" borderId="1" xfId="0" applyFont="1" applyFill="1" applyBorder="1" applyAlignment="1">
      <alignment horizontal="center" wrapText="1"/>
    </xf>
    <xf numFmtId="9" fontId="4" fillId="6" borderId="3" xfId="0" applyNumberFormat="1" applyFont="1" applyFill="1" applyBorder="1" applyAlignment="1">
      <alignment horizontal="center" vertical="center"/>
    </xf>
    <xf numFmtId="9" fontId="4" fillId="6" borderId="4" xfId="0" applyNumberFormat="1" applyFont="1" applyFill="1" applyBorder="1" applyAlignment="1">
      <alignment horizontal="center" vertical="center"/>
    </xf>
    <xf numFmtId="9" fontId="4" fillId="7" borderId="1" xfId="0" applyNumberFormat="1" applyFont="1" applyFill="1" applyBorder="1" applyAlignment="1">
      <alignment horizontal="center" vertical="center"/>
    </xf>
    <xf numFmtId="0" fontId="15" fillId="6" borderId="1" xfId="0" applyFont="1" applyFill="1" applyBorder="1" applyAlignment="1">
      <alignment horizontal="center"/>
    </xf>
    <xf numFmtId="0" fontId="4" fillId="5" borderId="1"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indent="1"/>
    </xf>
    <xf numFmtId="165"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xf>
    <xf numFmtId="0" fontId="11" fillId="0" borderId="2" xfId="0" applyFont="1" applyBorder="1" applyAlignment="1">
      <alignment horizontal="center"/>
    </xf>
    <xf numFmtId="0" fontId="4" fillId="0" borderId="1" xfId="0" applyFont="1" applyBorder="1" applyAlignment="1">
      <alignment horizontal="center"/>
    </xf>
    <xf numFmtId="0" fontId="5" fillId="4" borderId="0" xfId="0" applyFont="1" applyFill="1" applyAlignment="1">
      <alignment horizontal="left" vertical="top" wrapText="1"/>
    </xf>
    <xf numFmtId="0" fontId="4" fillId="0" borderId="1" xfId="0" applyFont="1" applyBorder="1" applyAlignment="1">
      <alignment horizontal="center" wrapText="1"/>
    </xf>
    <xf numFmtId="0" fontId="22" fillId="4" borderId="1" xfId="0" applyFont="1" applyFill="1" applyBorder="1" applyAlignment="1">
      <alignment horizontal="center" vertical="center" wrapText="1"/>
    </xf>
    <xf numFmtId="0" fontId="23" fillId="4" borderId="1" xfId="0" applyFont="1" applyFill="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685800</xdr:colOff>
          <xdr:row>42</xdr:row>
          <xdr:rowOff>167640</xdr:rowOff>
        </xdr:from>
        <xdr:to>
          <xdr:col>5</xdr:col>
          <xdr:colOff>495300</xdr:colOff>
          <xdr:row>44</xdr:row>
          <xdr:rowOff>7620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434340</xdr:colOff>
      <xdr:row>7</xdr:row>
      <xdr:rowOff>6667</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34340" y="201644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20</xdr:row>
      <xdr:rowOff>0</xdr:rowOff>
    </xdr:from>
    <xdr:ext cx="65" cy="172227"/>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438150" y="200016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0</xdr:col>
      <xdr:colOff>434340</xdr:colOff>
      <xdr:row>115</xdr:row>
      <xdr:rowOff>0</xdr:rowOff>
    </xdr:from>
    <xdr:ext cx="65" cy="172227"/>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434340" y="70643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434340</xdr:colOff>
      <xdr:row>7</xdr:row>
      <xdr:rowOff>6667</xdr:rowOff>
    </xdr:from>
    <xdr:ext cx="65" cy="17222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38150" y="14087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434340</xdr:colOff>
      <xdr:row>27</xdr:row>
      <xdr:rowOff>6667</xdr:rowOff>
    </xdr:from>
    <xdr:ext cx="65" cy="172227"/>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104900" y="14087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434340</xdr:colOff>
      <xdr:row>62</xdr:row>
      <xdr:rowOff>6667</xdr:rowOff>
    </xdr:from>
    <xdr:ext cx="65" cy="172227"/>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104900" y="589502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434340</xdr:colOff>
      <xdr:row>73</xdr:row>
      <xdr:rowOff>6667</xdr:rowOff>
    </xdr:from>
    <xdr:ext cx="65" cy="172227"/>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104900" y="1289589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434340</xdr:colOff>
      <xdr:row>84</xdr:row>
      <xdr:rowOff>6667</xdr:rowOff>
    </xdr:from>
    <xdr:ext cx="65" cy="172227"/>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104900" y="1509617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434340</xdr:colOff>
      <xdr:row>95</xdr:row>
      <xdr:rowOff>6667</xdr:rowOff>
    </xdr:from>
    <xdr:ext cx="65" cy="172227"/>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104900" y="1729644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1EBE-272F-4EC2-988D-F4BBC3FD9D21}">
  <dimension ref="A1:O89"/>
  <sheetViews>
    <sheetView tabSelected="1" zoomScaleNormal="100" workbookViewId="0"/>
  </sheetViews>
  <sheetFormatPr defaultColWidth="8.88671875" defaultRowHeight="15.6" x14ac:dyDescent="0.3"/>
  <cols>
    <col min="1" max="1" width="8.88671875" style="4"/>
    <col min="2" max="11" width="14.5546875" style="4" customWidth="1"/>
    <col min="12" max="12" width="14.6640625" style="4" bestFit="1" customWidth="1"/>
    <col min="13" max="13" width="15" style="4" bestFit="1" customWidth="1"/>
    <col min="14" max="14" width="16.44140625" style="4" bestFit="1" customWidth="1"/>
    <col min="15" max="15" width="9.109375"/>
    <col min="16" max="16" width="18.33203125" style="4" bestFit="1" customWidth="1"/>
    <col min="17" max="17" width="10.33203125" style="4" customWidth="1"/>
    <col min="18" max="18" width="10.5546875" style="4" customWidth="1"/>
    <col min="19" max="16384" width="8.88671875" style="4"/>
  </cols>
  <sheetData>
    <row r="1" spans="1:15" ht="18" x14ac:dyDescent="0.35">
      <c r="A1" s="1" t="s">
        <v>46</v>
      </c>
      <c r="B1" s="2"/>
      <c r="C1" s="9" t="s">
        <v>0</v>
      </c>
      <c r="D1" s="2"/>
      <c r="E1" s="2"/>
      <c r="F1" s="2"/>
      <c r="G1" s="2"/>
      <c r="H1" s="2"/>
      <c r="I1" s="2"/>
      <c r="J1" s="2"/>
      <c r="K1" s="3"/>
      <c r="L1" s="3"/>
      <c r="M1" s="3"/>
      <c r="O1" s="4"/>
    </row>
    <row r="2" spans="1:15" ht="16.2" x14ac:dyDescent="0.35">
      <c r="A2" s="5"/>
      <c r="B2" s="7"/>
      <c r="C2" s="7"/>
      <c r="D2" s="7"/>
      <c r="E2" s="7"/>
      <c r="F2" s="7"/>
      <c r="G2" s="7"/>
      <c r="H2" s="46"/>
      <c r="I2" s="46"/>
      <c r="J2" s="11"/>
      <c r="K2" s="11"/>
      <c r="L2" s="11"/>
      <c r="M2" s="3"/>
      <c r="O2" s="4"/>
    </row>
    <row r="3" spans="1:15" ht="31.2" customHeight="1" x14ac:dyDescent="0.3">
      <c r="A3" s="233" t="s">
        <v>62</v>
      </c>
      <c r="B3" s="233"/>
      <c r="C3" s="233"/>
      <c r="D3" s="233"/>
      <c r="E3" s="233"/>
      <c r="F3" s="233"/>
      <c r="G3" s="233"/>
      <c r="H3" s="233"/>
      <c r="I3" s="233"/>
      <c r="J3" s="233"/>
      <c r="K3" s="233"/>
      <c r="L3" s="8"/>
      <c r="M3" s="3"/>
      <c r="O3" s="4"/>
    </row>
    <row r="4" spans="1:15" x14ac:dyDescent="0.3">
      <c r="A4" s="7" t="s">
        <v>61</v>
      </c>
      <c r="B4" s="7"/>
      <c r="C4" s="7"/>
      <c r="D4" s="7"/>
      <c r="E4" s="7"/>
      <c r="F4" s="7"/>
      <c r="G4" s="8"/>
      <c r="H4" s="8"/>
      <c r="I4" s="8"/>
      <c r="J4" s="8"/>
      <c r="K4" s="8"/>
      <c r="L4" s="8"/>
      <c r="M4" s="3"/>
      <c r="O4" s="4"/>
    </row>
    <row r="5" spans="1:15" x14ac:dyDescent="0.3">
      <c r="A5" s="7"/>
      <c r="B5" s="7"/>
      <c r="C5" s="7"/>
      <c r="D5" s="7"/>
      <c r="E5" s="7"/>
      <c r="F5" s="7"/>
      <c r="G5" s="8"/>
      <c r="H5" s="8"/>
      <c r="I5" s="8"/>
      <c r="J5" s="8"/>
      <c r="K5" s="8"/>
      <c r="L5" s="8"/>
      <c r="M5" s="3"/>
      <c r="O5" s="4"/>
    </row>
    <row r="6" spans="1:15" ht="15.6" customHeight="1" x14ac:dyDescent="0.3">
      <c r="A6" s="63"/>
      <c r="B6" s="232" t="s">
        <v>64</v>
      </c>
      <c r="C6" s="232" t="s">
        <v>29</v>
      </c>
      <c r="D6" s="232" t="s">
        <v>63</v>
      </c>
      <c r="E6" s="232"/>
      <c r="F6" s="63"/>
      <c r="G6" s="8"/>
      <c r="H6" s="8"/>
      <c r="I6" s="8"/>
      <c r="J6" s="8"/>
      <c r="K6" s="8"/>
      <c r="L6" s="8"/>
      <c r="M6" s="3"/>
      <c r="O6" s="4"/>
    </row>
    <row r="7" spans="1:15" x14ac:dyDescent="0.3">
      <c r="A7" s="50"/>
      <c r="B7" s="232"/>
      <c r="C7" s="232"/>
      <c r="D7" s="232"/>
      <c r="E7" s="232"/>
      <c r="F7" s="51"/>
      <c r="G7" s="8"/>
      <c r="H7" s="8"/>
      <c r="I7" s="8"/>
      <c r="J7" s="8"/>
      <c r="K7" s="8"/>
      <c r="L7" s="8"/>
      <c r="M7" s="3"/>
      <c r="O7" s="4"/>
    </row>
    <row r="8" spans="1:15" x14ac:dyDescent="0.3">
      <c r="A8" s="50"/>
      <c r="B8" s="57">
        <v>1</v>
      </c>
      <c r="C8" s="57">
        <v>2019</v>
      </c>
      <c r="D8" s="230">
        <v>900000</v>
      </c>
      <c r="E8" s="230"/>
      <c r="F8" s="51"/>
      <c r="G8" s="8"/>
      <c r="H8" s="8"/>
      <c r="I8" s="8"/>
      <c r="J8" s="8"/>
      <c r="K8" s="8"/>
      <c r="L8" s="8"/>
      <c r="M8" s="3"/>
      <c r="O8" s="4"/>
    </row>
    <row r="9" spans="1:15" x14ac:dyDescent="0.3">
      <c r="A9" s="50"/>
      <c r="B9" s="57">
        <v>2</v>
      </c>
      <c r="C9" s="57">
        <v>2019</v>
      </c>
      <c r="D9" s="230">
        <v>2900000</v>
      </c>
      <c r="E9" s="230"/>
      <c r="F9" s="51"/>
      <c r="G9" s="8"/>
      <c r="H9" s="8"/>
      <c r="I9" s="8"/>
      <c r="J9" s="8"/>
      <c r="K9" s="8"/>
      <c r="L9" s="8"/>
      <c r="M9" s="3"/>
      <c r="O9" s="4"/>
    </row>
    <row r="10" spans="1:15" x14ac:dyDescent="0.3">
      <c r="A10" s="50"/>
      <c r="B10" s="57">
        <v>3</v>
      </c>
      <c r="C10" s="57">
        <v>2020</v>
      </c>
      <c r="D10" s="230">
        <v>1600000</v>
      </c>
      <c r="E10" s="230"/>
      <c r="F10" s="51"/>
      <c r="G10" s="8"/>
      <c r="H10" s="8"/>
      <c r="I10" s="8"/>
      <c r="J10" s="8"/>
      <c r="K10" s="8"/>
      <c r="L10" s="8"/>
      <c r="M10" s="3"/>
      <c r="O10" s="4"/>
    </row>
    <row r="11" spans="1:15" x14ac:dyDescent="0.3">
      <c r="A11" s="50"/>
      <c r="B11" s="57">
        <v>4</v>
      </c>
      <c r="C11" s="57">
        <v>2020</v>
      </c>
      <c r="D11" s="230">
        <v>800000</v>
      </c>
      <c r="E11" s="230"/>
      <c r="F11" s="51"/>
      <c r="G11" s="8"/>
      <c r="H11" s="8"/>
      <c r="I11" s="8"/>
      <c r="J11" s="8"/>
      <c r="K11" s="8"/>
      <c r="L11" s="8"/>
      <c r="M11" s="3"/>
      <c r="O11" s="4"/>
    </row>
    <row r="12" spans="1:15" x14ac:dyDescent="0.3">
      <c r="A12" s="50"/>
      <c r="B12" s="57">
        <v>5</v>
      </c>
      <c r="C12" s="57">
        <v>2021</v>
      </c>
      <c r="D12" s="230">
        <v>700000</v>
      </c>
      <c r="E12" s="230"/>
      <c r="F12" s="51"/>
      <c r="G12" s="8"/>
      <c r="H12" s="8"/>
      <c r="I12" s="8"/>
      <c r="J12" s="8"/>
      <c r="K12" s="8"/>
      <c r="L12" s="8"/>
      <c r="M12" s="3"/>
      <c r="O12" s="4"/>
    </row>
    <row r="13" spans="1:15" x14ac:dyDescent="0.3">
      <c r="A13" s="50"/>
      <c r="B13" s="57">
        <v>6</v>
      </c>
      <c r="C13" s="57">
        <v>2021</v>
      </c>
      <c r="D13" s="230">
        <v>2000000</v>
      </c>
      <c r="E13" s="230"/>
      <c r="F13" s="51"/>
      <c r="G13" s="8"/>
      <c r="H13" s="8"/>
      <c r="I13" s="8"/>
      <c r="J13" s="8"/>
      <c r="K13" s="8"/>
      <c r="L13" s="8"/>
      <c r="M13" s="3"/>
      <c r="O13" s="4"/>
    </row>
    <row r="14" spans="1:15" x14ac:dyDescent="0.3">
      <c r="A14" s="50"/>
      <c r="B14" s="57">
        <v>7</v>
      </c>
      <c r="C14" s="57">
        <v>2022</v>
      </c>
      <c r="D14" s="230">
        <v>1800000</v>
      </c>
      <c r="E14" s="230"/>
      <c r="F14" s="51"/>
      <c r="G14" s="8"/>
      <c r="H14" s="8"/>
      <c r="I14" s="8"/>
      <c r="J14" s="8"/>
      <c r="K14" s="8"/>
      <c r="L14" s="8"/>
      <c r="M14" s="3"/>
      <c r="O14" s="4"/>
    </row>
    <row r="15" spans="1:15" x14ac:dyDescent="0.3">
      <c r="A15" s="50"/>
      <c r="B15" s="57">
        <v>8</v>
      </c>
      <c r="C15" s="57">
        <v>2022</v>
      </c>
      <c r="D15" s="230">
        <v>1400000</v>
      </c>
      <c r="E15" s="230"/>
      <c r="F15" s="51"/>
      <c r="G15" s="8"/>
      <c r="H15" s="8"/>
      <c r="I15" s="8"/>
      <c r="J15" s="8"/>
      <c r="K15" s="8"/>
      <c r="L15" s="8"/>
      <c r="M15" s="3"/>
      <c r="O15" s="4"/>
    </row>
    <row r="16" spans="1:15" x14ac:dyDescent="0.3">
      <c r="A16" s="8"/>
      <c r="B16" s="50"/>
      <c r="C16" s="66"/>
      <c r="D16" s="7"/>
      <c r="E16" s="7"/>
      <c r="F16" s="7"/>
      <c r="G16" s="7"/>
      <c r="H16" s="7"/>
      <c r="I16" s="8"/>
      <c r="J16" s="8"/>
      <c r="K16" s="8"/>
      <c r="L16" s="8"/>
      <c r="M16" s="3"/>
      <c r="O16" s="4"/>
    </row>
    <row r="17" spans="1:15" ht="15.6" customHeight="1" x14ac:dyDescent="0.3">
      <c r="A17" s="8"/>
      <c r="B17" s="7"/>
      <c r="C17" s="234" t="s">
        <v>73</v>
      </c>
      <c r="D17" s="234" t="s">
        <v>74</v>
      </c>
      <c r="E17" s="234"/>
      <c r="F17" s="7"/>
      <c r="G17" s="7"/>
      <c r="H17" s="7"/>
      <c r="I17" s="8"/>
      <c r="J17" s="8"/>
      <c r="K17" s="8"/>
      <c r="L17" s="8"/>
      <c r="M17" s="3"/>
      <c r="O17" s="4"/>
    </row>
    <row r="18" spans="1:15" x14ac:dyDescent="0.3">
      <c r="A18" s="8"/>
      <c r="B18" s="7"/>
      <c r="C18" s="234"/>
      <c r="D18" s="234"/>
      <c r="E18" s="234"/>
      <c r="F18" s="7"/>
      <c r="G18" s="7"/>
      <c r="H18" s="7"/>
      <c r="I18" s="8"/>
      <c r="J18" s="8"/>
      <c r="K18" s="8"/>
      <c r="L18" s="8"/>
      <c r="M18" s="3"/>
      <c r="O18" s="4"/>
    </row>
    <row r="19" spans="1:15" x14ac:dyDescent="0.3">
      <c r="A19" s="8"/>
      <c r="B19" s="7"/>
      <c r="C19" s="57">
        <v>2019</v>
      </c>
      <c r="D19" s="230">
        <v>15000000</v>
      </c>
      <c r="E19" s="230"/>
      <c r="F19" s="7"/>
      <c r="G19" s="7"/>
      <c r="H19" s="7"/>
      <c r="I19" s="8"/>
      <c r="J19" s="8"/>
      <c r="K19" s="8"/>
      <c r="L19" s="8"/>
      <c r="M19" s="3"/>
      <c r="O19" s="4"/>
    </row>
    <row r="20" spans="1:15" x14ac:dyDescent="0.3">
      <c r="A20" s="8"/>
      <c r="B20" s="7"/>
      <c r="C20" s="57">
        <v>2020</v>
      </c>
      <c r="D20" s="230">
        <v>6000000</v>
      </c>
      <c r="E20" s="230"/>
      <c r="F20" s="7"/>
      <c r="G20" s="7"/>
      <c r="H20" s="7"/>
      <c r="I20" s="8"/>
      <c r="J20" s="8"/>
      <c r="K20" s="8"/>
      <c r="L20" s="8"/>
      <c r="M20" s="3"/>
      <c r="O20" s="4"/>
    </row>
    <row r="21" spans="1:15" x14ac:dyDescent="0.3">
      <c r="A21" s="8"/>
      <c r="B21" s="7"/>
      <c r="C21" s="57">
        <v>2021</v>
      </c>
      <c r="D21" s="230">
        <v>6500000</v>
      </c>
      <c r="E21" s="230"/>
      <c r="F21" s="7"/>
      <c r="G21" s="7"/>
      <c r="H21" s="7"/>
      <c r="I21" s="8"/>
      <c r="J21" s="8"/>
      <c r="K21" s="8"/>
      <c r="L21" s="8"/>
      <c r="M21" s="3"/>
      <c r="O21" s="4"/>
    </row>
    <row r="22" spans="1:15" x14ac:dyDescent="0.3">
      <c r="A22" s="8"/>
      <c r="B22" s="7"/>
      <c r="C22" s="57">
        <v>2022</v>
      </c>
      <c r="D22" s="230">
        <v>7500000</v>
      </c>
      <c r="E22" s="230"/>
      <c r="F22" s="7"/>
      <c r="G22" s="7"/>
      <c r="H22" s="7"/>
      <c r="I22" s="8"/>
      <c r="J22" s="8"/>
      <c r="K22" s="8"/>
      <c r="L22" s="8"/>
      <c r="M22" s="3"/>
      <c r="O22" s="4"/>
    </row>
    <row r="23" spans="1:15" x14ac:dyDescent="0.3">
      <c r="A23" s="8"/>
      <c r="B23" s="7"/>
      <c r="C23" s="7"/>
      <c r="D23" s="7"/>
      <c r="E23" s="7"/>
      <c r="F23" s="7"/>
      <c r="G23" s="7"/>
      <c r="H23" s="7"/>
      <c r="I23" s="8"/>
      <c r="J23" s="8"/>
      <c r="K23" s="8"/>
      <c r="L23" s="8"/>
      <c r="M23" s="3"/>
      <c r="O23" s="4"/>
    </row>
    <row r="24" spans="1:15" x14ac:dyDescent="0.3">
      <c r="A24" s="70" t="s">
        <v>65</v>
      </c>
      <c r="B24" s="50"/>
      <c r="C24" s="66"/>
      <c r="D24" s="7"/>
      <c r="E24" s="7"/>
      <c r="F24" s="7"/>
      <c r="G24" s="7"/>
      <c r="H24" s="7"/>
      <c r="I24" s="8"/>
      <c r="J24" s="8"/>
      <c r="K24" s="8"/>
      <c r="L24" s="8"/>
      <c r="M24" s="3"/>
      <c r="O24" s="4"/>
    </row>
    <row r="25" spans="1:15" x14ac:dyDescent="0.3">
      <c r="A25" s="70" t="s">
        <v>66</v>
      </c>
      <c r="B25" s="50"/>
      <c r="C25" s="66"/>
      <c r="D25" s="7"/>
      <c r="E25" s="7"/>
      <c r="F25" s="7"/>
      <c r="G25" s="7"/>
      <c r="H25" s="7"/>
      <c r="I25" s="8"/>
      <c r="J25" s="59" t="s">
        <v>208</v>
      </c>
      <c r="K25" s="113">
        <v>7.0000000000000007E-2</v>
      </c>
      <c r="L25" s="5"/>
      <c r="M25" s="8"/>
      <c r="O25" s="4"/>
    </row>
    <row r="26" spans="1:15" x14ac:dyDescent="0.3">
      <c r="A26" s="70" t="s">
        <v>67</v>
      </c>
      <c r="B26" s="50"/>
      <c r="C26" s="66"/>
      <c r="D26" s="7"/>
      <c r="E26" s="7"/>
      <c r="F26" s="7"/>
      <c r="G26" s="7"/>
      <c r="H26" s="7"/>
      <c r="I26" s="8"/>
      <c r="J26" s="59" t="s">
        <v>144</v>
      </c>
      <c r="K26" s="78">
        <v>3000000</v>
      </c>
      <c r="L26" s="57" t="s">
        <v>143</v>
      </c>
      <c r="M26" s="78">
        <v>1000000</v>
      </c>
      <c r="O26" s="4"/>
    </row>
    <row r="27" spans="1:15" x14ac:dyDescent="0.3">
      <c r="A27" s="70"/>
      <c r="B27" s="50"/>
      <c r="C27" s="66"/>
      <c r="D27" s="7"/>
      <c r="E27" s="7"/>
      <c r="F27" s="7"/>
      <c r="G27" s="7"/>
      <c r="H27" s="7"/>
      <c r="I27" s="8"/>
      <c r="J27" s="8"/>
      <c r="K27" s="8"/>
      <c r="L27" s="8"/>
      <c r="M27" s="3"/>
      <c r="O27" s="4"/>
    </row>
    <row r="28" spans="1:15" x14ac:dyDescent="0.3">
      <c r="A28" s="70"/>
      <c r="B28" s="57" t="s">
        <v>68</v>
      </c>
      <c r="C28" s="58">
        <v>2</v>
      </c>
      <c r="D28" s="7"/>
      <c r="E28" s="7"/>
      <c r="F28" s="7"/>
      <c r="G28" s="7"/>
      <c r="H28" s="7"/>
      <c r="I28" s="8"/>
      <c r="J28" s="8"/>
      <c r="K28" s="8"/>
      <c r="L28" s="8"/>
      <c r="M28" s="3"/>
      <c r="O28" s="4"/>
    </row>
    <row r="29" spans="1:15" x14ac:dyDescent="0.3">
      <c r="A29" s="70"/>
      <c r="B29" s="57" t="s">
        <v>69</v>
      </c>
      <c r="C29" s="58">
        <v>1.5</v>
      </c>
      <c r="D29" s="7"/>
      <c r="E29" s="7"/>
      <c r="F29" s="7"/>
      <c r="G29" s="7"/>
      <c r="H29" s="7"/>
      <c r="I29" s="8"/>
      <c r="J29" s="8"/>
      <c r="K29" s="8"/>
      <c r="L29" s="8"/>
      <c r="M29" s="3"/>
      <c r="O29" s="4"/>
    </row>
    <row r="30" spans="1:15" x14ac:dyDescent="0.3">
      <c r="A30" s="70"/>
      <c r="B30" s="57" t="s">
        <v>70</v>
      </c>
      <c r="C30" s="58">
        <v>1.25</v>
      </c>
      <c r="D30" s="7"/>
      <c r="E30" s="7"/>
      <c r="F30" s="7"/>
      <c r="G30" s="7"/>
      <c r="H30" s="7"/>
      <c r="I30" s="8"/>
      <c r="J30" s="8"/>
      <c r="K30" s="8"/>
      <c r="L30" s="8"/>
      <c r="M30" s="3"/>
      <c r="O30" s="4"/>
    </row>
    <row r="31" spans="1:15" x14ac:dyDescent="0.3">
      <c r="A31" s="70"/>
      <c r="B31" s="57" t="s">
        <v>71</v>
      </c>
      <c r="C31" s="58">
        <v>1</v>
      </c>
      <c r="D31" s="7"/>
      <c r="E31" s="7"/>
      <c r="F31" s="7"/>
      <c r="G31" s="7"/>
      <c r="H31" s="7"/>
      <c r="I31" s="8"/>
      <c r="J31" s="8"/>
      <c r="K31" s="8"/>
      <c r="L31" s="8"/>
      <c r="M31" s="3"/>
      <c r="O31" s="4"/>
    </row>
    <row r="32" spans="1:15" x14ac:dyDescent="0.3">
      <c r="A32" s="8"/>
      <c r="B32" s="50"/>
      <c r="C32" s="66"/>
      <c r="D32" s="7"/>
      <c r="E32" s="7"/>
      <c r="F32" s="7"/>
      <c r="G32" s="7"/>
      <c r="H32" s="7"/>
      <c r="I32" s="8"/>
      <c r="J32" s="8"/>
      <c r="K32" s="8"/>
      <c r="L32" s="8"/>
      <c r="M32" s="3"/>
      <c r="O32" s="4"/>
    </row>
    <row r="33" spans="1:15" x14ac:dyDescent="0.3">
      <c r="A33" s="7" t="s">
        <v>3</v>
      </c>
      <c r="B33" s="7" t="s">
        <v>233</v>
      </c>
      <c r="C33" s="7"/>
      <c r="D33" s="7"/>
      <c r="E33" s="7"/>
      <c r="F33" s="7"/>
      <c r="G33" s="7"/>
      <c r="H33" s="7"/>
      <c r="I33" s="8"/>
      <c r="J33" s="8"/>
      <c r="K33" s="8"/>
      <c r="L33" s="8"/>
      <c r="M33" s="3"/>
      <c r="O33" s="4"/>
    </row>
    <row r="34" spans="1:15" ht="16.2" x14ac:dyDescent="0.35">
      <c r="A34" s="9"/>
      <c r="B34" s="9" t="s">
        <v>1</v>
      </c>
      <c r="C34" s="9"/>
      <c r="D34" s="11"/>
      <c r="E34" s="11"/>
      <c r="F34" s="7"/>
      <c r="G34" s="7"/>
      <c r="H34" s="8"/>
      <c r="I34" s="47"/>
      <c r="J34" s="8"/>
      <c r="K34" s="8"/>
      <c r="L34" s="8"/>
      <c r="M34" s="3"/>
      <c r="O34" s="4"/>
    </row>
    <row r="35" spans="1:15" x14ac:dyDescent="0.3">
      <c r="A35" s="62"/>
      <c r="G35" s="126"/>
      <c r="L35" s="126" t="s">
        <v>270</v>
      </c>
      <c r="O35" s="4"/>
    </row>
    <row r="36" spans="1:15" x14ac:dyDescent="0.3">
      <c r="A36" s="62"/>
      <c r="G36" s="126" t="s">
        <v>253</v>
      </c>
      <c r="I36" s="126" t="s">
        <v>256</v>
      </c>
      <c r="K36" s="126" t="s">
        <v>59</v>
      </c>
      <c r="L36" s="126" t="s">
        <v>268</v>
      </c>
      <c r="M36" s="126" t="s">
        <v>269</v>
      </c>
      <c r="O36" s="4"/>
    </row>
    <row r="37" spans="1:15" x14ac:dyDescent="0.3">
      <c r="A37" s="62"/>
      <c r="B37" s="126" t="s">
        <v>64</v>
      </c>
      <c r="C37" s="126" t="s">
        <v>59</v>
      </c>
      <c r="D37" s="126" t="s">
        <v>249</v>
      </c>
      <c r="E37" s="126" t="s">
        <v>251</v>
      </c>
      <c r="F37" s="126" t="s">
        <v>252</v>
      </c>
      <c r="G37" s="126" t="s">
        <v>254</v>
      </c>
      <c r="H37" s="126" t="s">
        <v>255</v>
      </c>
      <c r="I37" s="126" t="s">
        <v>254</v>
      </c>
      <c r="K37" s="126">
        <v>2019</v>
      </c>
      <c r="L37" s="126">
        <f>(1+$K$40-K37)*12</f>
        <v>48</v>
      </c>
      <c r="M37" s="136">
        <f>C31</f>
        <v>1</v>
      </c>
    </row>
    <row r="38" spans="1:15" x14ac:dyDescent="0.3">
      <c r="A38" s="62"/>
      <c r="B38" s="126">
        <f>B8</f>
        <v>1</v>
      </c>
      <c r="C38" s="126">
        <f t="shared" ref="C38" si="0">C8</f>
        <v>2019</v>
      </c>
      <c r="D38" s="125">
        <f t="shared" ref="D38:D45" si="1">D8</f>
        <v>900000</v>
      </c>
      <c r="E38" s="128">
        <f>(1+$K$25)^(2024-$C38)</f>
        <v>1.4025517307000002</v>
      </c>
      <c r="F38" s="125">
        <f>D38*E38</f>
        <v>1262296.5576300002</v>
      </c>
      <c r="G38" s="125">
        <f>MIN(MAX(0,F38-$M$26),$K$26)</f>
        <v>262296.55763000017</v>
      </c>
      <c r="H38" s="129">
        <f t="shared" ref="H38:H45" si="2">VLOOKUP(C38,$K$37:$M$40,3)</f>
        <v>1</v>
      </c>
      <c r="I38" s="125">
        <f>G38*H38</f>
        <v>262296.55763000017</v>
      </c>
      <c r="K38" s="126">
        <v>2020</v>
      </c>
      <c r="L38" s="126">
        <f>(1+$K$40-K38)*12</f>
        <v>36</v>
      </c>
      <c r="M38" s="136">
        <f>C30</f>
        <v>1.25</v>
      </c>
    </row>
    <row r="39" spans="1:15" x14ac:dyDescent="0.3">
      <c r="A39" s="62"/>
      <c r="B39" s="126">
        <f t="shared" ref="B39:C39" si="3">B9</f>
        <v>2</v>
      </c>
      <c r="C39" s="126">
        <f t="shared" si="3"/>
        <v>2019</v>
      </c>
      <c r="D39" s="125">
        <f t="shared" si="1"/>
        <v>2900000</v>
      </c>
      <c r="E39" s="128">
        <f t="shared" ref="E39:E45" si="4">(1+$K$25)^(2024-$C39)</f>
        <v>1.4025517307000002</v>
      </c>
      <c r="F39" s="125">
        <f t="shared" ref="F39:F45" si="5">D39*E39</f>
        <v>4067400.0190300005</v>
      </c>
      <c r="G39" s="125">
        <f t="shared" ref="G39:G45" si="6">MIN(MAX(0,F39-$M$26),$K$26)</f>
        <v>3000000</v>
      </c>
      <c r="H39" s="129">
        <f t="shared" si="2"/>
        <v>1</v>
      </c>
      <c r="I39" s="125">
        <f t="shared" ref="I39:I45" si="7">G39*H39</f>
        <v>3000000</v>
      </c>
      <c r="K39" s="126">
        <v>2021</v>
      </c>
      <c r="L39" s="126">
        <f>(1+$K$40-K39)*12</f>
        <v>24</v>
      </c>
      <c r="M39" s="136">
        <f>C29</f>
        <v>1.5</v>
      </c>
    </row>
    <row r="40" spans="1:15" x14ac:dyDescent="0.3">
      <c r="A40" s="62"/>
      <c r="B40" s="126">
        <f t="shared" ref="B40:C40" si="8">B10</f>
        <v>3</v>
      </c>
      <c r="C40" s="126">
        <f t="shared" si="8"/>
        <v>2020</v>
      </c>
      <c r="D40" s="125">
        <f t="shared" si="1"/>
        <v>1600000</v>
      </c>
      <c r="E40" s="128">
        <f t="shared" si="4"/>
        <v>1.31079601</v>
      </c>
      <c r="F40" s="125">
        <f t="shared" si="5"/>
        <v>2097273.6159999999</v>
      </c>
      <c r="G40" s="125">
        <f t="shared" si="6"/>
        <v>1097273.6159999999</v>
      </c>
      <c r="H40" s="129">
        <f t="shared" si="2"/>
        <v>1.25</v>
      </c>
      <c r="I40" s="125">
        <f t="shared" si="7"/>
        <v>1371592.02</v>
      </c>
      <c r="K40" s="126">
        <v>2022</v>
      </c>
      <c r="L40" s="126">
        <f>(1+$K$40-K40)*12</f>
        <v>12</v>
      </c>
      <c r="M40" s="136">
        <f>C28</f>
        <v>2</v>
      </c>
    </row>
    <row r="41" spans="1:15" x14ac:dyDescent="0.3">
      <c r="A41" s="62"/>
      <c r="B41" s="126">
        <f t="shared" ref="B41:C41" si="9">B11</f>
        <v>4</v>
      </c>
      <c r="C41" s="126">
        <f t="shared" si="9"/>
        <v>2020</v>
      </c>
      <c r="D41" s="125">
        <f t="shared" si="1"/>
        <v>800000</v>
      </c>
      <c r="E41" s="128">
        <f t="shared" si="4"/>
        <v>1.31079601</v>
      </c>
      <c r="F41" s="125">
        <f t="shared" si="5"/>
        <v>1048636.808</v>
      </c>
      <c r="G41" s="125">
        <f t="shared" si="6"/>
        <v>48636.807999999961</v>
      </c>
      <c r="H41" s="129">
        <f t="shared" si="2"/>
        <v>1.25</v>
      </c>
      <c r="I41" s="125">
        <f t="shared" si="7"/>
        <v>60796.009999999951</v>
      </c>
      <c r="O41" s="4"/>
    </row>
    <row r="42" spans="1:15" x14ac:dyDescent="0.3">
      <c r="A42" s="62"/>
      <c r="B42" s="126">
        <f t="shared" ref="B42:C42" si="10">B12</f>
        <v>5</v>
      </c>
      <c r="C42" s="126">
        <f t="shared" si="10"/>
        <v>2021</v>
      </c>
      <c r="D42" s="125">
        <f t="shared" si="1"/>
        <v>700000</v>
      </c>
      <c r="E42" s="128">
        <f t="shared" si="4"/>
        <v>1.2250430000000001</v>
      </c>
      <c r="F42" s="125">
        <f t="shared" si="5"/>
        <v>857530.10000000009</v>
      </c>
      <c r="G42" s="125">
        <f t="shared" si="6"/>
        <v>0</v>
      </c>
      <c r="H42" s="129">
        <f t="shared" si="2"/>
        <v>1.5</v>
      </c>
      <c r="I42" s="125">
        <f t="shared" si="7"/>
        <v>0</v>
      </c>
      <c r="O42" s="4"/>
    </row>
    <row r="43" spans="1:15" x14ac:dyDescent="0.3">
      <c r="A43" s="62"/>
      <c r="B43" s="126">
        <f t="shared" ref="B43:C43" si="11">B13</f>
        <v>6</v>
      </c>
      <c r="C43" s="126">
        <f t="shared" si="11"/>
        <v>2021</v>
      </c>
      <c r="D43" s="125">
        <f t="shared" si="1"/>
        <v>2000000</v>
      </c>
      <c r="E43" s="128">
        <f t="shared" si="4"/>
        <v>1.2250430000000001</v>
      </c>
      <c r="F43" s="125">
        <f t="shared" si="5"/>
        <v>2450086</v>
      </c>
      <c r="G43" s="125">
        <f t="shared" si="6"/>
        <v>1450086</v>
      </c>
      <c r="H43" s="129">
        <f t="shared" si="2"/>
        <v>1.5</v>
      </c>
      <c r="I43" s="125">
        <f t="shared" si="7"/>
        <v>2175129</v>
      </c>
      <c r="O43" s="4"/>
    </row>
    <row r="44" spans="1:15" x14ac:dyDescent="0.3">
      <c r="A44" s="62"/>
      <c r="B44" s="126">
        <f t="shared" ref="B44:C44" si="12">B14</f>
        <v>7</v>
      </c>
      <c r="C44" s="126">
        <f t="shared" si="12"/>
        <v>2022</v>
      </c>
      <c r="D44" s="125">
        <f t="shared" si="1"/>
        <v>1800000</v>
      </c>
      <c r="E44" s="128">
        <f t="shared" si="4"/>
        <v>1.1449</v>
      </c>
      <c r="F44" s="125">
        <f t="shared" si="5"/>
        <v>2060820</v>
      </c>
      <c r="G44" s="125">
        <f t="shared" si="6"/>
        <v>1060820</v>
      </c>
      <c r="H44" s="129">
        <f t="shared" si="2"/>
        <v>2</v>
      </c>
      <c r="I44" s="125">
        <f t="shared" si="7"/>
        <v>2121640</v>
      </c>
      <c r="O44" s="4"/>
    </row>
    <row r="45" spans="1:15" customFormat="1" x14ac:dyDescent="0.3">
      <c r="A45" s="4"/>
      <c r="B45" s="126">
        <f t="shared" ref="B45:C45" si="13">B15</f>
        <v>8</v>
      </c>
      <c r="C45" s="126">
        <f t="shared" si="13"/>
        <v>2022</v>
      </c>
      <c r="D45" s="125">
        <f t="shared" si="1"/>
        <v>1400000</v>
      </c>
      <c r="E45" s="128">
        <f t="shared" si="4"/>
        <v>1.1449</v>
      </c>
      <c r="F45" s="125">
        <f t="shared" si="5"/>
        <v>1602860</v>
      </c>
      <c r="G45" s="125">
        <f t="shared" si="6"/>
        <v>602860</v>
      </c>
      <c r="H45" s="129">
        <f t="shared" si="2"/>
        <v>2</v>
      </c>
      <c r="I45" s="125">
        <f t="shared" si="7"/>
        <v>1205720</v>
      </c>
      <c r="J45" s="4"/>
      <c r="K45" s="4"/>
      <c r="L45" s="4"/>
      <c r="M45" s="4"/>
    </row>
    <row r="46" spans="1:15" customFormat="1" x14ac:dyDescent="0.3">
      <c r="A46" s="4"/>
      <c r="B46" s="126" t="s">
        <v>250</v>
      </c>
      <c r="C46" s="126"/>
      <c r="D46" s="125"/>
      <c r="E46" s="4"/>
      <c r="F46" s="4"/>
      <c r="G46" s="4"/>
      <c r="H46" s="4"/>
      <c r="I46" s="125">
        <f>SUM(I38:I45)</f>
        <v>10197173.58763</v>
      </c>
      <c r="J46" s="4"/>
      <c r="K46" s="4"/>
      <c r="L46" s="4"/>
      <c r="M46" s="4"/>
    </row>
    <row r="47" spans="1:15" customFormat="1" x14ac:dyDescent="0.3">
      <c r="A47" s="4"/>
      <c r="B47" s="126"/>
      <c r="C47" s="126"/>
      <c r="D47" s="130" t="s">
        <v>266</v>
      </c>
      <c r="E47" s="126" t="s">
        <v>258</v>
      </c>
      <c r="F47" s="126"/>
      <c r="G47" s="4"/>
      <c r="H47" s="4"/>
      <c r="I47" s="125"/>
      <c r="J47" s="4"/>
      <c r="K47" s="4"/>
      <c r="L47" s="4"/>
      <c r="M47" s="4"/>
    </row>
    <row r="48" spans="1:15" customFormat="1" x14ac:dyDescent="0.3">
      <c r="A48" s="4"/>
      <c r="B48" s="126"/>
      <c r="C48" s="126" t="s">
        <v>257</v>
      </c>
      <c r="D48" s="130" t="s">
        <v>267</v>
      </c>
      <c r="E48" s="126" t="s">
        <v>254</v>
      </c>
      <c r="F48" s="134" t="s">
        <v>259</v>
      </c>
      <c r="G48" s="4"/>
      <c r="H48" s="4"/>
      <c r="I48" s="4"/>
      <c r="J48" s="4"/>
      <c r="K48" s="4"/>
      <c r="L48" s="4"/>
      <c r="M48" s="4"/>
    </row>
    <row r="49" spans="1:15" customFormat="1" x14ac:dyDescent="0.3">
      <c r="A49" s="4"/>
      <c r="B49" s="126"/>
      <c r="C49" s="126">
        <v>2019</v>
      </c>
      <c r="D49" s="125">
        <f>D19</f>
        <v>15000000</v>
      </c>
      <c r="E49" s="125">
        <f>SUMIF($C$38:$C$45,C49,$I$38:$I$45)</f>
        <v>3262296.5576300002</v>
      </c>
      <c r="F49" s="135">
        <f>E49/D49</f>
        <v>0.21748643717533334</v>
      </c>
      <c r="G49" s="4"/>
      <c r="H49" s="4"/>
      <c r="I49" s="4"/>
      <c r="J49" s="4"/>
      <c r="K49" s="4"/>
      <c r="L49" s="4"/>
      <c r="M49" s="4"/>
    </row>
    <row r="50" spans="1:15" customFormat="1" x14ac:dyDescent="0.3">
      <c r="A50" s="4"/>
      <c r="B50" s="126"/>
      <c r="C50" s="126">
        <v>2020</v>
      </c>
      <c r="D50" s="125">
        <f t="shared" ref="D50:D52" si="14">D20</f>
        <v>6000000</v>
      </c>
      <c r="E50" s="125">
        <f t="shared" ref="E50:E52" si="15">SUMIF($C$38:$C$45,C50,$I$38:$I$45)</f>
        <v>1432388.03</v>
      </c>
      <c r="F50" s="135">
        <f t="shared" ref="F50:F52" si="16">E50/D50</f>
        <v>0.23873133833333335</v>
      </c>
      <c r="G50" s="4"/>
      <c r="H50" s="4"/>
      <c r="I50" s="4"/>
      <c r="J50" s="4"/>
      <c r="K50" s="4"/>
      <c r="L50" s="4"/>
      <c r="M50" s="4"/>
    </row>
    <row r="51" spans="1:15" customFormat="1" x14ac:dyDescent="0.3">
      <c r="A51" s="4"/>
      <c r="B51" s="126"/>
      <c r="C51" s="126">
        <v>2021</v>
      </c>
      <c r="D51" s="125">
        <f t="shared" si="14"/>
        <v>6500000</v>
      </c>
      <c r="E51" s="125">
        <f t="shared" si="15"/>
        <v>2175129</v>
      </c>
      <c r="F51" s="135">
        <f t="shared" si="16"/>
        <v>0.3346352307692308</v>
      </c>
      <c r="G51" s="4"/>
      <c r="H51" s="4"/>
      <c r="I51" s="4"/>
      <c r="J51" s="4"/>
      <c r="K51" s="4"/>
      <c r="L51" s="4"/>
      <c r="M51" s="4"/>
    </row>
    <row r="52" spans="1:15" customFormat="1" x14ac:dyDescent="0.3">
      <c r="A52" s="4"/>
      <c r="B52" s="126"/>
      <c r="C52" s="126">
        <v>2022</v>
      </c>
      <c r="D52" s="125">
        <f t="shared" si="14"/>
        <v>7500000</v>
      </c>
      <c r="E52" s="125">
        <f t="shared" si="15"/>
        <v>3327360</v>
      </c>
      <c r="F52" s="135">
        <f t="shared" si="16"/>
        <v>0.44364799999999999</v>
      </c>
      <c r="G52" s="4"/>
      <c r="H52" s="4"/>
      <c r="I52" s="4"/>
      <c r="J52" s="4"/>
      <c r="K52" s="4"/>
      <c r="L52" s="4"/>
      <c r="M52" s="4"/>
    </row>
    <row r="53" spans="1:15" customFormat="1" x14ac:dyDescent="0.3">
      <c r="A53" s="4"/>
      <c r="B53" s="126"/>
      <c r="C53" s="126" t="s">
        <v>250</v>
      </c>
      <c r="D53" s="125">
        <f>SUM(D49:D52)</f>
        <v>35000000</v>
      </c>
      <c r="E53" s="125">
        <f>SUM(E49:E52)</f>
        <v>10197173.58763</v>
      </c>
      <c r="F53" s="4"/>
      <c r="G53" s="4"/>
      <c r="H53" s="4"/>
      <c r="I53" s="4"/>
      <c r="J53" s="4"/>
      <c r="K53" s="4"/>
      <c r="L53" s="4"/>
      <c r="M53" s="4"/>
    </row>
    <row r="54" spans="1:15" customFormat="1" x14ac:dyDescent="0.3">
      <c r="A54" s="4"/>
      <c r="B54" s="4"/>
      <c r="C54" s="4"/>
      <c r="D54" s="4"/>
      <c r="E54" s="4"/>
      <c r="F54" s="4"/>
      <c r="G54" s="4"/>
      <c r="H54" s="4"/>
      <c r="I54" s="4"/>
      <c r="J54" s="4"/>
      <c r="K54" s="4"/>
      <c r="L54" s="4"/>
      <c r="M54" s="4"/>
    </row>
    <row r="55" spans="1:15" x14ac:dyDescent="0.3">
      <c r="A55" s="231" t="s">
        <v>234</v>
      </c>
      <c r="B55" s="231"/>
      <c r="C55" s="231"/>
      <c r="D55" s="231"/>
      <c r="E55" s="231"/>
      <c r="F55" s="231"/>
      <c r="G55" s="231"/>
      <c r="H55" s="231"/>
      <c r="I55" s="231"/>
      <c r="J55" s="231"/>
      <c r="K55" s="231"/>
      <c r="L55" s="231"/>
      <c r="M55" s="231"/>
      <c r="O55" s="4"/>
    </row>
    <row r="56" spans="1:15" x14ac:dyDescent="0.3">
      <c r="A56" s="7"/>
      <c r="B56" s="50"/>
      <c r="C56" s="66"/>
      <c r="D56" s="7"/>
      <c r="E56" s="7"/>
      <c r="F56" s="7"/>
      <c r="G56" s="7"/>
      <c r="H56" s="7"/>
      <c r="I56" s="8"/>
      <c r="J56" s="8"/>
      <c r="K56" s="8"/>
      <c r="L56" s="8"/>
      <c r="M56" s="3"/>
      <c r="O56" s="4"/>
    </row>
    <row r="57" spans="1:15" ht="31.2" x14ac:dyDescent="0.3">
      <c r="A57" s="7"/>
      <c r="B57" s="16" t="s">
        <v>72</v>
      </c>
      <c r="C57" s="16" t="s">
        <v>10</v>
      </c>
      <c r="D57" s="7"/>
      <c r="E57" s="7"/>
      <c r="F57" s="7"/>
      <c r="G57" s="7"/>
      <c r="H57" s="7"/>
      <c r="I57" s="8"/>
      <c r="J57" s="8"/>
      <c r="K57" s="8"/>
      <c r="L57" s="8"/>
      <c r="M57" s="3"/>
      <c r="O57" s="4"/>
    </row>
    <row r="58" spans="1:15" x14ac:dyDescent="0.3">
      <c r="A58" s="7"/>
      <c r="B58" s="22">
        <v>0</v>
      </c>
      <c r="C58" s="22">
        <v>0.5</v>
      </c>
      <c r="D58" s="7"/>
      <c r="E58" s="7"/>
      <c r="F58" s="7"/>
      <c r="G58" s="7"/>
      <c r="H58" s="7"/>
      <c r="I58" s="8"/>
      <c r="J58" s="8"/>
      <c r="K58" s="8"/>
      <c r="L58" s="8"/>
      <c r="M58" s="3"/>
      <c r="O58" s="4"/>
    </row>
    <row r="59" spans="1:15" x14ac:dyDescent="0.3">
      <c r="A59" s="7"/>
      <c r="B59" s="22">
        <v>0.1</v>
      </c>
      <c r="C59" s="22">
        <v>0.3</v>
      </c>
      <c r="D59" s="7"/>
      <c r="E59" s="7"/>
      <c r="F59" s="7"/>
      <c r="G59" s="7"/>
      <c r="H59" s="7"/>
      <c r="I59" s="8"/>
      <c r="J59" s="8"/>
      <c r="K59" s="8"/>
      <c r="L59" s="8"/>
      <c r="M59" s="3"/>
      <c r="O59" s="4"/>
    </row>
    <row r="60" spans="1:15" x14ac:dyDescent="0.3">
      <c r="A60" s="7"/>
      <c r="B60" s="22">
        <v>0.2</v>
      </c>
      <c r="C60" s="22">
        <v>0.2</v>
      </c>
      <c r="D60" s="7"/>
      <c r="E60" s="7"/>
      <c r="F60" s="7"/>
      <c r="G60" s="7"/>
      <c r="H60" s="7"/>
      <c r="I60" s="8"/>
      <c r="J60" s="8"/>
      <c r="K60" s="8"/>
      <c r="L60" s="8"/>
      <c r="M60" s="3"/>
      <c r="O60" s="4"/>
    </row>
    <row r="61" spans="1:15" x14ac:dyDescent="0.3">
      <c r="A61" s="7"/>
      <c r="B61" s="50"/>
      <c r="C61" s="66"/>
      <c r="D61" s="7"/>
      <c r="E61" s="7"/>
      <c r="F61" s="7"/>
      <c r="G61" s="7"/>
      <c r="H61" s="7"/>
      <c r="I61" s="8"/>
      <c r="J61" s="8"/>
      <c r="K61" s="8"/>
      <c r="L61" s="8"/>
      <c r="M61" s="3"/>
      <c r="O61" s="4"/>
    </row>
    <row r="62" spans="1:15" x14ac:dyDescent="0.3">
      <c r="A62" s="7" t="s">
        <v>2</v>
      </c>
      <c r="B62" s="7" t="s">
        <v>213</v>
      </c>
      <c r="C62" s="7"/>
      <c r="D62" s="7"/>
      <c r="E62" s="7"/>
      <c r="F62" s="7"/>
      <c r="G62" s="7"/>
      <c r="H62" s="7"/>
      <c r="I62" s="8"/>
      <c r="J62" s="8"/>
      <c r="K62" s="8"/>
      <c r="L62" s="8"/>
      <c r="M62" s="3"/>
      <c r="O62" s="4"/>
    </row>
    <row r="63" spans="1:15" ht="16.2" x14ac:dyDescent="0.35">
      <c r="A63" s="9"/>
      <c r="B63" s="9" t="s">
        <v>1</v>
      </c>
      <c r="C63" s="9"/>
      <c r="D63" s="11"/>
      <c r="E63" s="11"/>
      <c r="F63" s="7"/>
      <c r="G63" s="7"/>
      <c r="H63" s="8"/>
      <c r="I63" s="47"/>
      <c r="J63" s="8"/>
      <c r="K63" s="8"/>
      <c r="L63" s="8"/>
      <c r="M63" s="3"/>
      <c r="O63" s="4"/>
    </row>
    <row r="64" spans="1:15" x14ac:dyDescent="0.3">
      <c r="A64" s="62"/>
      <c r="E64" s="126" t="s">
        <v>260</v>
      </c>
      <c r="G64" s="126" t="s">
        <v>262</v>
      </c>
      <c r="H64" s="126" t="s">
        <v>260</v>
      </c>
      <c r="J64" s="126" t="s">
        <v>262</v>
      </c>
      <c r="M64" s="126"/>
      <c r="O64" s="4"/>
    </row>
    <row r="65" spans="1:15" x14ac:dyDescent="0.3">
      <c r="A65" s="62"/>
      <c r="E65" s="126" t="s">
        <v>261</v>
      </c>
      <c r="G65" s="126" t="s">
        <v>254</v>
      </c>
      <c r="H65" s="126" t="s">
        <v>261</v>
      </c>
      <c r="J65" s="126" t="s">
        <v>254</v>
      </c>
      <c r="L65" s="126" t="s">
        <v>265</v>
      </c>
      <c r="O65" s="4"/>
    </row>
    <row r="66" spans="1:15" x14ac:dyDescent="0.3">
      <c r="A66" s="62"/>
      <c r="B66" s="126" t="s">
        <v>64</v>
      </c>
      <c r="C66" s="126" t="s">
        <v>59</v>
      </c>
      <c r="D66" s="226" t="str">
        <f t="shared" ref="D66:D74" si="17">F37</f>
        <v>Trended Loss</v>
      </c>
      <c r="E66" s="132">
        <v>0.1</v>
      </c>
      <c r="F66" s="132" t="s">
        <v>144</v>
      </c>
      <c r="G66" s="126" t="s">
        <v>263</v>
      </c>
      <c r="H66" s="132">
        <v>0.2</v>
      </c>
      <c r="I66" s="132" t="s">
        <v>144</v>
      </c>
      <c r="J66" s="126" t="s">
        <v>264</v>
      </c>
      <c r="L66" s="126" t="s">
        <v>254</v>
      </c>
      <c r="O66" s="4"/>
    </row>
    <row r="67" spans="1:15" x14ac:dyDescent="0.3">
      <c r="A67" s="62"/>
      <c r="B67" s="126">
        <f t="shared" ref="B67:C74" si="18">B38</f>
        <v>1</v>
      </c>
      <c r="C67" s="126">
        <f t="shared" si="18"/>
        <v>2019</v>
      </c>
      <c r="D67" s="125">
        <f t="shared" si="17"/>
        <v>1262296.5576300002</v>
      </c>
      <c r="E67" s="125">
        <f t="shared" ref="E67:E74" si="19">$D67*(1+E$66)</f>
        <v>1388526.2133930002</v>
      </c>
      <c r="F67" s="125">
        <f>MIN(MAX(0,E67-$M$26),$K$26)</f>
        <v>388526.21339300019</v>
      </c>
      <c r="G67" s="125">
        <f t="shared" ref="G67:G74" si="20">F67*H38</f>
        <v>388526.21339300019</v>
      </c>
      <c r="H67" s="125">
        <f t="shared" ref="H67:H74" si="21">$D67*(1+H$66)</f>
        <v>1514755.8691560002</v>
      </c>
      <c r="I67" s="125">
        <f>MIN(MAX(0,H67-$M$26),$K$26)</f>
        <v>514755.8691560002</v>
      </c>
      <c r="J67" s="125">
        <f t="shared" ref="J67:J74" si="22">I67*H38</f>
        <v>514755.8691560002</v>
      </c>
      <c r="L67" s="125">
        <f t="shared" ref="L67:L74" si="23">I38*$C$58+G67*$C$59+J67*$C$60</f>
        <v>350657.31666410016</v>
      </c>
      <c r="O67" s="4"/>
    </row>
    <row r="68" spans="1:15" x14ac:dyDescent="0.3">
      <c r="A68" s="62"/>
      <c r="B68" s="126">
        <f t="shared" si="18"/>
        <v>2</v>
      </c>
      <c r="C68" s="126">
        <f t="shared" si="18"/>
        <v>2019</v>
      </c>
      <c r="D68" s="125">
        <f t="shared" si="17"/>
        <v>4067400.0190300005</v>
      </c>
      <c r="E68" s="125">
        <f t="shared" si="19"/>
        <v>4474140.0209330013</v>
      </c>
      <c r="F68" s="125">
        <f t="shared" ref="F68:F74" si="24">MIN(MAX(0,E68-$M$26),$K$26)</f>
        <v>3000000</v>
      </c>
      <c r="G68" s="125">
        <f t="shared" si="20"/>
        <v>3000000</v>
      </c>
      <c r="H68" s="125">
        <f t="shared" si="21"/>
        <v>4880880.0228360007</v>
      </c>
      <c r="I68" s="125">
        <f t="shared" ref="I68:I74" si="25">MIN(MAX(0,H68-$M$26),$K$26)</f>
        <v>3000000</v>
      </c>
      <c r="J68" s="125">
        <f t="shared" si="22"/>
        <v>3000000</v>
      </c>
      <c r="L68" s="125">
        <f t="shared" si="23"/>
        <v>3000000</v>
      </c>
      <c r="O68" s="4"/>
    </row>
    <row r="69" spans="1:15" x14ac:dyDescent="0.3">
      <c r="A69" s="62"/>
      <c r="B69" s="126">
        <f t="shared" si="18"/>
        <v>3</v>
      </c>
      <c r="C69" s="126">
        <f t="shared" si="18"/>
        <v>2020</v>
      </c>
      <c r="D69" s="125">
        <f t="shared" si="17"/>
        <v>2097273.6159999999</v>
      </c>
      <c r="E69" s="125">
        <f t="shared" si="19"/>
        <v>2307000.9775999999</v>
      </c>
      <c r="F69" s="125">
        <f t="shared" si="24"/>
        <v>1307000.9775999999</v>
      </c>
      <c r="G69" s="125">
        <f t="shared" si="20"/>
        <v>1633751.2219999998</v>
      </c>
      <c r="H69" s="125">
        <f t="shared" si="21"/>
        <v>2516728.3391999998</v>
      </c>
      <c r="I69" s="125">
        <f t="shared" si="25"/>
        <v>1516728.3391999998</v>
      </c>
      <c r="J69" s="125">
        <f t="shared" si="22"/>
        <v>1895910.4239999996</v>
      </c>
      <c r="L69" s="125">
        <f t="shared" si="23"/>
        <v>1555103.4613999999</v>
      </c>
      <c r="O69" s="4"/>
    </row>
    <row r="70" spans="1:15" x14ac:dyDescent="0.3">
      <c r="A70" s="62"/>
      <c r="B70" s="126">
        <f t="shared" si="18"/>
        <v>4</v>
      </c>
      <c r="C70" s="126">
        <f t="shared" si="18"/>
        <v>2020</v>
      </c>
      <c r="D70" s="125">
        <f t="shared" si="17"/>
        <v>1048636.808</v>
      </c>
      <c r="E70" s="125">
        <f t="shared" si="19"/>
        <v>1153500.4887999999</v>
      </c>
      <c r="F70" s="125">
        <f t="shared" si="24"/>
        <v>153500.48879999993</v>
      </c>
      <c r="G70" s="125">
        <f t="shared" si="20"/>
        <v>191875.61099999992</v>
      </c>
      <c r="H70" s="125">
        <f t="shared" si="21"/>
        <v>1258364.1695999999</v>
      </c>
      <c r="I70" s="125">
        <f t="shared" si="25"/>
        <v>258364.16959999991</v>
      </c>
      <c r="J70" s="125">
        <f t="shared" si="22"/>
        <v>322955.21199999988</v>
      </c>
      <c r="L70" s="125">
        <f t="shared" si="23"/>
        <v>152551.73069999993</v>
      </c>
      <c r="O70" s="4"/>
    </row>
    <row r="71" spans="1:15" x14ac:dyDescent="0.3">
      <c r="A71" s="62"/>
      <c r="B71" s="126">
        <f t="shared" si="18"/>
        <v>5</v>
      </c>
      <c r="C71" s="126">
        <f t="shared" si="18"/>
        <v>2021</v>
      </c>
      <c r="D71" s="125">
        <f t="shared" si="17"/>
        <v>857530.10000000009</v>
      </c>
      <c r="E71" s="125">
        <f t="shared" si="19"/>
        <v>943283.11000000022</v>
      </c>
      <c r="F71" s="125">
        <f t="shared" si="24"/>
        <v>0</v>
      </c>
      <c r="G71" s="125">
        <f t="shared" si="20"/>
        <v>0</v>
      </c>
      <c r="H71" s="125">
        <f t="shared" si="21"/>
        <v>1029036.1200000001</v>
      </c>
      <c r="I71" s="125">
        <f t="shared" si="25"/>
        <v>29036.120000000112</v>
      </c>
      <c r="J71" s="125">
        <f t="shared" si="22"/>
        <v>43554.180000000168</v>
      </c>
      <c r="L71" s="125">
        <f t="shared" si="23"/>
        <v>8710.8360000000339</v>
      </c>
      <c r="O71" s="4"/>
    </row>
    <row r="72" spans="1:15" x14ac:dyDescent="0.3">
      <c r="A72" s="62"/>
      <c r="B72" s="126">
        <f t="shared" si="18"/>
        <v>6</v>
      </c>
      <c r="C72" s="126">
        <f t="shared" si="18"/>
        <v>2021</v>
      </c>
      <c r="D72" s="125">
        <f t="shared" si="17"/>
        <v>2450086</v>
      </c>
      <c r="E72" s="125">
        <f t="shared" si="19"/>
        <v>2695094.6</v>
      </c>
      <c r="F72" s="125">
        <f t="shared" si="24"/>
        <v>1695094.6</v>
      </c>
      <c r="G72" s="125">
        <f t="shared" si="20"/>
        <v>2542641.9000000004</v>
      </c>
      <c r="H72" s="125">
        <f t="shared" si="21"/>
        <v>2940103.1999999997</v>
      </c>
      <c r="I72" s="125">
        <f t="shared" si="25"/>
        <v>1940103.1999999997</v>
      </c>
      <c r="J72" s="125">
        <f t="shared" si="22"/>
        <v>2910154.8</v>
      </c>
      <c r="L72" s="125">
        <f t="shared" si="23"/>
        <v>2432388.0300000003</v>
      </c>
      <c r="O72" s="4"/>
    </row>
    <row r="73" spans="1:15" x14ac:dyDescent="0.3">
      <c r="A73" s="62"/>
      <c r="B73" s="126">
        <f t="shared" si="18"/>
        <v>7</v>
      </c>
      <c r="C73" s="126">
        <f t="shared" si="18"/>
        <v>2022</v>
      </c>
      <c r="D73" s="125">
        <f t="shared" si="17"/>
        <v>2060820</v>
      </c>
      <c r="E73" s="125">
        <f t="shared" si="19"/>
        <v>2266902</v>
      </c>
      <c r="F73" s="125">
        <f t="shared" si="24"/>
        <v>1266902</v>
      </c>
      <c r="G73" s="125">
        <f t="shared" si="20"/>
        <v>2533804</v>
      </c>
      <c r="H73" s="125">
        <f t="shared" si="21"/>
        <v>2472984</v>
      </c>
      <c r="I73" s="125">
        <f t="shared" si="25"/>
        <v>1472984</v>
      </c>
      <c r="J73" s="125">
        <f t="shared" si="22"/>
        <v>2945968</v>
      </c>
      <c r="L73" s="125">
        <f t="shared" si="23"/>
        <v>2410154.7999999998</v>
      </c>
      <c r="O73" s="4"/>
    </row>
    <row r="74" spans="1:15" x14ac:dyDescent="0.3">
      <c r="A74" s="62"/>
      <c r="B74" s="126">
        <f t="shared" si="18"/>
        <v>8</v>
      </c>
      <c r="C74" s="126">
        <f t="shared" si="18"/>
        <v>2022</v>
      </c>
      <c r="D74" s="125">
        <f t="shared" si="17"/>
        <v>1602860</v>
      </c>
      <c r="E74" s="125">
        <f t="shared" si="19"/>
        <v>1763146.0000000002</v>
      </c>
      <c r="F74" s="125">
        <f t="shared" si="24"/>
        <v>763146.00000000023</v>
      </c>
      <c r="G74" s="125">
        <f t="shared" si="20"/>
        <v>1526292.0000000005</v>
      </c>
      <c r="H74" s="125">
        <f t="shared" si="21"/>
        <v>1923432</v>
      </c>
      <c r="I74" s="125">
        <f t="shared" si="25"/>
        <v>923432</v>
      </c>
      <c r="J74" s="125">
        <f t="shared" si="22"/>
        <v>1846864</v>
      </c>
      <c r="L74" s="125">
        <f t="shared" si="23"/>
        <v>1430120.4000000001</v>
      </c>
      <c r="O74" s="4"/>
    </row>
    <row r="75" spans="1:15" x14ac:dyDescent="0.3">
      <c r="A75" s="62"/>
      <c r="B75" s="126" t="str">
        <f>B46</f>
        <v>Total</v>
      </c>
      <c r="C75" s="126"/>
      <c r="G75" s="125">
        <f>SUM(G67:G74)</f>
        <v>11816890.946393</v>
      </c>
      <c r="J75" s="125">
        <f>SUM(J67:J74)</f>
        <v>13480162.485156</v>
      </c>
      <c r="L75" s="125">
        <f>SUM(L67:L74)</f>
        <v>11339686.574764101</v>
      </c>
      <c r="O75" s="4"/>
    </row>
    <row r="76" spans="1:15" x14ac:dyDescent="0.3">
      <c r="A76" s="62"/>
      <c r="B76" s="126"/>
      <c r="C76" s="126"/>
      <c r="D76" s="126"/>
      <c r="E76" s="126"/>
      <c r="F76" s="126"/>
      <c r="G76" s="126"/>
      <c r="I76" s="125"/>
      <c r="N76" s="125"/>
      <c r="O76" s="4"/>
    </row>
    <row r="77" spans="1:15" x14ac:dyDescent="0.3">
      <c r="A77" s="62"/>
      <c r="B77" s="126"/>
      <c r="C77" s="130" t="s">
        <v>266</v>
      </c>
      <c r="D77" s="134" t="s">
        <v>265</v>
      </c>
      <c r="E77" s="126"/>
      <c r="F77" s="126"/>
      <c r="G77" s="126"/>
      <c r="I77" s="125"/>
      <c r="N77" s="125"/>
      <c r="O77" s="4"/>
    </row>
    <row r="78" spans="1:15" x14ac:dyDescent="0.3">
      <c r="A78" s="62"/>
      <c r="B78" s="126" t="s">
        <v>257</v>
      </c>
      <c r="C78" s="130" t="s">
        <v>267</v>
      </c>
      <c r="D78" s="134" t="s">
        <v>259</v>
      </c>
      <c r="E78" s="126"/>
      <c r="F78" s="126"/>
      <c r="G78" s="126"/>
      <c r="I78" s="126"/>
      <c r="N78" s="125"/>
      <c r="O78" s="4"/>
    </row>
    <row r="79" spans="1:15" x14ac:dyDescent="0.3">
      <c r="A79" s="62"/>
      <c r="B79" s="126">
        <v>2019</v>
      </c>
      <c r="C79" s="125">
        <f>D49</f>
        <v>15000000</v>
      </c>
      <c r="D79" s="227">
        <f>(SUMIF($C$67:$C$74,$B79,$L$67:$L$74))/$C79</f>
        <v>0.22337715444427333</v>
      </c>
      <c r="E79" s="131"/>
      <c r="F79" s="125"/>
      <c r="G79" s="131"/>
      <c r="I79" s="126"/>
      <c r="J79" s="133"/>
      <c r="N79" s="125"/>
      <c r="O79" s="4"/>
    </row>
    <row r="80" spans="1:15" x14ac:dyDescent="0.3">
      <c r="A80" s="62"/>
      <c r="B80" s="126">
        <v>2020</v>
      </c>
      <c r="C80" s="125">
        <f t="shared" ref="C80:C82" si="26">D50</f>
        <v>6000000</v>
      </c>
      <c r="D80" s="227">
        <f>(SUMIF($C$67:$C$74,$B80,$L$67:$L$74))/$C80</f>
        <v>0.28460919868333329</v>
      </c>
      <c r="E80" s="131"/>
      <c r="F80" s="125"/>
      <c r="G80" s="131"/>
      <c r="I80" s="126"/>
      <c r="J80" s="133"/>
      <c r="N80" s="125"/>
      <c r="O80" s="4"/>
    </row>
    <row r="81" spans="1:15" x14ac:dyDescent="0.3">
      <c r="A81" s="62"/>
      <c r="B81" s="126">
        <v>2021</v>
      </c>
      <c r="C81" s="125">
        <f t="shared" si="26"/>
        <v>6500000</v>
      </c>
      <c r="D81" s="227">
        <f>(SUMIF($C$67:$C$74,$B81,$L$67:$L$74))/$C81</f>
        <v>0.37555367169230774</v>
      </c>
      <c r="E81" s="131"/>
      <c r="F81" s="125"/>
      <c r="G81" s="131"/>
      <c r="I81" s="126"/>
      <c r="J81" s="133"/>
      <c r="N81" s="125"/>
      <c r="O81" s="4"/>
    </row>
    <row r="82" spans="1:15" x14ac:dyDescent="0.3">
      <c r="B82" s="126">
        <v>2022</v>
      </c>
      <c r="C82" s="125">
        <f t="shared" si="26"/>
        <v>7500000</v>
      </c>
      <c r="D82" s="227">
        <f>(SUMIF($C$67:$C$74,$B82,$L$67:$L$74))/$C82</f>
        <v>0.51203669333333335</v>
      </c>
      <c r="E82" s="131"/>
      <c r="F82" s="125"/>
      <c r="G82" s="131"/>
      <c r="I82" s="126"/>
      <c r="J82" s="133"/>
    </row>
    <row r="83" spans="1:15" x14ac:dyDescent="0.3">
      <c r="B83" s="126" t="s">
        <v>250</v>
      </c>
      <c r="C83" s="125">
        <f>SUM(C79:C82)</f>
        <v>35000000</v>
      </c>
      <c r="D83" s="125"/>
      <c r="E83" s="131"/>
      <c r="F83" s="125"/>
      <c r="I83" s="126"/>
    </row>
    <row r="84" spans="1:15" x14ac:dyDescent="0.3">
      <c r="O84" s="4"/>
    </row>
    <row r="85" spans="1:15" x14ac:dyDescent="0.3">
      <c r="A85" s="7" t="s">
        <v>4</v>
      </c>
      <c r="B85" s="7" t="s">
        <v>75</v>
      </c>
      <c r="C85" s="7"/>
      <c r="D85" s="7"/>
      <c r="E85" s="7"/>
      <c r="F85" s="7"/>
      <c r="G85" s="7"/>
      <c r="H85" s="7"/>
      <c r="I85" s="8"/>
      <c r="J85" s="8"/>
      <c r="K85" s="8"/>
      <c r="L85" s="8"/>
      <c r="M85" s="3"/>
      <c r="O85" s="4"/>
    </row>
    <row r="86" spans="1:15" ht="16.2" x14ac:dyDescent="0.35">
      <c r="A86" s="9"/>
      <c r="B86" s="9" t="s">
        <v>1</v>
      </c>
      <c r="C86" s="9"/>
      <c r="D86" s="11"/>
      <c r="E86" s="11"/>
      <c r="F86" s="7"/>
      <c r="G86" s="7"/>
      <c r="H86" s="8"/>
      <c r="I86" s="47"/>
      <c r="J86" s="8"/>
      <c r="K86" s="8"/>
      <c r="L86" s="8"/>
      <c r="M86" s="3"/>
      <c r="O86" s="4"/>
    </row>
    <row r="87" spans="1:15" x14ac:dyDescent="0.3">
      <c r="A87"/>
      <c r="B87" s="229" t="s">
        <v>431</v>
      </c>
      <c r="C87" s="229"/>
      <c r="D87" s="229"/>
      <c r="E87" s="229"/>
      <c r="F87" s="229"/>
      <c r="G87" s="229"/>
      <c r="H87" s="229"/>
      <c r="I87" s="229"/>
      <c r="J87" s="229"/>
      <c r="K87" s="229"/>
      <c r="L87" s="229"/>
      <c r="O87" s="4"/>
    </row>
    <row r="88" spans="1:15" x14ac:dyDescent="0.3">
      <c r="A88"/>
      <c r="B88" s="229"/>
      <c r="C88" s="229"/>
      <c r="D88" s="229"/>
      <c r="E88" s="229"/>
      <c r="F88" s="229"/>
      <c r="G88" s="229"/>
      <c r="H88" s="229"/>
      <c r="I88" s="229"/>
      <c r="J88" s="229"/>
      <c r="K88" s="229"/>
      <c r="L88" s="229"/>
    </row>
    <row r="89" spans="1:15" x14ac:dyDescent="0.3">
      <c r="B89" s="229"/>
      <c r="C89" s="229"/>
      <c r="D89" s="229"/>
      <c r="E89" s="229"/>
      <c r="F89" s="229"/>
      <c r="G89" s="229"/>
      <c r="H89" s="229"/>
      <c r="I89" s="229"/>
      <c r="J89" s="229"/>
      <c r="K89" s="229"/>
      <c r="L89" s="229"/>
    </row>
  </sheetData>
  <mergeCells count="20">
    <mergeCell ref="B6:B7"/>
    <mergeCell ref="C6:C7"/>
    <mergeCell ref="A3:K3"/>
    <mergeCell ref="C17:C18"/>
    <mergeCell ref="D6:E7"/>
    <mergeCell ref="D8:E8"/>
    <mergeCell ref="D9:E9"/>
    <mergeCell ref="D10:E10"/>
    <mergeCell ref="D11:E11"/>
    <mergeCell ref="D12:E12"/>
    <mergeCell ref="D13:E13"/>
    <mergeCell ref="D14:E14"/>
    <mergeCell ref="D15:E15"/>
    <mergeCell ref="D17:E18"/>
    <mergeCell ref="B87:L89"/>
    <mergeCell ref="D19:E19"/>
    <mergeCell ref="D20:E20"/>
    <mergeCell ref="D21:E21"/>
    <mergeCell ref="D22:E22"/>
    <mergeCell ref="A55:M55"/>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3750-AA28-4B2D-B033-F81CF72F8409}">
  <dimension ref="A1:M1"/>
  <sheetViews>
    <sheetView zoomScaleNormal="100" workbookViewId="0"/>
  </sheetViews>
  <sheetFormatPr defaultColWidth="8.88671875" defaultRowHeight="15.6" x14ac:dyDescent="0.3"/>
  <cols>
    <col min="1" max="1" width="10.5546875" style="4" customWidth="1"/>
    <col min="2" max="16384" width="8.88671875" style="4"/>
  </cols>
  <sheetData>
    <row r="1" spans="1:13" ht="18" x14ac:dyDescent="0.35">
      <c r="A1" s="1" t="s">
        <v>48</v>
      </c>
      <c r="B1" s="2"/>
      <c r="C1" s="10" t="s">
        <v>47</v>
      </c>
      <c r="D1" s="67"/>
      <c r="E1" s="67"/>
      <c r="F1" s="67"/>
      <c r="G1" s="67"/>
      <c r="H1" s="67"/>
      <c r="I1" s="67"/>
      <c r="J1" s="67"/>
      <c r="K1" s="67"/>
      <c r="L1" s="45"/>
      <c r="M1" s="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39832-7756-467E-B6F3-2E5EBA87FB9E}">
  <dimension ref="A1:AC212"/>
  <sheetViews>
    <sheetView zoomScaleNormal="100" workbookViewId="0"/>
  </sheetViews>
  <sheetFormatPr defaultColWidth="9.109375" defaultRowHeight="15.6" x14ac:dyDescent="0.3"/>
  <cols>
    <col min="1" max="1" width="10.33203125" style="4" customWidth="1"/>
    <col min="2" max="2" width="10.21875" style="4" customWidth="1"/>
    <col min="3" max="3" width="9.77734375" style="4" customWidth="1"/>
    <col min="4" max="7" width="12.33203125" style="4" customWidth="1"/>
    <col min="8" max="8" width="14.109375" style="4" customWidth="1"/>
    <col min="9" max="9" width="14.33203125" style="4" customWidth="1"/>
    <col min="10" max="12" width="12.33203125" style="4" customWidth="1"/>
    <col min="13" max="18" width="8.88671875" style="4" customWidth="1"/>
    <col min="19" max="19" width="10.5546875" style="4" customWidth="1"/>
    <col min="20" max="20" width="10.6640625" style="4" customWidth="1"/>
    <col min="21" max="22" width="8.88671875" style="4" customWidth="1"/>
    <col min="23" max="24" width="9.109375" style="4" bestFit="1" customWidth="1"/>
    <col min="25" max="26" width="11.5546875" style="4" bestFit="1" customWidth="1"/>
    <col min="27" max="16384" width="9.109375" style="4"/>
  </cols>
  <sheetData>
    <row r="1" spans="1:26" ht="15.75" customHeight="1" x14ac:dyDescent="0.35">
      <c r="A1" s="1" t="s">
        <v>28</v>
      </c>
      <c r="B1" s="2"/>
      <c r="C1" s="9" t="s">
        <v>0</v>
      </c>
      <c r="D1" s="2"/>
      <c r="E1" s="2"/>
      <c r="F1" s="2"/>
      <c r="G1" s="2"/>
      <c r="H1" s="2"/>
      <c r="I1" s="2"/>
      <c r="J1" s="2"/>
      <c r="K1" s="3"/>
      <c r="L1" s="3"/>
      <c r="M1" s="3"/>
      <c r="N1"/>
      <c r="O1"/>
      <c r="P1"/>
      <c r="Q1"/>
      <c r="R1"/>
      <c r="S1"/>
      <c r="T1"/>
      <c r="U1"/>
      <c r="V1"/>
      <c r="W1"/>
      <c r="X1"/>
      <c r="Y1"/>
      <c r="Z1"/>
    </row>
    <row r="2" spans="1:26" ht="15.75" customHeight="1" x14ac:dyDescent="0.35">
      <c r="A2" s="5"/>
      <c r="B2" s="7"/>
      <c r="C2" s="7"/>
      <c r="D2" s="7"/>
      <c r="E2" s="7"/>
      <c r="F2" s="7"/>
      <c r="G2" s="7"/>
      <c r="H2" s="46"/>
      <c r="I2" s="46"/>
      <c r="J2" s="11"/>
      <c r="K2" s="11"/>
      <c r="L2" s="11"/>
      <c r="M2" s="11"/>
      <c r="N2"/>
      <c r="O2"/>
      <c r="P2"/>
      <c r="Q2"/>
      <c r="R2"/>
      <c r="S2"/>
      <c r="T2"/>
      <c r="U2"/>
      <c r="V2"/>
      <c r="W2"/>
      <c r="X2"/>
      <c r="Y2"/>
      <c r="Z2"/>
    </row>
    <row r="3" spans="1:26" x14ac:dyDescent="0.3">
      <c r="A3" s="5" t="s">
        <v>216</v>
      </c>
      <c r="B3" s="7"/>
      <c r="C3" s="7"/>
      <c r="D3" s="7"/>
      <c r="E3" s="7"/>
      <c r="F3" s="7"/>
      <c r="G3" s="8"/>
      <c r="H3" s="8"/>
      <c r="I3" s="8"/>
      <c r="J3" s="8"/>
      <c r="K3" s="8"/>
      <c r="L3" s="8"/>
      <c r="M3" s="8"/>
      <c r="W3"/>
      <c r="X3"/>
      <c r="Y3"/>
      <c r="Z3"/>
    </row>
    <row r="4" spans="1:26" ht="16.2" x14ac:dyDescent="0.35">
      <c r="A4" s="9"/>
      <c r="B4" s="7"/>
      <c r="C4" s="7"/>
      <c r="D4" s="7"/>
      <c r="E4" s="7"/>
      <c r="F4" s="7"/>
      <c r="G4" s="8"/>
      <c r="H4" s="8"/>
      <c r="I4" s="8"/>
      <c r="J4" s="8"/>
      <c r="K4" s="8"/>
      <c r="L4" s="8"/>
      <c r="M4" s="8"/>
      <c r="W4"/>
      <c r="X4"/>
      <c r="Y4"/>
      <c r="Z4"/>
    </row>
    <row r="5" spans="1:26" ht="37.5" customHeight="1" x14ac:dyDescent="0.3">
      <c r="A5" s="16" t="s">
        <v>29</v>
      </c>
      <c r="B5" s="16" t="s">
        <v>30</v>
      </c>
      <c r="C5" s="16" t="s">
        <v>31</v>
      </c>
      <c r="D5" s="48" t="s">
        <v>32</v>
      </c>
      <c r="E5" s="16" t="s">
        <v>33</v>
      </c>
      <c r="F5" s="16" t="s">
        <v>34</v>
      </c>
      <c r="G5" s="8"/>
      <c r="H5" s="8"/>
      <c r="I5" s="8"/>
      <c r="J5" s="8"/>
      <c r="K5" s="8"/>
      <c r="L5" s="8"/>
      <c r="M5" s="8"/>
      <c r="W5"/>
      <c r="X5"/>
      <c r="Y5"/>
      <c r="Z5"/>
    </row>
    <row r="6" spans="1:26" x14ac:dyDescent="0.3">
      <c r="A6" s="49">
        <v>2019</v>
      </c>
      <c r="B6" s="49">
        <v>0</v>
      </c>
      <c r="C6" s="49">
        <v>12</v>
      </c>
      <c r="D6" s="71">
        <v>2500</v>
      </c>
      <c r="E6" s="49">
        <v>48</v>
      </c>
      <c r="F6" s="72">
        <v>5000</v>
      </c>
      <c r="G6" s="8"/>
      <c r="H6" s="8"/>
      <c r="I6" s="8"/>
      <c r="J6" s="8"/>
      <c r="K6" s="8"/>
      <c r="L6" s="8"/>
      <c r="M6" s="8"/>
      <c r="W6"/>
      <c r="X6"/>
      <c r="Y6"/>
      <c r="Z6"/>
    </row>
    <row r="7" spans="1:26" ht="15.75" customHeight="1" x14ac:dyDescent="0.3">
      <c r="A7" s="49">
        <v>2019</v>
      </c>
      <c r="B7" s="49">
        <v>12</v>
      </c>
      <c r="C7" s="49">
        <v>24</v>
      </c>
      <c r="D7" s="71">
        <v>1800</v>
      </c>
      <c r="E7" s="49">
        <v>48</v>
      </c>
      <c r="F7" s="72">
        <v>5000</v>
      </c>
      <c r="G7" s="8"/>
      <c r="H7" s="8"/>
      <c r="I7" s="8"/>
      <c r="J7" s="8"/>
      <c r="K7" s="8"/>
      <c r="L7" s="8"/>
      <c r="M7" s="8"/>
      <c r="W7"/>
      <c r="X7"/>
      <c r="Y7"/>
      <c r="Z7"/>
    </row>
    <row r="8" spans="1:26" x14ac:dyDescent="0.3">
      <c r="A8" s="49">
        <v>2019</v>
      </c>
      <c r="B8" s="49">
        <v>24</v>
      </c>
      <c r="C8" s="49">
        <v>36</v>
      </c>
      <c r="D8" s="71">
        <v>500</v>
      </c>
      <c r="E8" s="49">
        <v>48</v>
      </c>
      <c r="F8" s="72">
        <v>5000</v>
      </c>
      <c r="G8" s="8"/>
      <c r="H8" s="8"/>
      <c r="I8" s="8"/>
      <c r="J8" s="8"/>
      <c r="K8" s="8"/>
      <c r="L8" s="8"/>
      <c r="M8" s="8"/>
      <c r="W8"/>
      <c r="X8"/>
      <c r="Y8"/>
      <c r="Z8"/>
    </row>
    <row r="9" spans="1:26" x14ac:dyDescent="0.3">
      <c r="A9" s="49">
        <v>2019</v>
      </c>
      <c r="B9" s="49">
        <v>36</v>
      </c>
      <c r="C9" s="49">
        <v>48</v>
      </c>
      <c r="D9" s="71">
        <v>200</v>
      </c>
      <c r="E9" s="49">
        <v>48</v>
      </c>
      <c r="F9" s="72">
        <v>5000</v>
      </c>
      <c r="G9" s="8"/>
      <c r="H9" s="8"/>
      <c r="I9" s="8"/>
      <c r="J9" s="8"/>
      <c r="K9" s="8"/>
      <c r="L9" s="8"/>
      <c r="M9" s="8"/>
      <c r="W9"/>
      <c r="X9"/>
      <c r="Y9"/>
      <c r="Z9"/>
    </row>
    <row r="10" spans="1:26" x14ac:dyDescent="0.3">
      <c r="A10" s="49">
        <v>2020</v>
      </c>
      <c r="B10" s="49">
        <v>0</v>
      </c>
      <c r="C10" s="49">
        <v>12</v>
      </c>
      <c r="D10" s="71">
        <v>4100</v>
      </c>
      <c r="E10" s="49">
        <v>36</v>
      </c>
      <c r="F10" s="72">
        <v>7000</v>
      </c>
      <c r="G10" s="8"/>
      <c r="H10" s="8"/>
      <c r="I10" s="8"/>
      <c r="J10" s="8"/>
      <c r="K10" s="8"/>
      <c r="L10" s="8"/>
      <c r="M10" s="8"/>
      <c r="W10"/>
      <c r="X10"/>
      <c r="Y10"/>
      <c r="Z10"/>
    </row>
    <row r="11" spans="1:26" ht="15.75" customHeight="1" x14ac:dyDescent="0.3">
      <c r="A11" s="49">
        <v>2020</v>
      </c>
      <c r="B11" s="49">
        <v>12</v>
      </c>
      <c r="C11" s="49">
        <v>24</v>
      </c>
      <c r="D11" s="71">
        <v>2000</v>
      </c>
      <c r="E11" s="49">
        <v>36</v>
      </c>
      <c r="F11" s="72">
        <v>7000</v>
      </c>
      <c r="G11" s="8"/>
      <c r="H11" s="8"/>
      <c r="I11" s="8"/>
      <c r="J11" s="8"/>
      <c r="K11" s="8"/>
      <c r="L11" s="8"/>
      <c r="M11" s="8"/>
      <c r="W11"/>
      <c r="X11"/>
      <c r="Y11"/>
      <c r="Z11"/>
    </row>
    <row r="12" spans="1:26" x14ac:dyDescent="0.3">
      <c r="A12" s="49">
        <v>2020</v>
      </c>
      <c r="B12" s="49">
        <v>24</v>
      </c>
      <c r="C12" s="49">
        <v>36</v>
      </c>
      <c r="D12" s="71">
        <v>900</v>
      </c>
      <c r="E12" s="49">
        <v>36</v>
      </c>
      <c r="F12" s="72">
        <v>7000</v>
      </c>
      <c r="G12" s="8"/>
      <c r="H12" s="8"/>
      <c r="I12" s="8"/>
      <c r="J12" s="8"/>
      <c r="K12" s="8"/>
      <c r="L12" s="8"/>
      <c r="M12" s="8"/>
      <c r="W12"/>
      <c r="X12"/>
      <c r="Y12"/>
      <c r="Z12"/>
    </row>
    <row r="13" spans="1:26" x14ac:dyDescent="0.3">
      <c r="A13" s="49">
        <v>2021</v>
      </c>
      <c r="B13" s="49">
        <v>0</v>
      </c>
      <c r="C13" s="49">
        <v>12</v>
      </c>
      <c r="D13" s="71">
        <v>4600</v>
      </c>
      <c r="E13" s="49">
        <v>24</v>
      </c>
      <c r="F13" s="72">
        <v>6800</v>
      </c>
      <c r="G13" s="8"/>
      <c r="H13" s="8"/>
      <c r="I13" s="8"/>
      <c r="J13" s="8"/>
      <c r="K13" s="8"/>
      <c r="L13" s="8"/>
      <c r="M13" s="8"/>
      <c r="W13"/>
      <c r="X13"/>
      <c r="Y13"/>
      <c r="Z13"/>
    </row>
    <row r="14" spans="1:26" x14ac:dyDescent="0.3">
      <c r="A14" s="49">
        <v>2021</v>
      </c>
      <c r="B14" s="49">
        <v>12</v>
      </c>
      <c r="C14" s="49">
        <v>24</v>
      </c>
      <c r="D14" s="71">
        <v>2200</v>
      </c>
      <c r="E14" s="49">
        <v>24</v>
      </c>
      <c r="F14" s="72">
        <v>6800</v>
      </c>
      <c r="G14" s="8"/>
      <c r="H14" s="8"/>
      <c r="I14" s="8"/>
      <c r="J14" s="8"/>
      <c r="K14" s="8"/>
      <c r="L14" s="8"/>
      <c r="M14" s="8"/>
      <c r="W14"/>
      <c r="X14"/>
      <c r="Y14"/>
      <c r="Z14"/>
    </row>
    <row r="15" spans="1:26" x14ac:dyDescent="0.3">
      <c r="A15" s="49">
        <v>2022</v>
      </c>
      <c r="B15" s="49">
        <v>0</v>
      </c>
      <c r="C15" s="49">
        <v>12</v>
      </c>
      <c r="D15" s="71">
        <v>5300</v>
      </c>
      <c r="E15" s="49">
        <v>12</v>
      </c>
      <c r="F15" s="72">
        <v>5300</v>
      </c>
      <c r="G15" s="8"/>
      <c r="H15" s="8"/>
      <c r="I15" s="8"/>
      <c r="J15" s="8"/>
      <c r="K15" s="8"/>
      <c r="L15" s="8"/>
      <c r="M15" s="8"/>
      <c r="W15"/>
      <c r="X15"/>
      <c r="Y15"/>
      <c r="Z15"/>
    </row>
    <row r="16" spans="1:26" x14ac:dyDescent="0.3">
      <c r="A16" s="7"/>
      <c r="B16" s="7"/>
      <c r="C16" s="7"/>
      <c r="D16" s="7"/>
      <c r="E16" s="7"/>
      <c r="F16" s="7"/>
      <c r="G16" s="8"/>
      <c r="H16" s="8"/>
      <c r="I16" s="8"/>
      <c r="J16" s="8"/>
      <c r="K16" s="8"/>
      <c r="L16" s="8"/>
      <c r="M16" s="8"/>
      <c r="W16"/>
      <c r="X16"/>
      <c r="Y16"/>
      <c r="Z16"/>
    </row>
    <row r="17" spans="1:26" x14ac:dyDescent="0.3">
      <c r="A17" s="52" t="s">
        <v>76</v>
      </c>
      <c r="B17" s="51"/>
      <c r="C17" s="8"/>
      <c r="D17" s="8"/>
      <c r="E17" s="8"/>
      <c r="F17" s="8"/>
      <c r="G17" s="8"/>
      <c r="H17" s="8"/>
      <c r="I17" s="8"/>
      <c r="J17" s="8"/>
      <c r="K17" s="8"/>
      <c r="L17" s="8"/>
      <c r="M17" s="8"/>
      <c r="N17"/>
      <c r="O17"/>
      <c r="P17"/>
      <c r="Q17"/>
      <c r="R17"/>
      <c r="S17"/>
      <c r="T17"/>
      <c r="U17"/>
      <c r="V17"/>
      <c r="W17"/>
      <c r="X17"/>
      <c r="Y17"/>
      <c r="Z17"/>
    </row>
    <row r="18" spans="1:26" ht="18.600000000000001" x14ac:dyDescent="0.3">
      <c r="A18" s="7" t="s">
        <v>77</v>
      </c>
      <c r="B18" s="51"/>
      <c r="C18" s="8"/>
      <c r="D18" s="8"/>
      <c r="E18" s="8"/>
      <c r="F18" s="8"/>
      <c r="G18" s="8"/>
      <c r="H18" s="8"/>
      <c r="I18" s="8"/>
      <c r="J18" s="8"/>
      <c r="K18" s="8"/>
      <c r="L18" s="8"/>
      <c r="M18" s="8"/>
      <c r="N18"/>
      <c r="O18"/>
      <c r="P18"/>
      <c r="Q18"/>
      <c r="R18"/>
      <c r="S18"/>
      <c r="T18"/>
      <c r="U18"/>
      <c r="V18"/>
      <c r="W18"/>
      <c r="X18"/>
      <c r="Y18"/>
      <c r="Z18"/>
    </row>
    <row r="19" spans="1:26" x14ac:dyDescent="0.3">
      <c r="A19" s="52"/>
      <c r="B19" s="51"/>
      <c r="C19" s="8"/>
      <c r="D19" s="8"/>
      <c r="E19" s="8"/>
      <c r="F19" s="8"/>
      <c r="G19" s="8"/>
      <c r="H19" s="8"/>
      <c r="I19" s="8"/>
      <c r="J19" s="8"/>
      <c r="K19" s="8"/>
      <c r="L19" s="8"/>
      <c r="M19" s="8"/>
      <c r="N19"/>
      <c r="O19"/>
      <c r="P19"/>
      <c r="Q19"/>
      <c r="R19"/>
      <c r="S19"/>
      <c r="T19"/>
      <c r="U19"/>
      <c r="V19"/>
      <c r="W19"/>
      <c r="X19"/>
      <c r="Y19"/>
      <c r="Z19"/>
    </row>
    <row r="20" spans="1:26" x14ac:dyDescent="0.3">
      <c r="A20" s="52" t="s">
        <v>78</v>
      </c>
      <c r="B20" s="51"/>
      <c r="C20" s="8"/>
      <c r="D20" s="8"/>
      <c r="E20" s="8"/>
      <c r="F20" s="8"/>
      <c r="G20" s="8"/>
      <c r="H20" s="8"/>
      <c r="I20" s="8"/>
      <c r="J20" s="8"/>
      <c r="K20" s="8"/>
      <c r="L20" s="8"/>
      <c r="M20" s="8"/>
      <c r="N20"/>
      <c r="O20"/>
      <c r="P20"/>
      <c r="Q20"/>
      <c r="R20"/>
      <c r="S20"/>
      <c r="T20"/>
      <c r="U20"/>
      <c r="V20"/>
      <c r="W20"/>
      <c r="X20"/>
      <c r="Y20"/>
      <c r="Z20"/>
    </row>
    <row r="21" spans="1:26" x14ac:dyDescent="0.3">
      <c r="A21" s="7"/>
      <c r="B21" s="53"/>
      <c r="C21" s="8"/>
      <c r="D21" s="8"/>
      <c r="E21" s="8"/>
      <c r="F21" s="8"/>
      <c r="G21" s="8"/>
      <c r="H21" s="8"/>
      <c r="I21" s="8"/>
      <c r="J21" s="8"/>
      <c r="K21" s="8"/>
      <c r="L21" s="8"/>
      <c r="M21" s="8"/>
      <c r="N21"/>
      <c r="O21"/>
      <c r="P21"/>
      <c r="Q21"/>
      <c r="R21"/>
      <c r="S21"/>
      <c r="T21"/>
      <c r="U21"/>
      <c r="V21"/>
      <c r="W21"/>
      <c r="X21"/>
      <c r="Y21"/>
      <c r="Z21"/>
    </row>
    <row r="22" spans="1:26" x14ac:dyDescent="0.3">
      <c r="A22" s="7" t="s">
        <v>3</v>
      </c>
      <c r="B22" s="7" t="s">
        <v>79</v>
      </c>
      <c r="C22" s="7"/>
      <c r="D22" s="7"/>
      <c r="E22" s="7"/>
      <c r="F22" s="7"/>
      <c r="G22" s="7"/>
      <c r="H22" s="7"/>
      <c r="I22" s="8"/>
      <c r="J22" s="8"/>
      <c r="K22" s="8"/>
      <c r="L22" s="8"/>
      <c r="M22" s="8"/>
      <c r="N22"/>
      <c r="O22"/>
      <c r="P22"/>
      <c r="Q22"/>
      <c r="R22"/>
      <c r="S22"/>
      <c r="T22"/>
      <c r="U22"/>
      <c r="V22"/>
      <c r="W22"/>
      <c r="X22"/>
      <c r="Y22"/>
      <c r="Z22"/>
    </row>
    <row r="23" spans="1:26" ht="16.2" x14ac:dyDescent="0.35">
      <c r="A23" s="9"/>
      <c r="B23" s="9" t="s">
        <v>1</v>
      </c>
      <c r="C23" s="9"/>
      <c r="D23" s="11"/>
      <c r="E23" s="11"/>
      <c r="F23" s="7"/>
      <c r="G23" s="7"/>
      <c r="H23" s="7"/>
      <c r="I23" s="8"/>
      <c r="J23" s="8"/>
      <c r="K23" s="8"/>
      <c r="L23" s="8"/>
      <c r="M23" s="8"/>
      <c r="N23"/>
      <c r="O23"/>
      <c r="P23"/>
      <c r="Q23"/>
      <c r="R23"/>
      <c r="S23"/>
      <c r="T23"/>
      <c r="U23"/>
      <c r="V23"/>
      <c r="W23"/>
      <c r="X23"/>
      <c r="Y23"/>
      <c r="Z23"/>
    </row>
    <row r="24" spans="1:26" x14ac:dyDescent="0.3">
      <c r="B24" s="235" t="s">
        <v>271</v>
      </c>
      <c r="C24" s="229"/>
      <c r="D24" s="229"/>
      <c r="E24" s="229"/>
      <c r="F24" s="229"/>
      <c r="G24" s="229"/>
      <c r="H24" s="229"/>
      <c r="I24" s="229"/>
      <c r="J24" s="229"/>
      <c r="K24" s="229"/>
      <c r="L24" s="229"/>
      <c r="M24" s="229"/>
      <c r="N24"/>
      <c r="O24"/>
      <c r="P24"/>
      <c r="Q24"/>
      <c r="R24"/>
      <c r="S24"/>
      <c r="T24"/>
      <c r="U24"/>
      <c r="V24"/>
      <c r="W24"/>
      <c r="X24"/>
      <c r="Y24"/>
      <c r="Z24"/>
    </row>
    <row r="25" spans="1:26" x14ac:dyDescent="0.3">
      <c r="B25" s="229"/>
      <c r="C25" s="229"/>
      <c r="D25" s="229"/>
      <c r="E25" s="229"/>
      <c r="F25" s="229"/>
      <c r="G25" s="229"/>
      <c r="H25" s="229"/>
      <c r="I25" s="229"/>
      <c r="J25" s="229"/>
      <c r="K25" s="229"/>
      <c r="L25" s="229"/>
      <c r="M25" s="229"/>
      <c r="N25"/>
      <c r="O25"/>
      <c r="P25"/>
      <c r="Q25"/>
      <c r="R25"/>
      <c r="S25"/>
      <c r="T25"/>
      <c r="U25"/>
      <c r="V25"/>
      <c r="W25"/>
      <c r="X25"/>
      <c r="Y25"/>
      <c r="Z25"/>
    </row>
    <row r="26" spans="1:26" x14ac:dyDescent="0.3">
      <c r="B26" s="229"/>
      <c r="C26" s="229"/>
      <c r="D26" s="229"/>
      <c r="E26" s="229"/>
      <c r="F26" s="229"/>
      <c r="G26" s="229"/>
      <c r="H26" s="229"/>
      <c r="I26" s="229"/>
      <c r="J26" s="229"/>
      <c r="K26" s="229"/>
      <c r="L26" s="229"/>
      <c r="M26" s="229"/>
      <c r="N26"/>
      <c r="O26"/>
      <c r="P26"/>
      <c r="Q26"/>
      <c r="R26"/>
      <c r="S26"/>
      <c r="T26"/>
      <c r="U26"/>
      <c r="V26"/>
      <c r="W26"/>
      <c r="X26"/>
      <c r="Y26"/>
      <c r="Z26"/>
    </row>
    <row r="27" spans="1:26" ht="16.8" x14ac:dyDescent="0.3">
      <c r="A27" s="7" t="s">
        <v>82</v>
      </c>
      <c r="B27" s="47"/>
      <c r="C27" s="47"/>
      <c r="D27" s="47"/>
      <c r="E27" s="47"/>
      <c r="F27" s="47"/>
      <c r="G27" s="47"/>
      <c r="H27" s="47"/>
      <c r="I27" s="47"/>
      <c r="J27" s="47"/>
      <c r="K27" s="47"/>
      <c r="L27" s="47"/>
      <c r="M27" s="47"/>
      <c r="N27"/>
      <c r="O27"/>
      <c r="P27"/>
      <c r="Q27"/>
      <c r="R27"/>
      <c r="S27"/>
      <c r="T27"/>
      <c r="U27"/>
      <c r="V27"/>
      <c r="W27"/>
      <c r="X27"/>
      <c r="Y27"/>
      <c r="Z27"/>
    </row>
    <row r="28" spans="1:26" x14ac:dyDescent="0.3">
      <c r="A28" s="47"/>
      <c r="B28" s="47"/>
      <c r="C28" s="47"/>
      <c r="D28" s="47"/>
      <c r="E28" s="47"/>
      <c r="F28" s="47"/>
      <c r="G28" s="47"/>
      <c r="H28" s="47"/>
      <c r="I28" s="47"/>
      <c r="J28" s="47"/>
      <c r="K28" s="69" t="s">
        <v>209</v>
      </c>
      <c r="L28" s="114">
        <v>6.8410000000000002</v>
      </c>
      <c r="M28" s="47"/>
      <c r="N28"/>
      <c r="O28"/>
      <c r="P28"/>
      <c r="Q28"/>
      <c r="R28"/>
      <c r="S28"/>
      <c r="T28"/>
      <c r="U28"/>
      <c r="V28"/>
      <c r="W28"/>
      <c r="X28"/>
      <c r="Y28"/>
      <c r="Z28"/>
    </row>
    <row r="29" spans="1:26" ht="16.8" x14ac:dyDescent="0.3">
      <c r="A29" s="7" t="s">
        <v>2</v>
      </c>
      <c r="B29" s="7" t="s">
        <v>80</v>
      </c>
      <c r="C29" s="7"/>
      <c r="D29" s="7"/>
      <c r="E29" s="7"/>
      <c r="F29" s="7"/>
      <c r="G29" s="7"/>
      <c r="H29" s="7"/>
      <c r="I29" s="8"/>
      <c r="J29" s="8"/>
      <c r="K29" s="69" t="s">
        <v>235</v>
      </c>
      <c r="L29" s="69">
        <v>0.98040000000000005</v>
      </c>
      <c r="M29" s="8"/>
      <c r="N29"/>
      <c r="O29"/>
      <c r="P29"/>
      <c r="Q29"/>
      <c r="R29"/>
      <c r="S29"/>
      <c r="T29"/>
      <c r="U29"/>
      <c r="V29"/>
      <c r="W29"/>
      <c r="X29"/>
      <c r="Y29"/>
      <c r="Z29"/>
    </row>
    <row r="30" spans="1:26" ht="16.2" x14ac:dyDescent="0.35">
      <c r="A30" s="9"/>
      <c r="B30" s="9" t="s">
        <v>1</v>
      </c>
      <c r="C30" s="9"/>
      <c r="D30" s="11"/>
      <c r="E30" s="11"/>
      <c r="F30" s="7"/>
      <c r="G30" s="7"/>
      <c r="H30" s="7"/>
      <c r="I30" s="8"/>
      <c r="J30" s="8"/>
      <c r="K30" s="8"/>
      <c r="L30" s="8"/>
      <c r="M30" s="8"/>
      <c r="N30"/>
      <c r="O30"/>
      <c r="P30"/>
      <c r="Q30"/>
      <c r="R30"/>
      <c r="S30"/>
      <c r="T30"/>
      <c r="U30"/>
      <c r="V30"/>
      <c r="W30"/>
      <c r="X30"/>
      <c r="Y30"/>
      <c r="Z30"/>
    </row>
    <row r="31" spans="1:26" x14ac:dyDescent="0.3">
      <c r="N31"/>
      <c r="O31"/>
      <c r="P31"/>
      <c r="Q31"/>
      <c r="R31"/>
      <c r="S31"/>
      <c r="T31"/>
      <c r="U31"/>
      <c r="V31"/>
      <c r="W31"/>
      <c r="X31"/>
      <c r="Y31"/>
      <c r="Z31"/>
    </row>
    <row r="32" spans="1:26" ht="46.8" x14ac:dyDescent="0.3">
      <c r="A32" s="140" t="s">
        <v>29</v>
      </c>
      <c r="B32" s="140" t="s">
        <v>30</v>
      </c>
      <c r="C32" s="140" t="s">
        <v>31</v>
      </c>
      <c r="D32" s="140" t="s">
        <v>34</v>
      </c>
      <c r="E32" s="150" t="s">
        <v>421</v>
      </c>
      <c r="G32" s="137" t="s">
        <v>59</v>
      </c>
      <c r="H32" s="236" t="s">
        <v>272</v>
      </c>
      <c r="I32" s="237"/>
      <c r="N32"/>
      <c r="O32"/>
      <c r="P32"/>
      <c r="Q32"/>
      <c r="R32"/>
      <c r="S32"/>
      <c r="T32"/>
      <c r="U32"/>
      <c r="V32"/>
      <c r="W32"/>
      <c r="X32"/>
      <c r="Y32"/>
      <c r="Z32"/>
    </row>
    <row r="33" spans="1:26" ht="18.600000000000001" x14ac:dyDescent="0.45">
      <c r="A33" s="137">
        <f>A6</f>
        <v>2019</v>
      </c>
      <c r="B33" s="137">
        <f>B6</f>
        <v>0</v>
      </c>
      <c r="C33" s="137">
        <f t="shared" ref="C33:C42" si="0">C6</f>
        <v>12</v>
      </c>
      <c r="D33" s="139">
        <f>F6</f>
        <v>5000</v>
      </c>
      <c r="E33" s="138">
        <f t="shared" ref="E33:E42" si="1">((C33-6)^$L$29)/(((C33-6)^$L$29)+($L$28^$L$29))</f>
        <v>0.46789338050430396</v>
      </c>
      <c r="G33" s="137">
        <v>2019</v>
      </c>
      <c r="H33" s="144" t="s">
        <v>409</v>
      </c>
      <c r="I33" s="143">
        <f>D36/E36</f>
        <v>5843.8935091162102</v>
      </c>
      <c r="N33"/>
      <c r="O33"/>
      <c r="P33"/>
      <c r="Q33"/>
      <c r="R33"/>
      <c r="S33"/>
      <c r="T33"/>
      <c r="U33"/>
      <c r="V33"/>
      <c r="W33"/>
      <c r="X33"/>
      <c r="Y33"/>
      <c r="Z33"/>
    </row>
    <row r="34" spans="1:26" ht="18.600000000000001" x14ac:dyDescent="0.45">
      <c r="A34" s="137">
        <f t="shared" ref="A34:A42" si="2">A7</f>
        <v>2019</v>
      </c>
      <c r="B34" s="137">
        <f t="shared" ref="B34" si="3">B7</f>
        <v>12</v>
      </c>
      <c r="C34" s="137">
        <f t="shared" si="0"/>
        <v>24</v>
      </c>
      <c r="D34" s="139">
        <f t="shared" ref="D34:D42" si="4">F7</f>
        <v>5000</v>
      </c>
      <c r="E34" s="138">
        <f t="shared" si="1"/>
        <v>0.72080859742433112</v>
      </c>
      <c r="G34" s="137">
        <v>2020</v>
      </c>
      <c r="H34" s="144" t="s">
        <v>410</v>
      </c>
      <c r="I34" s="143">
        <f>D39/E39</f>
        <v>8643.1590697661868</v>
      </c>
      <c r="N34"/>
      <c r="O34"/>
      <c r="P34"/>
      <c r="Q34"/>
      <c r="R34"/>
      <c r="S34"/>
      <c r="T34"/>
      <c r="U34"/>
      <c r="V34"/>
      <c r="W34"/>
      <c r="X34"/>
      <c r="Y34"/>
      <c r="Z34"/>
    </row>
    <row r="35" spans="1:26" ht="18.600000000000001" x14ac:dyDescent="0.45">
      <c r="A35" s="137">
        <f t="shared" si="2"/>
        <v>2019</v>
      </c>
      <c r="B35" s="137">
        <f t="shared" ref="B35" si="5">B8</f>
        <v>24</v>
      </c>
      <c r="C35" s="137">
        <f t="shared" si="0"/>
        <v>36</v>
      </c>
      <c r="D35" s="139">
        <f t="shared" si="4"/>
        <v>5000</v>
      </c>
      <c r="E35" s="138">
        <f t="shared" si="1"/>
        <v>0.80988906295685736</v>
      </c>
      <c r="G35" s="137">
        <v>2021</v>
      </c>
      <c r="H35" s="144" t="s">
        <v>411</v>
      </c>
      <c r="I35" s="143">
        <f>D41/E41</f>
        <v>9433.8497408306084</v>
      </c>
      <c r="N35"/>
      <c r="O35"/>
      <c r="P35"/>
      <c r="Q35"/>
      <c r="R35"/>
      <c r="S35"/>
      <c r="T35"/>
      <c r="U35"/>
      <c r="V35"/>
      <c r="W35"/>
      <c r="X35"/>
      <c r="Y35"/>
      <c r="Z35"/>
    </row>
    <row r="36" spans="1:26" ht="18.600000000000001" customHeight="1" x14ac:dyDescent="0.45">
      <c r="A36" s="137">
        <f t="shared" si="2"/>
        <v>2019</v>
      </c>
      <c r="B36" s="137">
        <f t="shared" ref="B36" si="6">B9</f>
        <v>36</v>
      </c>
      <c r="C36" s="137">
        <f t="shared" si="0"/>
        <v>48</v>
      </c>
      <c r="D36" s="139">
        <f t="shared" si="4"/>
        <v>5000</v>
      </c>
      <c r="E36" s="138">
        <f t="shared" si="1"/>
        <v>0.85559396183387415</v>
      </c>
      <c r="G36" s="137">
        <v>2022</v>
      </c>
      <c r="H36" s="144" t="s">
        <v>412</v>
      </c>
      <c r="I36" s="143">
        <f>D42/E42</f>
        <v>11327.366919120685</v>
      </c>
      <c r="N36"/>
      <c r="O36"/>
      <c r="P36"/>
      <c r="Q36"/>
      <c r="R36"/>
      <c r="S36"/>
      <c r="T36"/>
      <c r="U36"/>
      <c r="V36"/>
      <c r="W36"/>
      <c r="X36"/>
      <c r="Y36"/>
      <c r="Z36"/>
    </row>
    <row r="37" spans="1:26" ht="18.600000000000001" customHeight="1" x14ac:dyDescent="0.3">
      <c r="A37" s="137">
        <f t="shared" si="2"/>
        <v>2020</v>
      </c>
      <c r="B37" s="137">
        <f t="shared" ref="B37" si="7">B10</f>
        <v>0</v>
      </c>
      <c r="C37" s="137">
        <f t="shared" si="0"/>
        <v>12</v>
      </c>
      <c r="D37" s="139">
        <f t="shared" si="4"/>
        <v>7000</v>
      </c>
      <c r="E37" s="138">
        <f t="shared" si="1"/>
        <v>0.46789338050430396</v>
      </c>
      <c r="N37"/>
      <c r="O37"/>
      <c r="P37"/>
      <c r="Q37"/>
      <c r="R37"/>
      <c r="S37"/>
      <c r="T37"/>
      <c r="U37"/>
      <c r="V37"/>
      <c r="W37"/>
      <c r="X37"/>
      <c r="Y37"/>
      <c r="Z37"/>
    </row>
    <row r="38" spans="1:26" ht="18.600000000000001" customHeight="1" x14ac:dyDescent="0.3">
      <c r="A38" s="137">
        <f t="shared" si="2"/>
        <v>2020</v>
      </c>
      <c r="B38" s="137">
        <f t="shared" ref="B38" si="8">B11</f>
        <v>12</v>
      </c>
      <c r="C38" s="137">
        <f t="shared" si="0"/>
        <v>24</v>
      </c>
      <c r="D38" s="139">
        <f t="shared" si="4"/>
        <v>7000</v>
      </c>
      <c r="E38" s="138">
        <f t="shared" si="1"/>
        <v>0.72080859742433112</v>
      </c>
      <c r="N38"/>
      <c r="O38"/>
      <c r="P38"/>
      <c r="Q38"/>
      <c r="R38"/>
      <c r="S38"/>
      <c r="T38"/>
      <c r="U38"/>
      <c r="V38"/>
      <c r="W38"/>
      <c r="X38"/>
      <c r="Y38"/>
      <c r="Z38"/>
    </row>
    <row r="39" spans="1:26" ht="18.600000000000001" customHeight="1" x14ac:dyDescent="0.3">
      <c r="A39" s="137">
        <f t="shared" si="2"/>
        <v>2020</v>
      </c>
      <c r="B39" s="137">
        <f t="shared" ref="B39" si="9">B12</f>
        <v>24</v>
      </c>
      <c r="C39" s="137">
        <f t="shared" si="0"/>
        <v>36</v>
      </c>
      <c r="D39" s="139">
        <f t="shared" si="4"/>
        <v>7000</v>
      </c>
      <c r="E39" s="138">
        <f t="shared" si="1"/>
        <v>0.80988906295685736</v>
      </c>
      <c r="N39"/>
      <c r="O39"/>
      <c r="P39"/>
      <c r="Q39"/>
      <c r="R39"/>
      <c r="S39"/>
      <c r="T39"/>
      <c r="U39"/>
      <c r="V39"/>
      <c r="W39"/>
      <c r="X39"/>
      <c r="Y39"/>
      <c r="Z39"/>
    </row>
    <row r="40" spans="1:26" ht="18.600000000000001" customHeight="1" x14ac:dyDescent="0.3">
      <c r="A40" s="137">
        <f t="shared" si="2"/>
        <v>2021</v>
      </c>
      <c r="B40" s="137">
        <f t="shared" ref="B40" si="10">B13</f>
        <v>0</v>
      </c>
      <c r="C40" s="137">
        <f t="shared" si="0"/>
        <v>12</v>
      </c>
      <c r="D40" s="139">
        <f t="shared" si="4"/>
        <v>6800</v>
      </c>
      <c r="E40" s="138">
        <f t="shared" si="1"/>
        <v>0.46789338050430396</v>
      </c>
      <c r="N40"/>
      <c r="O40"/>
      <c r="P40"/>
      <c r="Q40"/>
      <c r="R40"/>
      <c r="S40"/>
      <c r="T40"/>
      <c r="U40"/>
      <c r="V40"/>
      <c r="W40"/>
      <c r="X40"/>
      <c r="Y40"/>
      <c r="Z40"/>
    </row>
    <row r="41" spans="1:26" ht="18.600000000000001" customHeight="1" x14ac:dyDescent="0.3">
      <c r="A41" s="137">
        <f t="shared" si="2"/>
        <v>2021</v>
      </c>
      <c r="B41" s="137">
        <f t="shared" ref="B41" si="11">B14</f>
        <v>12</v>
      </c>
      <c r="C41" s="137">
        <f t="shared" si="0"/>
        <v>24</v>
      </c>
      <c r="D41" s="139">
        <f t="shared" si="4"/>
        <v>6800</v>
      </c>
      <c r="E41" s="138">
        <f t="shared" si="1"/>
        <v>0.72080859742433112</v>
      </c>
      <c r="N41"/>
      <c r="O41"/>
      <c r="P41"/>
      <c r="Q41"/>
      <c r="R41"/>
      <c r="S41"/>
      <c r="T41"/>
      <c r="U41"/>
      <c r="V41"/>
      <c r="W41"/>
      <c r="X41"/>
      <c r="Y41"/>
      <c r="Z41"/>
    </row>
    <row r="42" spans="1:26" ht="18.600000000000001" customHeight="1" x14ac:dyDescent="0.3">
      <c r="A42" s="137">
        <f t="shared" si="2"/>
        <v>2022</v>
      </c>
      <c r="B42" s="137">
        <f t="shared" ref="B42" si="12">B15</f>
        <v>0</v>
      </c>
      <c r="C42" s="137">
        <f t="shared" si="0"/>
        <v>12</v>
      </c>
      <c r="D42" s="139">
        <f t="shared" si="4"/>
        <v>5300</v>
      </c>
      <c r="E42" s="138">
        <f t="shared" si="1"/>
        <v>0.46789338050430396</v>
      </c>
      <c r="N42"/>
      <c r="O42"/>
      <c r="P42"/>
      <c r="Q42"/>
      <c r="R42"/>
      <c r="S42"/>
      <c r="T42"/>
      <c r="U42"/>
      <c r="V42"/>
      <c r="W42"/>
      <c r="X42"/>
      <c r="Y42"/>
      <c r="Z42"/>
    </row>
    <row r="43" spans="1:26" x14ac:dyDescent="0.3">
      <c r="N43"/>
      <c r="O43"/>
      <c r="P43"/>
      <c r="Q43"/>
      <c r="R43"/>
      <c r="S43"/>
      <c r="T43"/>
      <c r="U43"/>
      <c r="V43"/>
      <c r="W43"/>
      <c r="X43"/>
      <c r="Y43"/>
      <c r="Z43"/>
    </row>
    <row r="44" spans="1:26" x14ac:dyDescent="0.3">
      <c r="A44" s="7" t="s">
        <v>4</v>
      </c>
      <c r="B44" s="7" t="s">
        <v>432</v>
      </c>
      <c r="C44" s="47"/>
      <c r="D44" s="228"/>
      <c r="E44" s="7"/>
      <c r="F44" s="7"/>
      <c r="G44" s="7"/>
      <c r="H44" s="7"/>
      <c r="I44" s="8"/>
      <c r="J44" s="8"/>
      <c r="K44" s="8"/>
      <c r="L44" s="8"/>
      <c r="M44" s="8"/>
      <c r="N44"/>
      <c r="O44"/>
      <c r="P44"/>
      <c r="Q44"/>
      <c r="R44"/>
      <c r="S44"/>
      <c r="T44"/>
      <c r="U44"/>
      <c r="V44"/>
      <c r="W44"/>
      <c r="X44"/>
      <c r="Y44"/>
      <c r="Z44"/>
    </row>
    <row r="45" spans="1:26" ht="16.2" x14ac:dyDescent="0.35">
      <c r="A45" s="9"/>
      <c r="B45" s="9" t="s">
        <v>1</v>
      </c>
      <c r="C45" s="9"/>
      <c r="D45" s="11"/>
      <c r="E45" s="11"/>
      <c r="F45" s="7"/>
      <c r="G45" s="7"/>
      <c r="H45" s="7"/>
      <c r="I45" s="8"/>
      <c r="J45" s="8"/>
      <c r="K45" s="8"/>
      <c r="L45" s="8"/>
      <c r="M45" s="8"/>
      <c r="N45"/>
      <c r="O45"/>
      <c r="P45"/>
      <c r="Q45"/>
      <c r="R45"/>
      <c r="S45"/>
      <c r="T45"/>
      <c r="U45"/>
      <c r="V45"/>
      <c r="W45"/>
      <c r="X45"/>
      <c r="Y45"/>
      <c r="Z45"/>
    </row>
    <row r="46" spans="1:26" x14ac:dyDescent="0.3">
      <c r="N46"/>
      <c r="O46"/>
      <c r="P46"/>
      <c r="Q46"/>
      <c r="R46"/>
      <c r="S46"/>
      <c r="T46"/>
      <c r="U46"/>
      <c r="V46"/>
      <c r="W46"/>
      <c r="X46"/>
      <c r="Y46"/>
      <c r="Z46"/>
    </row>
    <row r="47" spans="1:26" ht="46.8" x14ac:dyDescent="0.3">
      <c r="A47" s="140" t="s">
        <v>29</v>
      </c>
      <c r="B47" s="140" t="s">
        <v>30</v>
      </c>
      <c r="C47" s="140" t="s">
        <v>31</v>
      </c>
      <c r="D47" s="140" t="s">
        <v>32</v>
      </c>
      <c r="E47" s="150" t="s">
        <v>422</v>
      </c>
      <c r="F47" s="150" t="s">
        <v>421</v>
      </c>
      <c r="G47" s="140" t="s">
        <v>273</v>
      </c>
      <c r="H47" s="140" t="s">
        <v>274</v>
      </c>
      <c r="N47"/>
      <c r="O47"/>
      <c r="P47"/>
      <c r="Q47"/>
      <c r="R47"/>
      <c r="S47"/>
      <c r="T47"/>
      <c r="U47"/>
      <c r="V47"/>
      <c r="W47"/>
      <c r="X47"/>
      <c r="Y47"/>
      <c r="Z47"/>
    </row>
    <row r="48" spans="1:26" x14ac:dyDescent="0.3">
      <c r="A48" s="137">
        <f t="shared" ref="A48:C57" si="13">A33</f>
        <v>2019</v>
      </c>
      <c r="B48" s="137">
        <f t="shared" si="13"/>
        <v>0</v>
      </c>
      <c r="C48" s="137">
        <f t="shared" si="13"/>
        <v>12</v>
      </c>
      <c r="D48" s="142">
        <f t="shared" ref="D48:D57" si="14">D6</f>
        <v>2500</v>
      </c>
      <c r="E48" s="138">
        <f>IF(B48&lt;=6,0,((B48-6)^$L$29)/(((B48-6)^$L$29)+($L$28^$L$29)))</f>
        <v>0</v>
      </c>
      <c r="F48" s="138">
        <f t="shared" ref="F48:F57" si="15">E33</f>
        <v>0.46789338050430396</v>
      </c>
      <c r="G48" s="138">
        <f>(F48-E48)*VLOOKUP(A48,$G$33:$I$36,3)</f>
        <v>2734.3190892875432</v>
      </c>
      <c r="H48" s="138">
        <f>(D48-G48)^2/G48</f>
        <v>20.080112748965902</v>
      </c>
      <c r="N48"/>
      <c r="O48"/>
      <c r="P48"/>
      <c r="Q48"/>
      <c r="R48"/>
      <c r="S48"/>
      <c r="T48"/>
      <c r="U48"/>
      <c r="V48"/>
      <c r="W48"/>
      <c r="X48"/>
      <c r="Y48"/>
      <c r="Z48"/>
    </row>
    <row r="49" spans="1:29" x14ac:dyDescent="0.3">
      <c r="A49" s="137">
        <f t="shared" si="13"/>
        <v>2019</v>
      </c>
      <c r="B49" s="137">
        <f t="shared" si="13"/>
        <v>12</v>
      </c>
      <c r="C49" s="137">
        <f t="shared" si="13"/>
        <v>24</v>
      </c>
      <c r="D49" s="142">
        <f t="shared" si="14"/>
        <v>1800</v>
      </c>
      <c r="E49" s="138">
        <f t="shared" ref="E49:E57" si="16">IF(B49&lt;=6,0,((B49-6)^$L$29)/(((B49-6)^$L$29)+($L$28^$L$29)))</f>
        <v>0.46789338050430396</v>
      </c>
      <c r="F49" s="138">
        <f t="shared" si="15"/>
        <v>0.72080859742433112</v>
      </c>
      <c r="G49" s="138">
        <f t="shared" ref="G49:G57" si="17">(F49-E49)*VLOOKUP(A49,$G$33:$I$36,3)</f>
        <v>1478.009594515665</v>
      </c>
      <c r="H49" s="138">
        <f t="shared" ref="H49:H57" si="18">(D49-G49)^2/G49</f>
        <v>70.146920296509379</v>
      </c>
      <c r="N49"/>
      <c r="O49"/>
      <c r="P49"/>
      <c r="Q49"/>
      <c r="R49"/>
      <c r="S49"/>
      <c r="T49"/>
      <c r="U49"/>
      <c r="V49"/>
      <c r="W49"/>
      <c r="X49"/>
      <c r="Y49"/>
      <c r="Z49"/>
    </row>
    <row r="50" spans="1:29" x14ac:dyDescent="0.3">
      <c r="A50" s="137">
        <f t="shared" si="13"/>
        <v>2019</v>
      </c>
      <c r="B50" s="137">
        <f t="shared" si="13"/>
        <v>24</v>
      </c>
      <c r="C50" s="137">
        <f t="shared" si="13"/>
        <v>36</v>
      </c>
      <c r="D50" s="142">
        <f t="shared" si="14"/>
        <v>500</v>
      </c>
      <c r="E50" s="138">
        <f t="shared" si="16"/>
        <v>0.72080859742433112</v>
      </c>
      <c r="F50" s="138">
        <f t="shared" si="15"/>
        <v>0.80988906295685736</v>
      </c>
      <c r="G50" s="138">
        <f t="shared" si="17"/>
        <v>520.5767543145804</v>
      </c>
      <c r="H50" s="138">
        <f t="shared" si="18"/>
        <v>0.81333408496135817</v>
      </c>
      <c r="N50"/>
      <c r="O50"/>
      <c r="P50"/>
      <c r="Q50"/>
      <c r="R50"/>
      <c r="S50"/>
      <c r="T50"/>
      <c r="U50"/>
      <c r="V50"/>
      <c r="W50"/>
      <c r="X50"/>
      <c r="Y50"/>
      <c r="Z50"/>
    </row>
    <row r="51" spans="1:29" x14ac:dyDescent="0.3">
      <c r="A51" s="137">
        <f t="shared" si="13"/>
        <v>2019</v>
      </c>
      <c r="B51" s="137">
        <f t="shared" si="13"/>
        <v>36</v>
      </c>
      <c r="C51" s="137">
        <f t="shared" si="13"/>
        <v>48</v>
      </c>
      <c r="D51" s="142">
        <f t="shared" si="14"/>
        <v>200</v>
      </c>
      <c r="E51" s="138">
        <f t="shared" si="16"/>
        <v>0.80988906295685736</v>
      </c>
      <c r="F51" s="138">
        <f t="shared" si="15"/>
        <v>0.85559396183387415</v>
      </c>
      <c r="G51" s="138">
        <f t="shared" si="17"/>
        <v>267.09456188221117</v>
      </c>
      <c r="H51" s="138">
        <f t="shared" si="18"/>
        <v>16.854256419309305</v>
      </c>
      <c r="N51"/>
      <c r="O51"/>
      <c r="P51"/>
      <c r="Q51"/>
      <c r="R51"/>
      <c r="S51"/>
      <c r="T51"/>
      <c r="U51"/>
      <c r="V51"/>
      <c r="W51"/>
      <c r="X51"/>
      <c r="Y51"/>
      <c r="Z51"/>
    </row>
    <row r="52" spans="1:29" x14ac:dyDescent="0.3">
      <c r="A52" s="137">
        <f t="shared" si="13"/>
        <v>2020</v>
      </c>
      <c r="B52" s="137">
        <f t="shared" si="13"/>
        <v>0</v>
      </c>
      <c r="C52" s="137">
        <f t="shared" si="13"/>
        <v>12</v>
      </c>
      <c r="D52" s="142">
        <f t="shared" si="14"/>
        <v>4100</v>
      </c>
      <c r="E52" s="138">
        <f t="shared" si="16"/>
        <v>0</v>
      </c>
      <c r="F52" s="138">
        <f t="shared" si="15"/>
        <v>0.46789338050430396</v>
      </c>
      <c r="G52" s="138">
        <f t="shared" si="17"/>
        <v>4044.0769153893361</v>
      </c>
      <c r="H52" s="138">
        <f t="shared" si="18"/>
        <v>0.77332638765362982</v>
      </c>
      <c r="N52"/>
      <c r="O52"/>
      <c r="P52"/>
      <c r="Q52"/>
      <c r="R52"/>
      <c r="S52"/>
      <c r="T52"/>
      <c r="U52"/>
      <c r="V52"/>
      <c r="W52"/>
      <c r="X52"/>
      <c r="Y52"/>
      <c r="Z52"/>
    </row>
    <row r="53" spans="1:29" x14ac:dyDescent="0.3">
      <c r="A53" s="137">
        <f t="shared" si="13"/>
        <v>2020</v>
      </c>
      <c r="B53" s="137">
        <f t="shared" si="13"/>
        <v>12</v>
      </c>
      <c r="C53" s="137">
        <f t="shared" si="13"/>
        <v>24</v>
      </c>
      <c r="D53" s="142">
        <f t="shared" si="14"/>
        <v>2000</v>
      </c>
      <c r="E53" s="138">
        <f t="shared" si="16"/>
        <v>0.46789338050430396</v>
      </c>
      <c r="F53" s="138">
        <f t="shared" si="15"/>
        <v>0.72080859742433112</v>
      </c>
      <c r="G53" s="138">
        <f t="shared" si="17"/>
        <v>2185.9864510042153</v>
      </c>
      <c r="H53" s="138">
        <f t="shared" si="18"/>
        <v>15.823958991718683</v>
      </c>
      <c r="N53"/>
      <c r="O53"/>
      <c r="P53"/>
      <c r="Q53"/>
      <c r="R53"/>
      <c r="S53"/>
      <c r="T53"/>
      <c r="U53"/>
      <c r="V53"/>
      <c r="W53"/>
      <c r="X53"/>
      <c r="Y53"/>
      <c r="Z53"/>
    </row>
    <row r="54" spans="1:29" x14ac:dyDescent="0.3">
      <c r="A54" s="137">
        <f t="shared" si="13"/>
        <v>2020</v>
      </c>
      <c r="B54" s="137">
        <f t="shared" si="13"/>
        <v>24</v>
      </c>
      <c r="C54" s="137">
        <f t="shared" si="13"/>
        <v>36</v>
      </c>
      <c r="D54" s="142">
        <f t="shared" si="14"/>
        <v>900</v>
      </c>
      <c r="E54" s="138">
        <f t="shared" si="16"/>
        <v>0.72080859742433112</v>
      </c>
      <c r="F54" s="138">
        <f t="shared" si="15"/>
        <v>0.80988906295685736</v>
      </c>
      <c r="G54" s="138">
        <f t="shared" si="17"/>
        <v>769.93663360644837</v>
      </c>
      <c r="H54" s="138">
        <f t="shared" si="18"/>
        <v>21.971261710700837</v>
      </c>
      <c r="N54"/>
      <c r="O54"/>
      <c r="P54"/>
      <c r="Q54"/>
      <c r="R54"/>
      <c r="S54"/>
      <c r="T54"/>
      <c r="U54"/>
      <c r="V54"/>
      <c r="W54"/>
      <c r="X54"/>
      <c r="Y54"/>
      <c r="Z54"/>
    </row>
    <row r="55" spans="1:29" x14ac:dyDescent="0.3">
      <c r="A55" s="137">
        <f t="shared" si="13"/>
        <v>2021</v>
      </c>
      <c r="B55" s="137">
        <f t="shared" si="13"/>
        <v>0</v>
      </c>
      <c r="C55" s="137">
        <f t="shared" si="13"/>
        <v>12</v>
      </c>
      <c r="D55" s="142">
        <f t="shared" si="14"/>
        <v>4600</v>
      </c>
      <c r="E55" s="138">
        <f t="shared" si="16"/>
        <v>0</v>
      </c>
      <c r="F55" s="138">
        <f t="shared" si="15"/>
        <v>0.46789338050430396</v>
      </c>
      <c r="G55" s="138">
        <f t="shared" si="17"/>
        <v>4414.035846406885</v>
      </c>
      <c r="H55" s="138">
        <f t="shared" si="18"/>
        <v>7.8347044801991528</v>
      </c>
      <c r="N55"/>
      <c r="O55"/>
      <c r="P55"/>
      <c r="Q55"/>
      <c r="R55"/>
      <c r="S55"/>
      <c r="T55"/>
      <c r="U55"/>
      <c r="V55"/>
      <c r="W55"/>
      <c r="X55"/>
      <c r="Y55"/>
      <c r="Z55"/>
    </row>
    <row r="56" spans="1:29" x14ac:dyDescent="0.3">
      <c r="A56" s="137">
        <f t="shared" si="13"/>
        <v>2021</v>
      </c>
      <c r="B56" s="137">
        <f t="shared" si="13"/>
        <v>12</v>
      </c>
      <c r="C56" s="137">
        <f t="shared" si="13"/>
        <v>24</v>
      </c>
      <c r="D56" s="142">
        <f t="shared" si="14"/>
        <v>2200</v>
      </c>
      <c r="E56" s="138">
        <f t="shared" si="16"/>
        <v>0.46789338050430396</v>
      </c>
      <c r="F56" s="138">
        <f t="shared" si="15"/>
        <v>0.72080859742433112</v>
      </c>
      <c r="G56" s="138">
        <f t="shared" si="17"/>
        <v>2385.9641535931155</v>
      </c>
      <c r="H56" s="138">
        <f t="shared" si="18"/>
        <v>14.494210388502477</v>
      </c>
      <c r="N56"/>
      <c r="O56"/>
      <c r="P56"/>
      <c r="Q56"/>
      <c r="R56"/>
      <c r="S56"/>
      <c r="T56"/>
      <c r="U56"/>
      <c r="V56"/>
      <c r="W56"/>
      <c r="X56"/>
      <c r="Y56"/>
      <c r="Z56"/>
    </row>
    <row r="57" spans="1:29" x14ac:dyDescent="0.3">
      <c r="A57" s="137">
        <f t="shared" si="13"/>
        <v>2022</v>
      </c>
      <c r="B57" s="137">
        <f t="shared" si="13"/>
        <v>0</v>
      </c>
      <c r="C57" s="137">
        <f t="shared" si="13"/>
        <v>12</v>
      </c>
      <c r="D57" s="142">
        <f t="shared" si="14"/>
        <v>5300</v>
      </c>
      <c r="E57" s="138">
        <f t="shared" si="16"/>
        <v>0</v>
      </c>
      <c r="F57" s="138">
        <f t="shared" si="15"/>
        <v>0.46789338050430396</v>
      </c>
      <c r="G57" s="138">
        <f t="shared" si="17"/>
        <v>5300</v>
      </c>
      <c r="H57" s="138">
        <f t="shared" si="18"/>
        <v>0</v>
      </c>
      <c r="N57"/>
      <c r="O57"/>
      <c r="P57"/>
      <c r="Q57"/>
      <c r="R57"/>
      <c r="S57"/>
      <c r="T57"/>
      <c r="U57"/>
      <c r="V57"/>
      <c r="W57"/>
      <c r="X57"/>
      <c r="Y57"/>
      <c r="Z57"/>
    </row>
    <row r="58" spans="1:29" x14ac:dyDescent="0.3">
      <c r="N58"/>
      <c r="O58"/>
      <c r="P58"/>
      <c r="Q58"/>
      <c r="R58"/>
      <c r="S58"/>
      <c r="T58"/>
      <c r="U58"/>
      <c r="V58"/>
      <c r="W58"/>
      <c r="X58"/>
      <c r="Y58"/>
      <c r="Z58"/>
    </row>
    <row r="59" spans="1:29" x14ac:dyDescent="0.3">
      <c r="B59" s="141" t="s">
        <v>275</v>
      </c>
      <c r="C59" s="141"/>
      <c r="N59"/>
      <c r="O59"/>
      <c r="P59"/>
      <c r="Q59"/>
      <c r="R59"/>
      <c r="S59"/>
      <c r="T59"/>
      <c r="U59"/>
      <c r="V59"/>
      <c r="W59"/>
      <c r="X59"/>
      <c r="Y59"/>
      <c r="Z59"/>
    </row>
    <row r="60" spans="1:29" x14ac:dyDescent="0.3">
      <c r="B60" s="146">
        <f>SUM(H48:H57)/(COUNT(A48:A57)-COUNT(I33:I36)-COUNT(L28:L29))</f>
        <v>42.198021377130175</v>
      </c>
      <c r="N60"/>
      <c r="O60"/>
      <c r="P60"/>
      <c r="Q60"/>
      <c r="R60"/>
      <c r="S60"/>
      <c r="T60"/>
      <c r="U60"/>
      <c r="V60"/>
      <c r="W60"/>
      <c r="X60"/>
      <c r="Y60"/>
      <c r="Z60"/>
    </row>
    <row r="61" spans="1:29" x14ac:dyDescent="0.3">
      <c r="N61"/>
      <c r="O61"/>
      <c r="P61"/>
      <c r="Q61"/>
      <c r="R61"/>
      <c r="S61"/>
      <c r="T61"/>
      <c r="U61"/>
      <c r="V61"/>
      <c r="W61"/>
      <c r="X61"/>
      <c r="Y61"/>
      <c r="Z61"/>
    </row>
    <row r="62" spans="1:29" ht="16.2" x14ac:dyDescent="0.35">
      <c r="A62" s="7" t="s">
        <v>9</v>
      </c>
      <c r="B62" s="7" t="s">
        <v>36</v>
      </c>
      <c r="C62" s="9"/>
      <c r="D62" s="7"/>
      <c r="E62" s="7"/>
      <c r="F62" s="7"/>
      <c r="G62" s="7"/>
      <c r="H62" s="7"/>
      <c r="I62" s="8"/>
      <c r="J62" s="7"/>
      <c r="K62" s="7"/>
      <c r="L62" s="7"/>
      <c r="M62" s="7"/>
      <c r="N62"/>
      <c r="O62"/>
      <c r="P62"/>
      <c r="Q62"/>
      <c r="R62"/>
      <c r="S62"/>
      <c r="T62"/>
      <c r="U62"/>
      <c r="V62"/>
      <c r="W62"/>
      <c r="X62"/>
      <c r="Y62"/>
      <c r="Z62"/>
      <c r="AA62"/>
      <c r="AB62"/>
      <c r="AC62"/>
    </row>
    <row r="63" spans="1:29" ht="16.2" x14ac:dyDescent="0.35">
      <c r="A63" s="9"/>
      <c r="B63" s="9" t="s">
        <v>1</v>
      </c>
      <c r="C63" s="9"/>
      <c r="D63" s="11"/>
      <c r="E63" s="11"/>
      <c r="F63" s="7"/>
      <c r="G63" s="7"/>
      <c r="H63" s="7"/>
      <c r="I63" s="8"/>
      <c r="J63" s="8"/>
      <c r="K63" s="8"/>
      <c r="L63" s="8"/>
      <c r="M63" s="8"/>
      <c r="N63"/>
      <c r="O63"/>
      <c r="P63"/>
      <c r="Q63"/>
      <c r="R63"/>
      <c r="S63"/>
      <c r="T63"/>
      <c r="U63"/>
      <c r="V63"/>
      <c r="W63"/>
      <c r="X63"/>
      <c r="Y63"/>
      <c r="Z63"/>
      <c r="AA63"/>
      <c r="AB63"/>
    </row>
    <row r="64" spans="1:29" x14ac:dyDescent="0.3">
      <c r="N64"/>
      <c r="O64"/>
      <c r="P64"/>
      <c r="Q64"/>
      <c r="R64"/>
      <c r="S64"/>
      <c r="T64"/>
      <c r="U64"/>
      <c r="V64"/>
      <c r="W64"/>
      <c r="X64"/>
      <c r="Y64"/>
      <c r="Z64"/>
      <c r="AA64"/>
      <c r="AB64"/>
    </row>
    <row r="65" spans="1:28" x14ac:dyDescent="0.3">
      <c r="B65" s="126" t="s">
        <v>59</v>
      </c>
      <c r="C65" s="126" t="s">
        <v>277</v>
      </c>
      <c r="D65" s="126" t="s">
        <v>278</v>
      </c>
      <c r="E65" s="126" t="s">
        <v>279</v>
      </c>
      <c r="N65"/>
      <c r="O65"/>
      <c r="P65"/>
      <c r="Q65"/>
      <c r="R65"/>
      <c r="S65"/>
      <c r="T65"/>
      <c r="U65"/>
      <c r="V65"/>
      <c r="W65"/>
      <c r="X65"/>
      <c r="Y65"/>
      <c r="Z65"/>
      <c r="AA65"/>
      <c r="AB65"/>
    </row>
    <row r="66" spans="1:28" x14ac:dyDescent="0.3">
      <c r="B66" s="126">
        <v>2019</v>
      </c>
      <c r="C66" s="147">
        <f>I33</f>
        <v>5843.8935091162102</v>
      </c>
      <c r="D66" s="147">
        <f>VLOOKUP(B66,$A$33:$D$42,4)</f>
        <v>5000</v>
      </c>
      <c r="E66" s="147">
        <f>C66-D66</f>
        <v>843.89350911621023</v>
      </c>
      <c r="N66"/>
      <c r="O66"/>
      <c r="P66"/>
      <c r="Q66"/>
      <c r="R66"/>
      <c r="S66"/>
      <c r="T66"/>
      <c r="U66"/>
      <c r="V66"/>
      <c r="W66"/>
      <c r="X66"/>
      <c r="Y66"/>
      <c r="Z66"/>
      <c r="AA66"/>
      <c r="AB66"/>
    </row>
    <row r="67" spans="1:28" x14ac:dyDescent="0.3">
      <c r="B67" s="126">
        <v>2020</v>
      </c>
      <c r="C67" s="147">
        <f>I34</f>
        <v>8643.1590697661868</v>
      </c>
      <c r="D67" s="147">
        <f t="shared" ref="D67:D69" si="19">VLOOKUP(B67,$A$33:$D$42,4)</f>
        <v>7000</v>
      </c>
      <c r="E67" s="147">
        <f t="shared" ref="E67:E69" si="20">C67-D67</f>
        <v>1643.1590697661868</v>
      </c>
      <c r="N67"/>
      <c r="O67"/>
      <c r="P67"/>
      <c r="Q67"/>
      <c r="R67"/>
      <c r="S67"/>
      <c r="T67"/>
      <c r="U67"/>
      <c r="V67"/>
      <c r="W67"/>
      <c r="X67"/>
      <c r="Y67"/>
      <c r="Z67"/>
      <c r="AA67"/>
      <c r="AB67"/>
    </row>
    <row r="68" spans="1:28" x14ac:dyDescent="0.3">
      <c r="B68" s="126">
        <v>2021</v>
      </c>
      <c r="C68" s="147">
        <f>I35</f>
        <v>9433.8497408306084</v>
      </c>
      <c r="D68" s="147">
        <f t="shared" si="19"/>
        <v>6800</v>
      </c>
      <c r="E68" s="147">
        <f t="shared" si="20"/>
        <v>2633.8497408306084</v>
      </c>
      <c r="N68"/>
      <c r="O68"/>
      <c r="P68"/>
      <c r="Q68"/>
      <c r="R68"/>
      <c r="S68"/>
      <c r="T68"/>
      <c r="U68"/>
      <c r="V68"/>
      <c r="W68"/>
      <c r="X68"/>
      <c r="Y68"/>
      <c r="Z68"/>
      <c r="AA68"/>
      <c r="AB68"/>
    </row>
    <row r="69" spans="1:28" x14ac:dyDescent="0.3">
      <c r="B69" s="126">
        <v>2022</v>
      </c>
      <c r="C69" s="147">
        <f>I36</f>
        <v>11327.366919120685</v>
      </c>
      <c r="D69" s="147">
        <f t="shared" si="19"/>
        <v>5300</v>
      </c>
      <c r="E69" s="147">
        <f t="shared" si="20"/>
        <v>6027.3669191206845</v>
      </c>
      <c r="N69"/>
      <c r="O69"/>
      <c r="P69"/>
      <c r="Q69"/>
      <c r="R69"/>
      <c r="S69"/>
      <c r="T69"/>
      <c r="U69"/>
      <c r="V69"/>
      <c r="W69"/>
      <c r="X69"/>
      <c r="Y69"/>
      <c r="Z69"/>
      <c r="AA69"/>
      <c r="AB69"/>
    </row>
    <row r="70" spans="1:28" x14ac:dyDescent="0.3">
      <c r="B70" s="126" t="s">
        <v>276</v>
      </c>
      <c r="C70" s="147">
        <f>SUM(C66:C69)</f>
        <v>35248.269238833695</v>
      </c>
      <c r="D70" s="147">
        <f t="shared" ref="D70:E70" si="21">SUM(D66:D69)</f>
        <v>24100</v>
      </c>
      <c r="E70" s="147">
        <f t="shared" si="21"/>
        <v>11148.269238833691</v>
      </c>
      <c r="N70"/>
      <c r="O70"/>
      <c r="P70"/>
      <c r="Q70"/>
      <c r="R70"/>
      <c r="S70"/>
      <c r="T70"/>
      <c r="U70"/>
      <c r="V70"/>
      <c r="W70"/>
      <c r="X70"/>
      <c r="Y70"/>
      <c r="Z70"/>
      <c r="AA70"/>
      <c r="AB70"/>
    </row>
    <row r="71" spans="1:28" x14ac:dyDescent="0.3">
      <c r="B71" s="126"/>
      <c r="C71" s="147"/>
      <c r="D71" s="147"/>
      <c r="E71" s="147"/>
      <c r="N71"/>
      <c r="O71"/>
      <c r="P71"/>
      <c r="Q71"/>
      <c r="R71"/>
      <c r="S71"/>
      <c r="T71"/>
      <c r="U71"/>
      <c r="V71"/>
      <c r="W71"/>
      <c r="X71"/>
      <c r="Y71"/>
      <c r="Z71"/>
      <c r="AA71"/>
      <c r="AB71"/>
    </row>
    <row r="72" spans="1:28" x14ac:dyDescent="0.3">
      <c r="C72" s="141" t="s">
        <v>280</v>
      </c>
      <c r="D72" s="141"/>
      <c r="E72" s="141"/>
      <c r="F72" s="146">
        <f>SQRT(B60*SUM(E66:E69))</f>
        <v>685.88257279093102</v>
      </c>
      <c r="N72"/>
      <c r="O72"/>
      <c r="P72"/>
      <c r="Q72"/>
      <c r="R72"/>
      <c r="S72"/>
      <c r="T72"/>
      <c r="U72"/>
      <c r="V72"/>
      <c r="W72"/>
      <c r="X72"/>
      <c r="Y72"/>
      <c r="Z72"/>
      <c r="AA72"/>
      <c r="AB72"/>
    </row>
    <row r="73" spans="1:28" x14ac:dyDescent="0.3">
      <c r="N73"/>
      <c r="O73"/>
      <c r="P73"/>
      <c r="Q73"/>
      <c r="R73"/>
      <c r="S73"/>
      <c r="T73"/>
      <c r="U73"/>
      <c r="V73"/>
      <c r="W73"/>
      <c r="X73"/>
      <c r="Y73"/>
      <c r="Z73"/>
      <c r="AA73"/>
      <c r="AB73"/>
    </row>
    <row r="74" spans="1:28" ht="31.2" customHeight="1" x14ac:dyDescent="0.3">
      <c r="A74" s="231" t="s">
        <v>236</v>
      </c>
      <c r="B74" s="231"/>
      <c r="C74" s="231"/>
      <c r="D74" s="231"/>
      <c r="E74" s="231"/>
      <c r="F74" s="231"/>
      <c r="G74" s="231"/>
      <c r="H74" s="231"/>
      <c r="I74" s="231"/>
      <c r="J74" s="231"/>
      <c r="K74" s="231"/>
      <c r="L74" s="231"/>
      <c r="M74" s="231"/>
      <c r="N74"/>
      <c r="O74"/>
      <c r="P74"/>
      <c r="Q74"/>
      <c r="R74"/>
      <c r="S74"/>
      <c r="T74"/>
      <c r="U74"/>
      <c r="V74"/>
      <c r="W74"/>
      <c r="X74"/>
      <c r="Y74"/>
      <c r="Z74"/>
      <c r="AA74"/>
      <c r="AB74"/>
    </row>
    <row r="75" spans="1:28" x14ac:dyDescent="0.3">
      <c r="A75" s="47"/>
      <c r="B75" s="47"/>
      <c r="C75" s="47"/>
      <c r="D75" s="47"/>
      <c r="E75" s="47"/>
      <c r="F75" s="47"/>
      <c r="G75" s="47"/>
      <c r="H75" s="47"/>
      <c r="I75" s="47"/>
      <c r="J75" s="47"/>
      <c r="K75" s="47"/>
      <c r="L75" s="47"/>
      <c r="M75" s="47"/>
      <c r="N75"/>
      <c r="O75"/>
      <c r="P75"/>
      <c r="Q75"/>
      <c r="R75"/>
      <c r="S75"/>
      <c r="T75"/>
      <c r="U75"/>
      <c r="V75"/>
      <c r="W75"/>
      <c r="X75"/>
      <c r="Y75"/>
      <c r="Z75"/>
      <c r="AA75"/>
      <c r="AB75"/>
    </row>
    <row r="76" spans="1:28" ht="16.2" x14ac:dyDescent="0.35">
      <c r="A76" s="7" t="s">
        <v>35</v>
      </c>
      <c r="B76" s="7" t="s">
        <v>81</v>
      </c>
      <c r="C76" s="9"/>
      <c r="D76" s="7"/>
      <c r="E76" s="11"/>
      <c r="F76" s="7"/>
      <c r="G76" s="7"/>
      <c r="H76" s="8"/>
      <c r="I76" s="47"/>
      <c r="J76" s="8"/>
      <c r="K76" s="8"/>
      <c r="L76" s="8"/>
      <c r="M76" s="8"/>
      <c r="N76"/>
      <c r="O76"/>
      <c r="P76"/>
      <c r="Q76"/>
      <c r="R76"/>
      <c r="S76"/>
      <c r="T76"/>
      <c r="U76"/>
      <c r="V76"/>
      <c r="W76"/>
      <c r="X76"/>
      <c r="Y76"/>
      <c r="Z76"/>
      <c r="AA76"/>
      <c r="AB76"/>
    </row>
    <row r="77" spans="1:28" ht="16.2" x14ac:dyDescent="0.35">
      <c r="A77" s="9"/>
      <c r="B77" s="9" t="s">
        <v>1</v>
      </c>
      <c r="C77" s="9"/>
      <c r="D77" s="11"/>
      <c r="E77" s="11"/>
      <c r="F77" s="7"/>
      <c r="G77" s="7"/>
      <c r="H77" s="8"/>
      <c r="I77" s="47"/>
      <c r="J77" s="8"/>
      <c r="K77" s="8"/>
      <c r="L77" s="8"/>
      <c r="M77" s="8"/>
      <c r="N77"/>
      <c r="O77"/>
      <c r="P77"/>
      <c r="Q77"/>
      <c r="R77"/>
      <c r="S77"/>
      <c r="T77"/>
      <c r="U77"/>
      <c r="V77"/>
      <c r="W77"/>
      <c r="X77"/>
      <c r="Y77"/>
      <c r="Z77"/>
      <c r="AA77"/>
      <c r="AB77"/>
    </row>
    <row r="78" spans="1:28" x14ac:dyDescent="0.3">
      <c r="B78" s="235" t="s">
        <v>281</v>
      </c>
      <c r="C78" s="235"/>
      <c r="D78" s="235"/>
      <c r="E78" s="235"/>
      <c r="F78" s="235"/>
      <c r="G78" s="235"/>
      <c r="H78" s="235"/>
      <c r="I78" s="235"/>
      <c r="J78" s="235"/>
      <c r="K78" s="235"/>
      <c r="L78" s="235"/>
      <c r="M78" s="235"/>
      <c r="N78"/>
      <c r="O78"/>
      <c r="P78"/>
      <c r="Q78"/>
      <c r="R78"/>
      <c r="S78"/>
      <c r="T78"/>
      <c r="U78"/>
      <c r="V78"/>
      <c r="W78"/>
      <c r="X78"/>
      <c r="Y78"/>
      <c r="Z78"/>
      <c r="AA78"/>
      <c r="AB78"/>
    </row>
    <row r="79" spans="1:28" x14ac:dyDescent="0.3">
      <c r="B79" s="235"/>
      <c r="C79" s="235"/>
      <c r="D79" s="235"/>
      <c r="E79" s="235"/>
      <c r="F79" s="235"/>
      <c r="G79" s="235"/>
      <c r="H79" s="235"/>
      <c r="I79" s="235"/>
      <c r="J79" s="235"/>
      <c r="K79" s="235"/>
      <c r="L79" s="235"/>
      <c r="M79" s="235"/>
      <c r="N79"/>
      <c r="O79"/>
      <c r="P79"/>
      <c r="Q79"/>
      <c r="R79"/>
      <c r="S79"/>
      <c r="T79"/>
      <c r="U79"/>
      <c r="V79"/>
      <c r="W79"/>
      <c r="X79"/>
      <c r="Y79"/>
      <c r="Z79"/>
      <c r="AA79"/>
      <c r="AB79"/>
    </row>
    <row r="80" spans="1:28" x14ac:dyDescent="0.3">
      <c r="B80" s="235"/>
      <c r="C80" s="235"/>
      <c r="D80" s="235"/>
      <c r="E80" s="235"/>
      <c r="F80" s="235"/>
      <c r="G80" s="235"/>
      <c r="H80" s="235"/>
      <c r="I80" s="235"/>
      <c r="J80" s="235"/>
      <c r="K80" s="235"/>
      <c r="L80" s="235"/>
      <c r="M80" s="235"/>
      <c r="N80"/>
      <c r="O80"/>
      <c r="P80"/>
      <c r="Q80"/>
      <c r="R80"/>
      <c r="S80"/>
      <c r="T80"/>
      <c r="U80"/>
      <c r="V80"/>
      <c r="W80"/>
      <c r="X80"/>
      <c r="Y80"/>
      <c r="Z80"/>
      <c r="AA80"/>
      <c r="AB80"/>
    </row>
    <row r="81" spans="14:29" x14ac:dyDescent="0.3">
      <c r="N81"/>
      <c r="O81"/>
      <c r="P81"/>
      <c r="Q81"/>
      <c r="R81"/>
      <c r="S81"/>
      <c r="T81"/>
      <c r="U81"/>
      <c r="V81"/>
      <c r="W81"/>
      <c r="X81"/>
      <c r="Y81"/>
      <c r="Z81"/>
      <c r="AA81"/>
      <c r="AB81"/>
    </row>
    <row r="82" spans="14:29" x14ac:dyDescent="0.3">
      <c r="N82"/>
      <c r="O82"/>
      <c r="P82"/>
      <c r="Q82"/>
      <c r="R82"/>
      <c r="S82"/>
      <c r="T82"/>
      <c r="U82"/>
      <c r="V82"/>
      <c r="W82"/>
      <c r="X82"/>
      <c r="Y82"/>
      <c r="Z82"/>
      <c r="AA82"/>
      <c r="AB82"/>
    </row>
    <row r="83" spans="14:29" x14ac:dyDescent="0.3">
      <c r="N83"/>
      <c r="O83"/>
      <c r="P83"/>
      <c r="Q83"/>
      <c r="R83"/>
      <c r="S83"/>
      <c r="T83"/>
      <c r="U83"/>
      <c r="V83"/>
      <c r="W83"/>
      <c r="X83"/>
      <c r="Y83"/>
      <c r="Z83"/>
      <c r="AA83"/>
      <c r="AB83"/>
    </row>
    <row r="84" spans="14:29" x14ac:dyDescent="0.3">
      <c r="N84"/>
      <c r="O84"/>
      <c r="P84"/>
      <c r="Q84"/>
      <c r="R84"/>
      <c r="S84"/>
      <c r="T84"/>
      <c r="U84"/>
      <c r="V84"/>
      <c r="W84"/>
      <c r="X84"/>
      <c r="Y84"/>
      <c r="Z84"/>
      <c r="AA84"/>
      <c r="AB84"/>
    </row>
    <row r="85" spans="14:29" x14ac:dyDescent="0.3">
      <c r="N85"/>
      <c r="O85"/>
      <c r="P85"/>
      <c r="Q85"/>
      <c r="R85"/>
      <c r="S85"/>
      <c r="T85"/>
      <c r="U85"/>
      <c r="V85"/>
      <c r="W85"/>
      <c r="X85"/>
      <c r="Y85"/>
      <c r="Z85"/>
      <c r="AA85"/>
      <c r="AB85"/>
      <c r="AC85" s="54"/>
    </row>
    <row r="86" spans="14:29" x14ac:dyDescent="0.3">
      <c r="N86"/>
      <c r="O86"/>
      <c r="P86"/>
      <c r="Q86"/>
      <c r="R86"/>
      <c r="S86"/>
      <c r="T86"/>
      <c r="U86"/>
      <c r="V86"/>
      <c r="W86"/>
      <c r="X86"/>
      <c r="Y86"/>
      <c r="Z86"/>
      <c r="AA86"/>
      <c r="AB86"/>
      <c r="AC86" s="54"/>
    </row>
    <row r="87" spans="14:29" x14ac:dyDescent="0.3">
      <c r="N87"/>
      <c r="O87"/>
      <c r="P87"/>
      <c r="Q87"/>
      <c r="R87"/>
      <c r="S87"/>
      <c r="T87"/>
      <c r="U87"/>
      <c r="V87"/>
      <c r="W87"/>
      <c r="X87"/>
      <c r="Y87"/>
      <c r="Z87"/>
      <c r="AA87"/>
      <c r="AB87"/>
      <c r="AC87" s="54"/>
    </row>
    <row r="88" spans="14:29" x14ac:dyDescent="0.3">
      <c r="N88"/>
      <c r="O88"/>
      <c r="P88"/>
      <c r="Q88"/>
      <c r="R88"/>
      <c r="S88"/>
      <c r="T88"/>
      <c r="U88"/>
      <c r="V88"/>
      <c r="W88"/>
      <c r="X88"/>
      <c r="Y88"/>
      <c r="Z88"/>
      <c r="AA88"/>
      <c r="AB88"/>
    </row>
    <row r="89" spans="14:29" x14ac:dyDescent="0.3">
      <c r="N89"/>
      <c r="O89"/>
      <c r="P89"/>
      <c r="Q89"/>
      <c r="R89"/>
      <c r="S89"/>
      <c r="T89"/>
      <c r="U89"/>
      <c r="V89"/>
      <c r="W89"/>
      <c r="X89"/>
      <c r="Y89"/>
      <c r="Z89"/>
      <c r="AA89"/>
      <c r="AB89"/>
    </row>
    <row r="90" spans="14:29" x14ac:dyDescent="0.3">
      <c r="N90"/>
      <c r="O90"/>
      <c r="P90"/>
      <c r="Q90"/>
      <c r="R90"/>
      <c r="S90"/>
      <c r="T90"/>
      <c r="U90"/>
      <c r="V90"/>
      <c r="W90"/>
      <c r="X90"/>
      <c r="Y90"/>
      <c r="Z90"/>
    </row>
    <row r="91" spans="14:29" x14ac:dyDescent="0.3">
      <c r="N91"/>
      <c r="O91"/>
      <c r="P91"/>
      <c r="Q91"/>
      <c r="R91"/>
      <c r="S91"/>
      <c r="T91"/>
      <c r="U91"/>
      <c r="V91"/>
      <c r="W91"/>
      <c r="X91"/>
      <c r="Y91"/>
      <c r="Z91"/>
    </row>
    <row r="92" spans="14:29" x14ac:dyDescent="0.3">
      <c r="N92"/>
      <c r="O92"/>
      <c r="P92"/>
      <c r="Q92"/>
      <c r="R92"/>
      <c r="S92"/>
      <c r="T92"/>
      <c r="U92"/>
      <c r="V92"/>
      <c r="W92"/>
      <c r="X92"/>
      <c r="Y92"/>
      <c r="Z92"/>
    </row>
    <row r="93" spans="14:29" x14ac:dyDescent="0.3">
      <c r="N93"/>
      <c r="O93"/>
      <c r="P93"/>
      <c r="Q93"/>
      <c r="R93"/>
      <c r="S93"/>
      <c r="T93"/>
      <c r="U93"/>
      <c r="V93"/>
      <c r="W93"/>
      <c r="X93"/>
      <c r="Y93"/>
      <c r="Z93"/>
    </row>
    <row r="94" spans="14:29" x14ac:dyDescent="0.3">
      <c r="N94"/>
      <c r="O94"/>
      <c r="P94"/>
      <c r="Q94"/>
      <c r="R94"/>
      <c r="S94"/>
      <c r="T94"/>
      <c r="U94"/>
      <c r="V94"/>
      <c r="W94"/>
      <c r="X94"/>
      <c r="Y94"/>
      <c r="Z94"/>
    </row>
    <row r="95" spans="14:29" x14ac:dyDescent="0.3">
      <c r="N95"/>
      <c r="O95"/>
      <c r="P95"/>
      <c r="Q95"/>
      <c r="R95"/>
      <c r="S95"/>
      <c r="T95"/>
      <c r="U95"/>
      <c r="V95"/>
      <c r="W95"/>
      <c r="X95"/>
      <c r="Y95"/>
      <c r="Z95"/>
    </row>
    <row r="96" spans="14:29" x14ac:dyDescent="0.3">
      <c r="N96"/>
      <c r="O96"/>
      <c r="P96"/>
      <c r="Q96"/>
      <c r="R96"/>
      <c r="S96"/>
      <c r="T96"/>
      <c r="U96"/>
      <c r="V96"/>
      <c r="W96"/>
      <c r="X96"/>
      <c r="Y96"/>
      <c r="Z96"/>
    </row>
    <row r="97" spans="14:26" x14ac:dyDescent="0.3">
      <c r="N97"/>
      <c r="O97"/>
      <c r="P97"/>
      <c r="Q97"/>
      <c r="R97"/>
      <c r="S97"/>
      <c r="T97"/>
      <c r="U97"/>
      <c r="V97"/>
      <c r="W97"/>
      <c r="X97"/>
      <c r="Y97"/>
      <c r="Z97"/>
    </row>
    <row r="98" spans="14:26" x14ac:dyDescent="0.3">
      <c r="N98"/>
      <c r="O98"/>
      <c r="P98"/>
      <c r="Q98"/>
      <c r="R98"/>
      <c r="S98"/>
      <c r="T98"/>
      <c r="U98"/>
      <c r="V98"/>
      <c r="W98"/>
      <c r="X98"/>
      <c r="Y98"/>
      <c r="Z98"/>
    </row>
    <row r="99" spans="14:26" x14ac:dyDescent="0.3">
      <c r="N99"/>
      <c r="O99"/>
      <c r="P99"/>
      <c r="Q99"/>
      <c r="R99"/>
      <c r="S99"/>
      <c r="T99"/>
      <c r="U99"/>
      <c r="V99"/>
      <c r="W99"/>
      <c r="X99"/>
      <c r="Y99"/>
      <c r="Z99"/>
    </row>
    <row r="100" spans="14:26" x14ac:dyDescent="0.3">
      <c r="N100"/>
      <c r="O100"/>
      <c r="P100"/>
      <c r="Q100"/>
      <c r="R100"/>
      <c r="S100"/>
      <c r="T100"/>
      <c r="U100"/>
      <c r="V100"/>
      <c r="W100"/>
      <c r="X100"/>
      <c r="Y100"/>
      <c r="Z100"/>
    </row>
    <row r="101" spans="14:26" x14ac:dyDescent="0.3">
      <c r="N101"/>
      <c r="O101"/>
      <c r="P101"/>
      <c r="Q101"/>
      <c r="R101"/>
      <c r="S101"/>
      <c r="T101"/>
      <c r="U101"/>
      <c r="V101"/>
      <c r="W101"/>
      <c r="X101"/>
      <c r="Y101"/>
      <c r="Z101"/>
    </row>
    <row r="102" spans="14:26" x14ac:dyDescent="0.3">
      <c r="N102"/>
      <c r="O102"/>
      <c r="P102"/>
      <c r="Q102"/>
      <c r="R102"/>
      <c r="S102"/>
      <c r="T102"/>
      <c r="U102"/>
      <c r="V102"/>
      <c r="W102"/>
      <c r="X102"/>
      <c r="Y102"/>
      <c r="Z102"/>
    </row>
    <row r="103" spans="14:26" x14ac:dyDescent="0.3">
      <c r="N103"/>
      <c r="O103"/>
      <c r="P103"/>
      <c r="Q103"/>
      <c r="R103"/>
      <c r="S103"/>
      <c r="T103"/>
      <c r="U103"/>
      <c r="V103"/>
      <c r="W103"/>
      <c r="X103"/>
      <c r="Y103"/>
      <c r="Z103"/>
    </row>
    <row r="104" spans="14:26" x14ac:dyDescent="0.3">
      <c r="N104"/>
      <c r="O104"/>
      <c r="P104"/>
      <c r="Q104"/>
      <c r="R104"/>
      <c r="S104"/>
      <c r="T104"/>
      <c r="U104"/>
      <c r="V104"/>
      <c r="W104"/>
      <c r="X104"/>
      <c r="Y104"/>
      <c r="Z104"/>
    </row>
    <row r="105" spans="14:26" x14ac:dyDescent="0.3">
      <c r="N105"/>
      <c r="O105"/>
      <c r="P105"/>
      <c r="Q105"/>
      <c r="R105"/>
      <c r="S105"/>
      <c r="T105"/>
      <c r="U105"/>
      <c r="V105"/>
      <c r="W105"/>
      <c r="X105"/>
      <c r="Y105"/>
      <c r="Z105"/>
    </row>
    <row r="106" spans="14:26" x14ac:dyDescent="0.3">
      <c r="N106"/>
      <c r="O106"/>
      <c r="P106"/>
      <c r="Q106"/>
      <c r="R106"/>
      <c r="S106"/>
      <c r="T106"/>
      <c r="U106"/>
      <c r="V106"/>
      <c r="W106"/>
      <c r="X106"/>
      <c r="Y106"/>
      <c r="Z106"/>
    </row>
    <row r="107" spans="14:26" x14ac:dyDescent="0.3">
      <c r="N107"/>
      <c r="O107"/>
      <c r="P107"/>
      <c r="Q107"/>
      <c r="R107"/>
      <c r="S107"/>
      <c r="T107"/>
      <c r="U107"/>
      <c r="V107"/>
      <c r="W107"/>
      <c r="X107"/>
      <c r="Y107"/>
      <c r="Z107"/>
    </row>
    <row r="108" spans="14:26" x14ac:dyDescent="0.3">
      <c r="N108"/>
      <c r="O108"/>
      <c r="P108"/>
      <c r="Q108"/>
      <c r="R108"/>
      <c r="S108"/>
      <c r="T108"/>
      <c r="U108"/>
      <c r="V108"/>
      <c r="W108"/>
      <c r="X108"/>
      <c r="Y108"/>
      <c r="Z108"/>
    </row>
    <row r="109" spans="14:26" x14ac:dyDescent="0.3">
      <c r="N109"/>
      <c r="O109"/>
      <c r="P109"/>
      <c r="Q109"/>
      <c r="R109"/>
      <c r="S109"/>
      <c r="T109"/>
      <c r="U109"/>
      <c r="V109"/>
      <c r="W109"/>
      <c r="X109"/>
      <c r="Y109"/>
      <c r="Z109"/>
    </row>
    <row r="110" spans="14:26" x14ac:dyDescent="0.3">
      <c r="N110"/>
      <c r="O110"/>
      <c r="P110"/>
      <c r="Q110"/>
      <c r="R110"/>
      <c r="S110"/>
      <c r="T110"/>
      <c r="U110"/>
      <c r="V110"/>
      <c r="W110"/>
      <c r="X110"/>
      <c r="Y110"/>
      <c r="Z110"/>
    </row>
    <row r="111" spans="14:26" x14ac:dyDescent="0.3">
      <c r="N111"/>
      <c r="O111"/>
      <c r="P111"/>
      <c r="Q111"/>
      <c r="R111"/>
      <c r="S111"/>
      <c r="T111"/>
      <c r="U111"/>
      <c r="V111"/>
      <c r="W111"/>
      <c r="X111"/>
      <c r="Y111"/>
      <c r="Z111"/>
    </row>
    <row r="112" spans="14:26" x14ac:dyDescent="0.3">
      <c r="N112"/>
      <c r="O112"/>
      <c r="P112"/>
      <c r="Q112"/>
      <c r="R112"/>
      <c r="S112"/>
      <c r="T112"/>
      <c r="U112"/>
      <c r="V112"/>
      <c r="W112"/>
      <c r="X112"/>
      <c r="Y112"/>
      <c r="Z112"/>
    </row>
    <row r="113" spans="14:26" x14ac:dyDescent="0.3">
      <c r="N113"/>
      <c r="O113"/>
      <c r="P113"/>
      <c r="Q113"/>
      <c r="R113"/>
      <c r="S113"/>
      <c r="T113"/>
      <c r="U113"/>
      <c r="V113"/>
      <c r="W113"/>
      <c r="X113"/>
      <c r="Y113"/>
      <c r="Z113"/>
    </row>
    <row r="114" spans="14:26" x14ac:dyDescent="0.3">
      <c r="N114"/>
      <c r="O114"/>
      <c r="P114"/>
      <c r="Q114"/>
      <c r="R114"/>
      <c r="S114"/>
      <c r="T114"/>
      <c r="U114"/>
      <c r="V114"/>
      <c r="W114"/>
      <c r="X114"/>
      <c r="Y114"/>
      <c r="Z114"/>
    </row>
    <row r="115" spans="14:26" x14ac:dyDescent="0.3">
      <c r="N115"/>
      <c r="O115"/>
      <c r="P115"/>
      <c r="Q115"/>
      <c r="R115"/>
      <c r="S115"/>
      <c r="T115"/>
      <c r="U115"/>
      <c r="V115"/>
      <c r="W115"/>
      <c r="X115"/>
      <c r="Y115"/>
      <c r="Z115"/>
    </row>
    <row r="116" spans="14:26" x14ac:dyDescent="0.3">
      <c r="N116"/>
      <c r="O116"/>
      <c r="P116"/>
      <c r="Q116"/>
      <c r="R116"/>
      <c r="S116"/>
      <c r="T116"/>
      <c r="U116"/>
      <c r="V116"/>
      <c r="W116"/>
      <c r="X116"/>
      <c r="Y116"/>
      <c r="Z116"/>
    </row>
    <row r="117" spans="14:26" x14ac:dyDescent="0.3">
      <c r="N117"/>
      <c r="O117"/>
      <c r="P117"/>
      <c r="Q117"/>
      <c r="R117"/>
      <c r="S117"/>
      <c r="T117"/>
      <c r="U117"/>
      <c r="V117"/>
      <c r="W117"/>
      <c r="X117"/>
      <c r="Y117"/>
      <c r="Z117"/>
    </row>
    <row r="118" spans="14:26" x14ac:dyDescent="0.3">
      <c r="N118"/>
      <c r="O118"/>
      <c r="P118"/>
      <c r="Q118"/>
      <c r="R118"/>
      <c r="S118"/>
      <c r="T118"/>
      <c r="U118"/>
      <c r="V118"/>
      <c r="W118"/>
      <c r="X118"/>
      <c r="Y118"/>
      <c r="Z118"/>
    </row>
    <row r="119" spans="14:26" x14ac:dyDescent="0.3">
      <c r="N119"/>
      <c r="O119"/>
      <c r="P119"/>
      <c r="Q119"/>
      <c r="R119"/>
      <c r="S119"/>
      <c r="T119"/>
      <c r="U119"/>
      <c r="V119"/>
      <c r="W119"/>
      <c r="X119"/>
      <c r="Y119"/>
      <c r="Z119"/>
    </row>
    <row r="120" spans="14:26" x14ac:dyDescent="0.3">
      <c r="N120"/>
      <c r="O120"/>
      <c r="P120"/>
      <c r="Q120"/>
      <c r="R120"/>
      <c r="S120"/>
      <c r="T120"/>
      <c r="U120"/>
      <c r="V120"/>
      <c r="W120"/>
      <c r="X120"/>
      <c r="Y120"/>
      <c r="Z120"/>
    </row>
    <row r="121" spans="14:26" x14ac:dyDescent="0.3">
      <c r="N121"/>
      <c r="O121"/>
      <c r="P121"/>
      <c r="Q121"/>
      <c r="R121"/>
      <c r="S121"/>
      <c r="T121"/>
      <c r="U121"/>
      <c r="V121"/>
      <c r="W121"/>
      <c r="X121"/>
      <c r="Y121"/>
      <c r="Z121"/>
    </row>
    <row r="122" spans="14:26" x14ac:dyDescent="0.3">
      <c r="N122"/>
      <c r="O122"/>
      <c r="P122"/>
      <c r="Q122"/>
      <c r="R122"/>
      <c r="S122"/>
      <c r="T122"/>
      <c r="U122"/>
      <c r="V122"/>
      <c r="W122"/>
      <c r="X122"/>
      <c r="Y122"/>
      <c r="Z122"/>
    </row>
    <row r="123" spans="14:26" x14ac:dyDescent="0.3">
      <c r="N123"/>
      <c r="O123"/>
      <c r="P123"/>
      <c r="Q123"/>
      <c r="R123"/>
      <c r="S123"/>
      <c r="T123"/>
      <c r="U123"/>
      <c r="V123"/>
      <c r="W123"/>
      <c r="X123"/>
      <c r="Y123"/>
      <c r="Z123"/>
    </row>
    <row r="124" spans="14:26" x14ac:dyDescent="0.3">
      <c r="N124"/>
      <c r="O124"/>
      <c r="P124"/>
      <c r="Q124"/>
      <c r="R124"/>
      <c r="S124"/>
      <c r="T124"/>
      <c r="U124"/>
      <c r="V124"/>
      <c r="W124"/>
      <c r="X124"/>
      <c r="Y124"/>
      <c r="Z124"/>
    </row>
    <row r="125" spans="14:26" x14ac:dyDescent="0.3">
      <c r="N125"/>
      <c r="O125"/>
      <c r="P125"/>
      <c r="Q125"/>
      <c r="R125"/>
      <c r="S125"/>
      <c r="T125"/>
      <c r="U125"/>
      <c r="V125"/>
      <c r="W125"/>
      <c r="X125"/>
      <c r="Y125"/>
      <c r="Z125"/>
    </row>
    <row r="126" spans="14:26" x14ac:dyDescent="0.3">
      <c r="N126"/>
      <c r="O126"/>
      <c r="P126"/>
      <c r="Q126"/>
      <c r="R126"/>
      <c r="S126"/>
      <c r="T126"/>
      <c r="U126"/>
      <c r="V126"/>
      <c r="W126"/>
      <c r="X126"/>
      <c r="Y126"/>
      <c r="Z126"/>
    </row>
    <row r="127" spans="14:26" x14ac:dyDescent="0.3">
      <c r="N127"/>
      <c r="O127"/>
      <c r="P127"/>
      <c r="Q127"/>
      <c r="R127"/>
      <c r="S127"/>
      <c r="T127"/>
      <c r="U127"/>
      <c r="V127"/>
      <c r="W127"/>
      <c r="X127"/>
      <c r="Y127"/>
      <c r="Z127"/>
    </row>
    <row r="128" spans="14:26" x14ac:dyDescent="0.3">
      <c r="N128"/>
      <c r="O128"/>
      <c r="P128"/>
      <c r="Q128"/>
      <c r="R128"/>
      <c r="S128"/>
      <c r="T128"/>
      <c r="U128"/>
      <c r="V128"/>
      <c r="W128"/>
      <c r="X128"/>
      <c r="Y128"/>
      <c r="Z128"/>
    </row>
    <row r="129" spans="13:26" x14ac:dyDescent="0.3">
      <c r="N129"/>
      <c r="O129"/>
      <c r="P129"/>
      <c r="Q129"/>
      <c r="R129"/>
      <c r="S129"/>
      <c r="T129"/>
      <c r="U129"/>
      <c r="V129"/>
      <c r="W129"/>
      <c r="X129"/>
      <c r="Y129"/>
      <c r="Z129"/>
    </row>
    <row r="130" spans="13:26" x14ac:dyDescent="0.3">
      <c r="M130"/>
      <c r="N130"/>
      <c r="O130"/>
      <c r="P130"/>
      <c r="Q130"/>
      <c r="R130"/>
      <c r="S130"/>
      <c r="T130"/>
      <c r="U130"/>
      <c r="V130"/>
      <c r="W130"/>
      <c r="X130"/>
      <c r="Y130"/>
      <c r="Z130"/>
    </row>
    <row r="131" spans="13:26" x14ac:dyDescent="0.3">
      <c r="M131"/>
      <c r="N131"/>
      <c r="O131"/>
      <c r="P131"/>
      <c r="Q131"/>
      <c r="R131"/>
      <c r="S131"/>
      <c r="T131"/>
      <c r="U131"/>
      <c r="V131"/>
      <c r="W131"/>
      <c r="X131"/>
      <c r="Y131"/>
      <c r="Z131"/>
    </row>
    <row r="132" spans="13:26" x14ac:dyDescent="0.3">
      <c r="M132"/>
      <c r="N132"/>
      <c r="O132"/>
      <c r="P132"/>
      <c r="Q132"/>
      <c r="R132"/>
      <c r="S132"/>
      <c r="T132"/>
      <c r="U132"/>
      <c r="V132"/>
      <c r="W132"/>
      <c r="X132"/>
      <c r="Y132"/>
      <c r="Z132"/>
    </row>
    <row r="133" spans="13:26" x14ac:dyDescent="0.3">
      <c r="M133"/>
      <c r="N133"/>
      <c r="O133"/>
      <c r="P133"/>
      <c r="Q133"/>
      <c r="R133"/>
      <c r="S133"/>
      <c r="T133"/>
      <c r="U133"/>
      <c r="V133"/>
      <c r="W133"/>
      <c r="X133"/>
      <c r="Y133"/>
      <c r="Z133"/>
    </row>
    <row r="134" spans="13:26" x14ac:dyDescent="0.3">
      <c r="M134"/>
      <c r="N134"/>
      <c r="O134"/>
      <c r="P134"/>
      <c r="Q134"/>
      <c r="R134"/>
      <c r="S134"/>
      <c r="T134"/>
      <c r="U134"/>
      <c r="V134"/>
      <c r="W134"/>
      <c r="X134"/>
      <c r="Y134"/>
      <c r="Z134"/>
    </row>
    <row r="135" spans="13:26" x14ac:dyDescent="0.3">
      <c r="M135"/>
      <c r="N135"/>
      <c r="O135"/>
      <c r="P135"/>
      <c r="Q135"/>
      <c r="R135"/>
      <c r="S135"/>
      <c r="T135"/>
      <c r="U135"/>
      <c r="V135"/>
      <c r="W135"/>
      <c r="X135"/>
      <c r="Y135"/>
      <c r="Z135"/>
    </row>
    <row r="136" spans="13:26" x14ac:dyDescent="0.3">
      <c r="M136"/>
      <c r="N136"/>
      <c r="O136"/>
      <c r="P136"/>
      <c r="Q136"/>
      <c r="R136"/>
      <c r="S136"/>
      <c r="T136"/>
      <c r="U136"/>
      <c r="V136"/>
      <c r="W136"/>
      <c r="X136"/>
      <c r="Y136"/>
      <c r="Z136"/>
    </row>
    <row r="137" spans="13:26" x14ac:dyDescent="0.3">
      <c r="M137"/>
      <c r="N137"/>
      <c r="O137"/>
      <c r="P137"/>
      <c r="Q137"/>
      <c r="R137"/>
      <c r="S137"/>
      <c r="T137"/>
      <c r="U137"/>
      <c r="V137"/>
      <c r="W137"/>
      <c r="X137"/>
      <c r="Y137"/>
      <c r="Z137"/>
    </row>
    <row r="138" spans="13:26" x14ac:dyDescent="0.3">
      <c r="M138"/>
      <c r="N138"/>
      <c r="O138"/>
      <c r="P138"/>
      <c r="Q138"/>
      <c r="R138"/>
      <c r="S138"/>
      <c r="T138"/>
      <c r="U138"/>
      <c r="V138"/>
      <c r="W138"/>
      <c r="X138"/>
      <c r="Y138"/>
      <c r="Z138"/>
    </row>
    <row r="139" spans="13:26" x14ac:dyDescent="0.3">
      <c r="M139"/>
      <c r="N139"/>
      <c r="O139"/>
      <c r="P139"/>
      <c r="Q139"/>
      <c r="R139"/>
      <c r="S139"/>
      <c r="T139"/>
      <c r="U139"/>
      <c r="V139"/>
      <c r="W139"/>
      <c r="X139"/>
      <c r="Y139"/>
      <c r="Z139"/>
    </row>
    <row r="140" spans="13:26" x14ac:dyDescent="0.3">
      <c r="M140"/>
      <c r="N140"/>
      <c r="O140"/>
      <c r="P140"/>
      <c r="Q140"/>
      <c r="R140"/>
      <c r="S140"/>
      <c r="T140"/>
      <c r="U140"/>
      <c r="V140"/>
      <c r="W140"/>
      <c r="X140"/>
      <c r="Y140"/>
      <c r="Z140"/>
    </row>
    <row r="141" spans="13:26" x14ac:dyDescent="0.3">
      <c r="M141"/>
      <c r="N141"/>
      <c r="O141"/>
      <c r="P141"/>
      <c r="Q141"/>
      <c r="R141"/>
      <c r="S141"/>
      <c r="T141"/>
      <c r="U141"/>
      <c r="V141"/>
      <c r="W141"/>
      <c r="X141"/>
      <c r="Y141"/>
      <c r="Z141"/>
    </row>
    <row r="142" spans="13:26" x14ac:dyDescent="0.3">
      <c r="M142"/>
      <c r="N142"/>
      <c r="O142"/>
      <c r="P142"/>
      <c r="Q142"/>
      <c r="R142"/>
      <c r="S142"/>
      <c r="T142"/>
      <c r="U142"/>
      <c r="V142"/>
      <c r="W142"/>
      <c r="X142"/>
      <c r="Y142"/>
      <c r="Z142"/>
    </row>
    <row r="143" spans="13:26" x14ac:dyDescent="0.3">
      <c r="M143"/>
      <c r="N143"/>
      <c r="O143"/>
      <c r="P143"/>
      <c r="Q143"/>
      <c r="R143"/>
      <c r="S143"/>
      <c r="T143"/>
      <c r="U143"/>
      <c r="V143"/>
      <c r="W143"/>
      <c r="X143"/>
      <c r="Y143"/>
      <c r="Z143"/>
    </row>
    <row r="144" spans="13:26" x14ac:dyDescent="0.3">
      <c r="M144"/>
      <c r="N144"/>
      <c r="O144"/>
      <c r="P144"/>
      <c r="Q144"/>
      <c r="R144"/>
      <c r="S144"/>
      <c r="T144"/>
      <c r="U144"/>
      <c r="V144"/>
      <c r="W144"/>
      <c r="X144"/>
      <c r="Y144"/>
      <c r="Z144"/>
    </row>
    <row r="145" spans="13:26" x14ac:dyDescent="0.3">
      <c r="M145"/>
      <c r="N145"/>
      <c r="O145"/>
      <c r="P145"/>
      <c r="Q145"/>
      <c r="R145"/>
      <c r="S145"/>
      <c r="T145"/>
      <c r="U145"/>
      <c r="V145"/>
      <c r="W145"/>
      <c r="X145"/>
      <c r="Y145"/>
      <c r="Z145"/>
    </row>
    <row r="146" spans="13:26" x14ac:dyDescent="0.3">
      <c r="M146"/>
      <c r="N146"/>
      <c r="O146"/>
      <c r="P146"/>
      <c r="Q146"/>
      <c r="R146"/>
      <c r="S146"/>
      <c r="T146"/>
      <c r="U146"/>
      <c r="V146"/>
      <c r="W146"/>
      <c r="X146"/>
      <c r="Y146"/>
      <c r="Z146"/>
    </row>
    <row r="147" spans="13:26" x14ac:dyDescent="0.3">
      <c r="M147"/>
      <c r="N147"/>
      <c r="O147"/>
      <c r="P147"/>
      <c r="Q147"/>
      <c r="R147"/>
      <c r="S147"/>
      <c r="T147"/>
      <c r="U147"/>
      <c r="V147"/>
      <c r="W147"/>
      <c r="X147"/>
      <c r="Y147"/>
      <c r="Z147"/>
    </row>
    <row r="148" spans="13:26" x14ac:dyDescent="0.3">
      <c r="M148"/>
      <c r="N148"/>
      <c r="O148"/>
      <c r="P148"/>
      <c r="Q148"/>
      <c r="R148"/>
      <c r="S148"/>
      <c r="T148"/>
      <c r="U148"/>
      <c r="V148"/>
      <c r="W148"/>
      <c r="X148"/>
      <c r="Y148"/>
      <c r="Z148"/>
    </row>
    <row r="149" spans="13:26" x14ac:dyDescent="0.3">
      <c r="M149"/>
      <c r="N149"/>
      <c r="O149"/>
      <c r="P149"/>
      <c r="Q149"/>
      <c r="R149"/>
      <c r="S149"/>
      <c r="T149"/>
      <c r="U149"/>
      <c r="V149"/>
      <c r="W149"/>
      <c r="X149"/>
      <c r="Y149"/>
      <c r="Z149"/>
    </row>
    <row r="150" spans="13:26" x14ac:dyDescent="0.3">
      <c r="M150"/>
      <c r="N150"/>
      <c r="O150"/>
      <c r="P150"/>
      <c r="Q150"/>
      <c r="R150"/>
      <c r="S150"/>
      <c r="T150"/>
      <c r="U150"/>
      <c r="V150"/>
      <c r="W150"/>
      <c r="X150"/>
      <c r="Y150"/>
      <c r="Z150"/>
    </row>
    <row r="151" spans="13:26" x14ac:dyDescent="0.3">
      <c r="M151"/>
      <c r="N151"/>
      <c r="O151"/>
      <c r="P151"/>
      <c r="Q151"/>
      <c r="R151"/>
      <c r="S151"/>
      <c r="T151"/>
      <c r="U151"/>
      <c r="V151"/>
      <c r="W151"/>
      <c r="X151"/>
      <c r="Y151"/>
      <c r="Z151"/>
    </row>
    <row r="152" spans="13:26" x14ac:dyDescent="0.3">
      <c r="M152"/>
      <c r="N152"/>
      <c r="O152"/>
      <c r="P152"/>
      <c r="Q152"/>
      <c r="R152"/>
      <c r="S152"/>
      <c r="T152"/>
      <c r="U152"/>
      <c r="V152"/>
      <c r="W152"/>
      <c r="X152"/>
      <c r="Y152"/>
      <c r="Z152"/>
    </row>
    <row r="153" spans="13:26" x14ac:dyDescent="0.3">
      <c r="M153"/>
      <c r="N153"/>
      <c r="O153"/>
      <c r="P153"/>
      <c r="Q153"/>
      <c r="R153"/>
      <c r="S153"/>
      <c r="T153"/>
      <c r="U153"/>
      <c r="V153"/>
      <c r="W153"/>
      <c r="X153"/>
      <c r="Y153"/>
      <c r="Z153"/>
    </row>
    <row r="154" spans="13:26" x14ac:dyDescent="0.3">
      <c r="M154"/>
      <c r="N154"/>
      <c r="O154"/>
      <c r="P154"/>
      <c r="Q154"/>
      <c r="R154"/>
      <c r="S154"/>
      <c r="T154"/>
      <c r="U154"/>
      <c r="V154"/>
      <c r="W154"/>
      <c r="X154"/>
      <c r="Y154"/>
      <c r="Z154"/>
    </row>
    <row r="155" spans="13:26" x14ac:dyDescent="0.3">
      <c r="M155"/>
      <c r="N155"/>
      <c r="O155"/>
      <c r="P155"/>
      <c r="Q155"/>
      <c r="R155"/>
      <c r="S155"/>
      <c r="T155"/>
      <c r="U155"/>
      <c r="V155"/>
      <c r="W155"/>
      <c r="X155"/>
      <c r="Y155"/>
      <c r="Z155"/>
    </row>
    <row r="156" spans="13:26" x14ac:dyDescent="0.3">
      <c r="M156"/>
      <c r="N156"/>
      <c r="O156"/>
      <c r="P156"/>
      <c r="Q156"/>
      <c r="R156"/>
      <c r="S156"/>
      <c r="T156"/>
      <c r="U156"/>
      <c r="V156"/>
      <c r="W156"/>
      <c r="X156"/>
      <c r="Y156"/>
      <c r="Z156"/>
    </row>
    <row r="157" spans="13:26" x14ac:dyDescent="0.3">
      <c r="M157"/>
      <c r="N157"/>
      <c r="O157"/>
      <c r="P157"/>
      <c r="Q157"/>
      <c r="R157"/>
      <c r="S157"/>
      <c r="T157"/>
      <c r="U157"/>
      <c r="V157"/>
      <c r="W157"/>
      <c r="X157"/>
      <c r="Y157"/>
      <c r="Z157"/>
    </row>
    <row r="158" spans="13:26" x14ac:dyDescent="0.3">
      <c r="M158"/>
      <c r="N158"/>
      <c r="O158"/>
      <c r="P158"/>
      <c r="Q158"/>
      <c r="R158"/>
      <c r="S158"/>
      <c r="T158"/>
      <c r="U158"/>
      <c r="V158"/>
      <c r="W158"/>
      <c r="X158"/>
      <c r="Y158"/>
      <c r="Z158"/>
    </row>
    <row r="159" spans="13:26" x14ac:dyDescent="0.3">
      <c r="M159"/>
      <c r="N159"/>
      <c r="O159"/>
      <c r="P159"/>
      <c r="Q159"/>
      <c r="R159"/>
      <c r="S159"/>
      <c r="T159"/>
      <c r="U159"/>
      <c r="V159"/>
      <c r="W159"/>
      <c r="X159"/>
      <c r="Y159"/>
      <c r="Z159"/>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row>
    <row r="177" spans="1:9" x14ac:dyDescent="0.3">
      <c r="A177"/>
      <c r="B177"/>
      <c r="C177"/>
      <c r="D177"/>
      <c r="E177"/>
      <c r="F177"/>
      <c r="G177"/>
      <c r="H177"/>
      <c r="I177"/>
    </row>
    <row r="178" spans="1:9" x14ac:dyDescent="0.3">
      <c r="A178"/>
      <c r="B178"/>
      <c r="C178"/>
      <c r="D178"/>
      <c r="E178"/>
      <c r="F178"/>
      <c r="G178"/>
      <c r="H178"/>
      <c r="I178"/>
    </row>
    <row r="179" spans="1:9" x14ac:dyDescent="0.3">
      <c r="A179"/>
      <c r="B179"/>
      <c r="C179"/>
      <c r="D179"/>
      <c r="E179"/>
      <c r="F179"/>
      <c r="G179"/>
      <c r="H179"/>
      <c r="I179"/>
    </row>
    <row r="180" spans="1:9" x14ac:dyDescent="0.3">
      <c r="A180"/>
      <c r="B180"/>
      <c r="C180"/>
      <c r="D180"/>
      <c r="E180"/>
      <c r="F180"/>
      <c r="G180"/>
      <c r="H180"/>
      <c r="I180"/>
    </row>
    <row r="181" spans="1:9" x14ac:dyDescent="0.3">
      <c r="A181"/>
      <c r="B181"/>
      <c r="C181"/>
      <c r="D181"/>
      <c r="E181"/>
      <c r="F181"/>
      <c r="G181"/>
      <c r="H181"/>
      <c r="I181"/>
    </row>
    <row r="182" spans="1:9" x14ac:dyDescent="0.3">
      <c r="A182"/>
      <c r="B182"/>
      <c r="C182"/>
      <c r="D182"/>
      <c r="E182"/>
      <c r="F182"/>
      <c r="G182"/>
      <c r="H182"/>
      <c r="I182"/>
    </row>
    <row r="183" spans="1:9" x14ac:dyDescent="0.3">
      <c r="A183"/>
      <c r="B183"/>
      <c r="C183"/>
      <c r="D183"/>
      <c r="E183"/>
      <c r="F183"/>
      <c r="G183"/>
      <c r="H183"/>
      <c r="I183"/>
    </row>
    <row r="184" spans="1:9" x14ac:dyDescent="0.3">
      <c r="A184"/>
      <c r="B184"/>
      <c r="C184"/>
      <c r="D184"/>
      <c r="E184"/>
      <c r="F184"/>
      <c r="G184"/>
      <c r="H184"/>
      <c r="I184"/>
    </row>
    <row r="185" spans="1:9" x14ac:dyDescent="0.3">
      <c r="A185"/>
      <c r="B185"/>
      <c r="C185"/>
      <c r="D185"/>
      <c r="E185"/>
      <c r="F185"/>
      <c r="G185"/>
      <c r="H185"/>
      <c r="I185"/>
    </row>
    <row r="186" spans="1:9" x14ac:dyDescent="0.3">
      <c r="A186"/>
      <c r="B186"/>
      <c r="C186"/>
      <c r="D186"/>
      <c r="E186"/>
      <c r="F186"/>
      <c r="G186"/>
      <c r="H186"/>
      <c r="I186"/>
    </row>
    <row r="187" spans="1:9" x14ac:dyDescent="0.3">
      <c r="A187"/>
      <c r="B187"/>
      <c r="C187"/>
      <c r="D187"/>
      <c r="E187"/>
      <c r="F187"/>
      <c r="G187"/>
      <c r="H187"/>
      <c r="I187"/>
    </row>
    <row r="188" spans="1:9" x14ac:dyDescent="0.3">
      <c r="A188"/>
      <c r="B188"/>
      <c r="C188"/>
      <c r="D188"/>
      <c r="E188"/>
      <c r="F188"/>
      <c r="G188"/>
      <c r="H188"/>
      <c r="I188"/>
    </row>
    <row r="189" spans="1:9" x14ac:dyDescent="0.3">
      <c r="A189"/>
      <c r="B189"/>
      <c r="C189"/>
      <c r="D189"/>
      <c r="E189"/>
      <c r="F189"/>
      <c r="G189"/>
      <c r="H189"/>
      <c r="I189"/>
    </row>
    <row r="190" spans="1:9" x14ac:dyDescent="0.3">
      <c r="A190"/>
      <c r="B190"/>
      <c r="C190"/>
      <c r="D190"/>
      <c r="E190"/>
      <c r="F190"/>
      <c r="G190"/>
      <c r="H190"/>
      <c r="I190"/>
    </row>
    <row r="191" spans="1:9" x14ac:dyDescent="0.3">
      <c r="A191"/>
      <c r="B191"/>
      <c r="C191"/>
      <c r="D191"/>
      <c r="E191"/>
      <c r="F191"/>
      <c r="G191"/>
      <c r="H191"/>
      <c r="I191"/>
    </row>
    <row r="192" spans="1:9" x14ac:dyDescent="0.3">
      <c r="A192"/>
      <c r="B192"/>
      <c r="C192"/>
      <c r="D192"/>
      <c r="E192"/>
      <c r="F192"/>
      <c r="G192"/>
      <c r="H192"/>
      <c r="I192"/>
    </row>
    <row r="193" spans="1:9" x14ac:dyDescent="0.3">
      <c r="A193"/>
      <c r="B193"/>
      <c r="C193"/>
      <c r="D193"/>
      <c r="E193"/>
      <c r="F193"/>
      <c r="G193"/>
      <c r="H193"/>
      <c r="I193"/>
    </row>
    <row r="194" spans="1:9" x14ac:dyDescent="0.3">
      <c r="A194"/>
      <c r="B194"/>
      <c r="C194"/>
      <c r="D194"/>
      <c r="E194"/>
      <c r="F194"/>
      <c r="G194"/>
      <c r="H194"/>
      <c r="I194"/>
    </row>
    <row r="195" spans="1:9" x14ac:dyDescent="0.3">
      <c r="A195"/>
      <c r="B195"/>
      <c r="C195"/>
      <c r="D195"/>
      <c r="E195"/>
      <c r="F195"/>
      <c r="G195"/>
      <c r="H195"/>
      <c r="I195"/>
    </row>
    <row r="196" spans="1:9" x14ac:dyDescent="0.3">
      <c r="A196"/>
      <c r="B196"/>
      <c r="C196"/>
      <c r="D196"/>
      <c r="E196"/>
      <c r="F196"/>
      <c r="G196"/>
      <c r="H196"/>
      <c r="I196"/>
    </row>
    <row r="197" spans="1:9" x14ac:dyDescent="0.3">
      <c r="A197"/>
      <c r="B197"/>
      <c r="C197"/>
      <c r="D197"/>
      <c r="E197"/>
      <c r="F197"/>
      <c r="G197"/>
      <c r="H197"/>
      <c r="I197"/>
    </row>
    <row r="198" spans="1:9" x14ac:dyDescent="0.3">
      <c r="A198"/>
      <c r="B198"/>
      <c r="C198"/>
      <c r="D198"/>
      <c r="E198"/>
      <c r="F198"/>
      <c r="G198"/>
      <c r="H198"/>
      <c r="I198"/>
    </row>
    <row r="199" spans="1:9" x14ac:dyDescent="0.3">
      <c r="A199"/>
      <c r="B199"/>
      <c r="C199"/>
      <c r="D199"/>
      <c r="E199"/>
      <c r="F199"/>
      <c r="G199"/>
      <c r="H199"/>
      <c r="I199"/>
    </row>
    <row r="200" spans="1:9" x14ac:dyDescent="0.3">
      <c r="A200"/>
      <c r="B200"/>
      <c r="C200"/>
      <c r="D200"/>
      <c r="E200"/>
      <c r="F200"/>
      <c r="G200"/>
      <c r="H200"/>
      <c r="I200"/>
    </row>
    <row r="201" spans="1:9" x14ac:dyDescent="0.3">
      <c r="A201"/>
      <c r="B201"/>
      <c r="C201"/>
      <c r="D201"/>
      <c r="E201"/>
      <c r="F201"/>
      <c r="G201"/>
      <c r="H201"/>
      <c r="I201"/>
    </row>
    <row r="202" spans="1:9" x14ac:dyDescent="0.3">
      <c r="A202"/>
      <c r="B202"/>
      <c r="C202"/>
      <c r="D202"/>
      <c r="E202"/>
      <c r="F202"/>
      <c r="G202"/>
      <c r="H202"/>
      <c r="I202"/>
    </row>
    <row r="203" spans="1:9" x14ac:dyDescent="0.3">
      <c r="A203"/>
      <c r="B203"/>
      <c r="C203"/>
      <c r="D203"/>
      <c r="E203"/>
      <c r="F203"/>
      <c r="G203"/>
      <c r="H203"/>
      <c r="I203"/>
    </row>
    <row r="204" spans="1:9" x14ac:dyDescent="0.3">
      <c r="A204"/>
      <c r="B204"/>
      <c r="C204"/>
      <c r="D204"/>
      <c r="E204"/>
      <c r="F204"/>
      <c r="G204"/>
      <c r="H204"/>
      <c r="I204"/>
    </row>
    <row r="205" spans="1:9" x14ac:dyDescent="0.3">
      <c r="A205"/>
      <c r="B205"/>
      <c r="C205"/>
      <c r="D205"/>
      <c r="E205"/>
      <c r="F205"/>
      <c r="G205"/>
      <c r="H205"/>
      <c r="I205"/>
    </row>
    <row r="206" spans="1:9" x14ac:dyDescent="0.3">
      <c r="A206"/>
      <c r="B206"/>
      <c r="C206"/>
      <c r="D206"/>
      <c r="E206"/>
      <c r="F206"/>
      <c r="G206"/>
      <c r="H206"/>
      <c r="I206"/>
    </row>
    <row r="207" spans="1:9" x14ac:dyDescent="0.3">
      <c r="A207"/>
      <c r="B207"/>
      <c r="C207"/>
      <c r="D207"/>
      <c r="E207"/>
      <c r="F207"/>
      <c r="G207"/>
      <c r="H207"/>
      <c r="I207"/>
    </row>
    <row r="208" spans="1:9" x14ac:dyDescent="0.3">
      <c r="A208"/>
      <c r="B208"/>
      <c r="C208"/>
      <c r="D208"/>
      <c r="E208"/>
      <c r="F208"/>
      <c r="G208"/>
      <c r="H208"/>
      <c r="I208"/>
    </row>
    <row r="209" spans="1:9" x14ac:dyDescent="0.3">
      <c r="A209"/>
      <c r="B209"/>
      <c r="C209"/>
      <c r="D209"/>
      <c r="E209"/>
      <c r="F209"/>
      <c r="G209"/>
      <c r="H209"/>
      <c r="I209"/>
    </row>
    <row r="210" spans="1:9" x14ac:dyDescent="0.3">
      <c r="A210"/>
      <c r="B210"/>
      <c r="C210"/>
      <c r="D210"/>
      <c r="E210"/>
      <c r="F210"/>
      <c r="G210"/>
      <c r="H210"/>
      <c r="I210"/>
    </row>
    <row r="211" spans="1:9" x14ac:dyDescent="0.3">
      <c r="A211"/>
      <c r="B211"/>
      <c r="C211"/>
      <c r="D211"/>
      <c r="E211"/>
      <c r="F211"/>
      <c r="G211"/>
      <c r="H211"/>
      <c r="I211"/>
    </row>
    <row r="212" spans="1:9" x14ac:dyDescent="0.3">
      <c r="A212"/>
      <c r="B212"/>
      <c r="C212"/>
      <c r="D212"/>
      <c r="E212"/>
      <c r="F212"/>
      <c r="G212"/>
      <c r="H212"/>
      <c r="I212"/>
    </row>
  </sheetData>
  <mergeCells count="4">
    <mergeCell ref="A74:M74"/>
    <mergeCell ref="B78:M80"/>
    <mergeCell ref="B24:M26"/>
    <mergeCell ref="H32:I32"/>
  </mergeCell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1025" r:id="rId4">
          <objectPr defaultSize="0" autoPict="0" r:id="rId5">
            <anchor moveWithCells="1" sizeWithCells="1">
              <from>
                <xdr:col>1</xdr:col>
                <xdr:colOff>685800</xdr:colOff>
                <xdr:row>42</xdr:row>
                <xdr:rowOff>167640</xdr:rowOff>
              </from>
              <to>
                <xdr:col>5</xdr:col>
                <xdr:colOff>495300</xdr:colOff>
                <xdr:row>44</xdr:row>
                <xdr:rowOff>7620</xdr:rowOff>
              </to>
            </anchor>
          </objectPr>
        </oleObject>
      </mc:Choice>
      <mc:Fallback>
        <oleObject progId="Equation.DSMT4" shapeId="102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F1A6-8CC0-4DC0-BAA4-4905177446A6}">
  <dimension ref="A1:AA235"/>
  <sheetViews>
    <sheetView zoomScaleNormal="100" workbookViewId="0"/>
  </sheetViews>
  <sheetFormatPr defaultColWidth="9.109375" defaultRowHeight="15.6" x14ac:dyDescent="0.3"/>
  <cols>
    <col min="1" max="1" width="9.6640625" style="4" customWidth="1"/>
    <col min="2" max="13" width="12.33203125" style="4" customWidth="1"/>
    <col min="14" max="19" width="8.88671875" style="4" customWidth="1"/>
    <col min="20" max="20" width="10.5546875" style="4" customWidth="1"/>
    <col min="21" max="21" width="10.6640625" style="4" customWidth="1"/>
    <col min="22" max="23" width="8.88671875" style="4" customWidth="1"/>
    <col min="24" max="25" width="9.109375" style="4" bestFit="1"/>
    <col min="26" max="27" width="11.5546875" style="4" bestFit="1" customWidth="1"/>
    <col min="28" max="16384" width="9.109375" style="4"/>
  </cols>
  <sheetData>
    <row r="1" spans="1:27" ht="15.75" customHeight="1" x14ac:dyDescent="0.35">
      <c r="A1" s="1" t="s">
        <v>49</v>
      </c>
      <c r="B1" s="1"/>
      <c r="C1" s="9" t="s">
        <v>0</v>
      </c>
      <c r="D1" s="2"/>
      <c r="E1" s="2"/>
      <c r="F1" s="2"/>
      <c r="G1" s="2"/>
      <c r="H1" s="2"/>
      <c r="I1" s="2"/>
      <c r="J1" s="2"/>
      <c r="K1" s="3"/>
      <c r="L1" s="3"/>
      <c r="M1" s="3"/>
      <c r="N1"/>
      <c r="O1"/>
      <c r="P1"/>
      <c r="Q1"/>
      <c r="R1"/>
      <c r="S1"/>
      <c r="T1"/>
      <c r="U1"/>
      <c r="V1"/>
      <c r="W1"/>
      <c r="X1"/>
      <c r="Y1"/>
      <c r="Z1"/>
      <c r="AA1"/>
    </row>
    <row r="2" spans="1:27" ht="15.75" customHeight="1" x14ac:dyDescent="0.35">
      <c r="A2" s="5"/>
      <c r="B2" s="5"/>
      <c r="C2" s="7"/>
      <c r="D2" s="7"/>
      <c r="E2" s="7"/>
      <c r="F2" s="7"/>
      <c r="G2" s="7"/>
      <c r="H2" s="7"/>
      <c r="I2" s="46"/>
      <c r="J2" s="46"/>
      <c r="K2" s="11"/>
      <c r="L2" s="11"/>
      <c r="M2" s="11"/>
      <c r="N2"/>
      <c r="O2"/>
      <c r="P2"/>
      <c r="Q2"/>
      <c r="R2"/>
      <c r="S2"/>
      <c r="T2"/>
      <c r="U2"/>
      <c r="V2"/>
      <c r="W2"/>
      <c r="X2"/>
      <c r="Y2"/>
      <c r="Z2"/>
      <c r="AA2"/>
    </row>
    <row r="3" spans="1:27" x14ac:dyDescent="0.3">
      <c r="A3" s="239" t="s">
        <v>92</v>
      </c>
      <c r="B3" s="239"/>
      <c r="C3" s="239"/>
      <c r="D3" s="239"/>
      <c r="E3" s="239"/>
      <c r="F3" s="239"/>
      <c r="G3" s="239"/>
      <c r="H3" s="239"/>
      <c r="I3" s="239"/>
      <c r="J3" s="239"/>
      <c r="K3" s="239"/>
      <c r="L3" s="239"/>
      <c r="M3" s="239"/>
      <c r="X3"/>
      <c r="Y3"/>
      <c r="Z3"/>
      <c r="AA3"/>
    </row>
    <row r="4" spans="1:27" x14ac:dyDescent="0.3">
      <c r="A4" s="240" t="s">
        <v>93</v>
      </c>
      <c r="B4" s="240"/>
      <c r="C4" s="240"/>
      <c r="D4" s="240"/>
      <c r="E4" s="240"/>
      <c r="F4" s="240"/>
      <c r="G4" s="240"/>
      <c r="H4" s="240"/>
      <c r="I4" s="240"/>
      <c r="J4" s="240"/>
      <c r="K4" s="240"/>
      <c r="L4" s="240"/>
      <c r="M4" s="240"/>
      <c r="X4"/>
      <c r="Y4"/>
      <c r="Z4"/>
      <c r="AA4"/>
    </row>
    <row r="5" spans="1:27" x14ac:dyDescent="0.3">
      <c r="A5" s="52"/>
      <c r="B5" s="52"/>
      <c r="C5" s="52"/>
      <c r="D5" s="52"/>
      <c r="E5" s="52"/>
      <c r="F5" s="52"/>
      <c r="G5" s="52"/>
      <c r="H5" s="52"/>
      <c r="I5" s="52"/>
      <c r="J5" s="52"/>
      <c r="K5" s="52"/>
      <c r="L5" s="52"/>
      <c r="M5" s="52"/>
      <c r="X5"/>
      <c r="Y5"/>
      <c r="Z5"/>
      <c r="AA5"/>
    </row>
    <row r="6" spans="1:27" ht="15.6" customHeight="1" x14ac:dyDescent="0.3">
      <c r="A6" s="63"/>
      <c r="B6" s="20"/>
      <c r="C6" s="234" t="s">
        <v>83</v>
      </c>
      <c r="D6" s="234"/>
      <c r="E6" s="234"/>
      <c r="F6" s="234"/>
      <c r="G6" s="234"/>
      <c r="H6" s="234"/>
      <c r="I6" s="234"/>
      <c r="J6" s="234"/>
      <c r="K6" s="8"/>
      <c r="L6" s="8"/>
      <c r="M6" s="8"/>
      <c r="X6"/>
      <c r="Y6"/>
      <c r="Z6"/>
      <c r="AA6"/>
    </row>
    <row r="7" spans="1:27" x14ac:dyDescent="0.3">
      <c r="A7" s="63"/>
      <c r="B7" s="74" t="s">
        <v>59</v>
      </c>
      <c r="C7" s="14">
        <v>1</v>
      </c>
      <c r="D7" s="14">
        <v>2</v>
      </c>
      <c r="E7" s="14">
        <v>3</v>
      </c>
      <c r="F7" s="14">
        <v>4</v>
      </c>
      <c r="G7" s="14">
        <v>5</v>
      </c>
      <c r="H7" s="14">
        <v>6</v>
      </c>
      <c r="I7" s="14">
        <v>7</v>
      </c>
      <c r="J7" s="14">
        <v>8</v>
      </c>
      <c r="K7" s="8"/>
      <c r="L7" s="8"/>
      <c r="M7" s="8"/>
      <c r="X7"/>
      <c r="Y7"/>
      <c r="Z7"/>
      <c r="AA7"/>
    </row>
    <row r="8" spans="1:27" ht="15.75" customHeight="1" x14ac:dyDescent="0.3">
      <c r="A8" s="73"/>
      <c r="B8" s="75">
        <v>1</v>
      </c>
      <c r="C8" s="65">
        <v>2011</v>
      </c>
      <c r="D8" s="65">
        <v>2736</v>
      </c>
      <c r="E8" s="65">
        <v>1116</v>
      </c>
      <c r="F8" s="65">
        <v>2850</v>
      </c>
      <c r="G8" s="65">
        <v>4799</v>
      </c>
      <c r="H8" s="65">
        <v>5006</v>
      </c>
      <c r="I8" s="65">
        <v>2071</v>
      </c>
      <c r="J8" s="65">
        <v>854</v>
      </c>
      <c r="K8" s="8"/>
      <c r="L8" s="8"/>
      <c r="M8" s="8"/>
      <c r="X8"/>
      <c r="Y8"/>
      <c r="Z8"/>
      <c r="AA8"/>
    </row>
    <row r="9" spans="1:27" ht="18.600000000000001" customHeight="1" x14ac:dyDescent="0.3">
      <c r="A9" s="73"/>
      <c r="B9" s="75">
        <v>2</v>
      </c>
      <c r="C9" s="65">
        <v>1900</v>
      </c>
      <c r="D9" s="65">
        <v>4142</v>
      </c>
      <c r="E9" s="65">
        <v>6108</v>
      </c>
      <c r="F9" s="65">
        <v>9472</v>
      </c>
      <c r="G9" s="65">
        <v>12482</v>
      </c>
      <c r="H9" s="65">
        <v>8153</v>
      </c>
      <c r="I9" s="65">
        <v>2355</v>
      </c>
      <c r="J9" s="64"/>
      <c r="K9" s="8"/>
      <c r="L9" s="8"/>
      <c r="M9" s="8"/>
      <c r="X9"/>
      <c r="Y9"/>
      <c r="Z9"/>
      <c r="AA9"/>
    </row>
    <row r="10" spans="1:27" ht="18.600000000000001" customHeight="1" x14ac:dyDescent="0.3">
      <c r="A10" s="73"/>
      <c r="B10" s="75">
        <v>3</v>
      </c>
      <c r="C10" s="65">
        <v>2185</v>
      </c>
      <c r="D10" s="65">
        <v>2251</v>
      </c>
      <c r="E10" s="65">
        <v>4263</v>
      </c>
      <c r="F10" s="65">
        <v>5215</v>
      </c>
      <c r="G10" s="65">
        <v>5991</v>
      </c>
      <c r="H10" s="65">
        <v>1196</v>
      </c>
      <c r="I10" s="64"/>
      <c r="J10" s="64"/>
      <c r="K10" s="8"/>
      <c r="L10" s="8"/>
      <c r="M10" s="8"/>
      <c r="X10"/>
      <c r="Y10"/>
      <c r="Z10"/>
      <c r="AA10"/>
    </row>
    <row r="11" spans="1:27" ht="18.600000000000001" customHeight="1" x14ac:dyDescent="0.3">
      <c r="A11" s="73"/>
      <c r="B11" s="75">
        <v>4</v>
      </c>
      <c r="C11" s="65">
        <v>1957</v>
      </c>
      <c r="D11" s="65">
        <v>1562</v>
      </c>
      <c r="E11" s="65">
        <v>2728</v>
      </c>
      <c r="F11" s="65">
        <v>3552</v>
      </c>
      <c r="G11" s="65">
        <v>1024</v>
      </c>
      <c r="H11" s="64"/>
      <c r="I11" s="64"/>
      <c r="J11" s="64"/>
      <c r="K11" s="8"/>
      <c r="L11" s="8"/>
      <c r="M11" s="8"/>
      <c r="X11"/>
      <c r="Y11"/>
      <c r="Z11"/>
      <c r="AA11"/>
    </row>
    <row r="12" spans="1:27" ht="18.600000000000001" customHeight="1" x14ac:dyDescent="0.3">
      <c r="A12" s="73"/>
      <c r="B12" s="75">
        <v>5</v>
      </c>
      <c r="C12" s="65">
        <v>2065</v>
      </c>
      <c r="D12" s="65">
        <v>1798</v>
      </c>
      <c r="E12" s="65">
        <v>4427</v>
      </c>
      <c r="F12" s="65">
        <v>2385</v>
      </c>
      <c r="G12" s="64"/>
      <c r="H12" s="64"/>
      <c r="I12" s="64"/>
      <c r="J12" s="64"/>
      <c r="K12" s="8"/>
      <c r="L12" s="8"/>
      <c r="M12" s="8"/>
      <c r="X12"/>
      <c r="Y12"/>
      <c r="Z12"/>
      <c r="AA12"/>
    </row>
    <row r="13" spans="1:27" ht="18.600000000000001" customHeight="1" x14ac:dyDescent="0.3">
      <c r="A13" s="73"/>
      <c r="B13" s="75">
        <v>6</v>
      </c>
      <c r="C13" s="65">
        <v>1896</v>
      </c>
      <c r="D13" s="65">
        <v>2731</v>
      </c>
      <c r="E13" s="65">
        <v>3815</v>
      </c>
      <c r="F13" s="64"/>
      <c r="G13" s="64"/>
      <c r="H13" s="64"/>
      <c r="I13" s="64"/>
      <c r="J13" s="64"/>
      <c r="K13" s="8"/>
      <c r="L13" s="8"/>
      <c r="M13" s="8"/>
      <c r="X13"/>
      <c r="Y13"/>
      <c r="Z13"/>
      <c r="AA13"/>
    </row>
    <row r="14" spans="1:27" ht="18.600000000000001" customHeight="1" x14ac:dyDescent="0.3">
      <c r="A14" s="73"/>
      <c r="B14" s="75">
        <v>7</v>
      </c>
      <c r="C14" s="65">
        <v>1698</v>
      </c>
      <c r="D14" s="65">
        <v>3795</v>
      </c>
      <c r="E14" s="64"/>
      <c r="F14" s="64"/>
      <c r="G14" s="64"/>
      <c r="H14" s="64"/>
      <c r="I14" s="64"/>
      <c r="J14" s="64"/>
      <c r="K14" s="8"/>
      <c r="L14" s="8"/>
      <c r="M14" s="8"/>
      <c r="X14"/>
      <c r="Y14"/>
      <c r="Z14"/>
      <c r="AA14"/>
    </row>
    <row r="15" spans="1:27" ht="18.600000000000001" customHeight="1" x14ac:dyDescent="0.3">
      <c r="A15" s="73"/>
      <c r="B15" s="75">
        <v>8</v>
      </c>
      <c r="C15" s="65">
        <v>1923</v>
      </c>
      <c r="D15" s="64"/>
      <c r="E15" s="64"/>
      <c r="F15" s="64"/>
      <c r="G15" s="64"/>
      <c r="H15" s="64"/>
      <c r="I15" s="64"/>
      <c r="J15" s="64"/>
      <c r="K15" s="8"/>
      <c r="L15" s="8"/>
      <c r="M15" s="8"/>
      <c r="X15"/>
      <c r="Y15"/>
      <c r="Z15"/>
      <c r="AA15"/>
    </row>
    <row r="16" spans="1:27" x14ac:dyDescent="0.3">
      <c r="A16" s="8"/>
      <c r="B16" s="8"/>
      <c r="C16" s="8"/>
      <c r="D16" s="8"/>
      <c r="E16" s="8"/>
      <c r="F16" s="8"/>
      <c r="G16" s="8"/>
      <c r="H16" s="8"/>
      <c r="I16" s="8"/>
      <c r="J16" s="8"/>
      <c r="K16" s="8"/>
      <c r="L16" s="8"/>
      <c r="M16" s="8"/>
      <c r="N16"/>
      <c r="O16"/>
      <c r="P16"/>
      <c r="Q16"/>
      <c r="R16"/>
      <c r="S16"/>
      <c r="T16"/>
      <c r="U16"/>
      <c r="V16"/>
      <c r="W16"/>
      <c r="X16"/>
      <c r="Y16"/>
      <c r="Z16"/>
      <c r="AA16"/>
    </row>
    <row r="17" spans="1:27" x14ac:dyDescent="0.3">
      <c r="A17" s="7" t="s">
        <v>84</v>
      </c>
      <c r="B17" s="8"/>
      <c r="C17" s="8"/>
      <c r="D17" s="8"/>
      <c r="E17" s="8"/>
      <c r="F17" s="8"/>
      <c r="G17" s="8"/>
      <c r="H17" s="8"/>
      <c r="I17" s="8"/>
      <c r="J17" s="8"/>
      <c r="K17" s="8"/>
      <c r="L17" s="8"/>
      <c r="M17" s="8"/>
      <c r="N17"/>
      <c r="O17"/>
      <c r="P17"/>
      <c r="Q17"/>
      <c r="R17"/>
      <c r="S17"/>
      <c r="T17"/>
      <c r="U17"/>
      <c r="V17"/>
      <c r="W17"/>
      <c r="X17"/>
      <c r="Y17"/>
      <c r="Z17"/>
      <c r="AA17"/>
    </row>
    <row r="18" spans="1:27" x14ac:dyDescent="0.3">
      <c r="A18" s="76" t="s">
        <v>85</v>
      </c>
      <c r="B18" s="8"/>
      <c r="C18" s="8"/>
      <c r="D18" s="8"/>
      <c r="E18" s="8"/>
      <c r="F18" s="8"/>
      <c r="G18" s="8"/>
      <c r="H18" s="8"/>
      <c r="I18" s="8"/>
      <c r="J18" s="8"/>
      <c r="K18" s="8"/>
      <c r="L18" s="8"/>
      <c r="M18" s="8"/>
      <c r="N18"/>
      <c r="O18"/>
      <c r="P18"/>
      <c r="Q18"/>
      <c r="R18"/>
      <c r="S18"/>
      <c r="T18"/>
      <c r="U18"/>
      <c r="V18"/>
      <c r="W18"/>
      <c r="X18"/>
      <c r="Y18"/>
      <c r="Z18"/>
      <c r="AA18"/>
    </row>
    <row r="19" spans="1:27" x14ac:dyDescent="0.3">
      <c r="A19" s="76" t="s">
        <v>86</v>
      </c>
      <c r="B19" s="8"/>
      <c r="C19" s="8"/>
      <c r="D19" s="8"/>
      <c r="E19" s="8"/>
      <c r="F19" s="8"/>
      <c r="G19" s="8"/>
      <c r="H19" s="8"/>
      <c r="I19" s="8"/>
      <c r="J19" s="8"/>
      <c r="K19" s="8"/>
      <c r="L19" s="8"/>
      <c r="M19" s="8"/>
      <c r="N19"/>
      <c r="O19"/>
      <c r="P19"/>
      <c r="Q19"/>
      <c r="R19"/>
      <c r="S19"/>
      <c r="T19"/>
      <c r="U19"/>
      <c r="V19"/>
      <c r="W19"/>
      <c r="X19"/>
      <c r="Y19"/>
      <c r="Z19"/>
      <c r="AA19"/>
    </row>
    <row r="20" spans="1:27" x14ac:dyDescent="0.3">
      <c r="A20" s="76" t="s">
        <v>88</v>
      </c>
      <c r="B20" s="8"/>
      <c r="C20" s="8"/>
      <c r="D20" s="8"/>
      <c r="E20" s="8"/>
      <c r="F20" s="8"/>
      <c r="G20" s="8"/>
      <c r="H20" s="8"/>
      <c r="I20" s="8"/>
      <c r="J20" s="8"/>
      <c r="K20" s="8"/>
      <c r="L20" s="8"/>
      <c r="M20" s="8"/>
      <c r="N20"/>
      <c r="O20"/>
      <c r="P20"/>
      <c r="Q20"/>
      <c r="R20"/>
      <c r="S20"/>
      <c r="T20"/>
      <c r="U20"/>
      <c r="V20"/>
      <c r="W20"/>
      <c r="X20"/>
      <c r="Y20"/>
      <c r="Z20"/>
      <c r="AA20"/>
    </row>
    <row r="21" spans="1:27" x14ac:dyDescent="0.3">
      <c r="A21" s="76" t="s">
        <v>87</v>
      </c>
      <c r="B21" s="52"/>
      <c r="C21" s="51"/>
      <c r="D21" s="8"/>
      <c r="E21" s="8"/>
      <c r="F21" s="8"/>
      <c r="G21" s="8"/>
      <c r="H21" s="8"/>
      <c r="I21" s="8"/>
      <c r="J21" s="8"/>
      <c r="K21" s="8"/>
      <c r="L21" s="8"/>
      <c r="M21" s="8"/>
      <c r="N21"/>
      <c r="O21"/>
      <c r="P21"/>
      <c r="Q21"/>
      <c r="R21"/>
      <c r="S21"/>
      <c r="T21"/>
      <c r="U21"/>
      <c r="V21"/>
      <c r="W21"/>
      <c r="X21"/>
      <c r="Y21"/>
      <c r="Z21"/>
      <c r="AA21"/>
    </row>
    <row r="22" spans="1:27" x14ac:dyDescent="0.3">
      <c r="A22" s="7"/>
      <c r="B22" s="7"/>
      <c r="C22" s="53"/>
      <c r="D22" s="8"/>
      <c r="E22" s="8"/>
      <c r="F22" s="8"/>
      <c r="G22" s="8"/>
      <c r="H22" s="8"/>
      <c r="I22" s="8"/>
      <c r="J22" s="8"/>
      <c r="K22" s="8"/>
      <c r="L22" s="8"/>
      <c r="M22" s="8"/>
      <c r="N22"/>
      <c r="O22"/>
      <c r="P22"/>
      <c r="Q22"/>
      <c r="R22"/>
      <c r="S22"/>
      <c r="T22"/>
      <c r="U22"/>
      <c r="V22"/>
      <c r="W22"/>
      <c r="X22"/>
      <c r="Y22"/>
      <c r="Z22"/>
      <c r="AA22"/>
    </row>
    <row r="23" spans="1:27" ht="32.4" customHeight="1" x14ac:dyDescent="0.3">
      <c r="A23" s="12" t="s">
        <v>3</v>
      </c>
      <c r="B23" s="231" t="s">
        <v>89</v>
      </c>
      <c r="C23" s="231"/>
      <c r="D23" s="231"/>
      <c r="E23" s="231"/>
      <c r="F23" s="231"/>
      <c r="G23" s="231"/>
      <c r="H23" s="231"/>
      <c r="I23" s="231"/>
      <c r="J23" s="231"/>
      <c r="K23" s="231"/>
      <c r="L23" s="231"/>
      <c r="M23" s="231"/>
      <c r="N23"/>
      <c r="O23"/>
      <c r="P23"/>
      <c r="Q23"/>
      <c r="R23"/>
      <c r="S23"/>
      <c r="T23"/>
      <c r="U23"/>
      <c r="V23"/>
      <c r="W23"/>
      <c r="X23"/>
      <c r="Y23"/>
      <c r="Z23"/>
      <c r="AA23"/>
    </row>
    <row r="24" spans="1:27" ht="16.2" x14ac:dyDescent="0.35">
      <c r="A24" s="9"/>
      <c r="B24" s="9" t="s">
        <v>1</v>
      </c>
      <c r="C24" s="9"/>
      <c r="D24" s="11"/>
      <c r="E24" s="11"/>
      <c r="F24" s="7"/>
      <c r="G24" s="7"/>
      <c r="H24" s="7"/>
      <c r="I24" s="8"/>
      <c r="J24" s="8"/>
      <c r="K24" s="8"/>
      <c r="L24" s="8"/>
      <c r="M24" s="8"/>
      <c r="N24"/>
      <c r="O24"/>
      <c r="P24"/>
      <c r="Q24"/>
      <c r="R24"/>
      <c r="S24"/>
      <c r="T24"/>
      <c r="U24"/>
      <c r="V24"/>
      <c r="W24"/>
      <c r="X24"/>
      <c r="Y24"/>
      <c r="Z24"/>
      <c r="AA24"/>
    </row>
    <row r="25" spans="1:27" x14ac:dyDescent="0.3">
      <c r="N25"/>
      <c r="O25"/>
      <c r="P25"/>
      <c r="Q25"/>
      <c r="R25"/>
      <c r="S25"/>
      <c r="T25"/>
      <c r="U25"/>
      <c r="V25"/>
      <c r="W25"/>
      <c r="X25"/>
      <c r="Y25"/>
      <c r="Z25"/>
      <c r="AA25"/>
    </row>
    <row r="26" spans="1:27" ht="15.6" customHeight="1" x14ac:dyDescent="0.3">
      <c r="B26" s="148"/>
      <c r="C26" s="241" t="s">
        <v>282</v>
      </c>
      <c r="D26" s="241"/>
      <c r="E26" s="241"/>
      <c r="F26" s="241"/>
      <c r="G26" s="241"/>
      <c r="H26" s="241"/>
      <c r="I26" s="241"/>
      <c r="J26" s="241"/>
      <c r="L26" s="4" t="s">
        <v>295</v>
      </c>
      <c r="U26"/>
      <c r="V26"/>
      <c r="W26"/>
      <c r="X26"/>
      <c r="Y26"/>
      <c r="Z26"/>
      <c r="AA26"/>
    </row>
    <row r="27" spans="1:27" x14ac:dyDescent="0.3">
      <c r="B27" s="149" t="s">
        <v>59</v>
      </c>
      <c r="C27" s="150">
        <v>1</v>
      </c>
      <c r="D27" s="150">
        <v>2</v>
      </c>
      <c r="E27" s="150">
        <v>3</v>
      </c>
      <c r="F27" s="150">
        <v>4</v>
      </c>
      <c r="G27" s="150">
        <v>5</v>
      </c>
      <c r="H27" s="150">
        <v>6</v>
      </c>
      <c r="I27" s="150">
        <v>7</v>
      </c>
      <c r="J27" s="150">
        <v>8</v>
      </c>
      <c r="L27" s="222" t="s">
        <v>296</v>
      </c>
      <c r="M27" s="162">
        <f>1/C51</f>
        <v>7.451773456405214E-2</v>
      </c>
      <c r="N27" s="162">
        <f t="shared" ref="N27:T27" si="0">(C48-1)/C51</f>
        <v>0.1033368380057943</v>
      </c>
      <c r="O27" s="162">
        <f t="shared" si="0"/>
        <v>0.1466578591540369</v>
      </c>
      <c r="P27" s="162">
        <f t="shared" si="0"/>
        <v>0.18467368475081672</v>
      </c>
      <c r="Q27" s="162">
        <f t="shared" si="0"/>
        <v>0.22889257485696632</v>
      </c>
      <c r="R27" s="162">
        <f t="shared" si="0"/>
        <v>0.15691591673799365</v>
      </c>
      <c r="S27" s="162">
        <f t="shared" si="0"/>
        <v>6.5178875118326887E-2</v>
      </c>
      <c r="T27" s="162">
        <f t="shared" si="0"/>
        <v>3.982651681201315E-2</v>
      </c>
      <c r="U27"/>
      <c r="V27"/>
      <c r="W27"/>
      <c r="X27"/>
      <c r="Y27"/>
      <c r="Z27"/>
      <c r="AA27"/>
    </row>
    <row r="28" spans="1:27" x14ac:dyDescent="0.3">
      <c r="B28" s="140">
        <v>1</v>
      </c>
      <c r="C28" s="151">
        <f>C8</f>
        <v>2011</v>
      </c>
      <c r="D28" s="151">
        <f t="shared" ref="D28:J28" si="1">D8+C28</f>
        <v>4747</v>
      </c>
      <c r="E28" s="151">
        <f t="shared" si="1"/>
        <v>5863</v>
      </c>
      <c r="F28" s="151">
        <f t="shared" si="1"/>
        <v>8713</v>
      </c>
      <c r="G28" s="151">
        <f t="shared" si="1"/>
        <v>13512</v>
      </c>
      <c r="H28" s="151">
        <f t="shared" si="1"/>
        <v>18518</v>
      </c>
      <c r="I28" s="151">
        <f t="shared" si="1"/>
        <v>20589</v>
      </c>
      <c r="J28" s="151">
        <f t="shared" si="1"/>
        <v>21443</v>
      </c>
      <c r="L28" s="222" t="s">
        <v>297</v>
      </c>
      <c r="M28" s="163">
        <f>SUMPRODUCT(M27:T27,$C$8:$J$8)/SUMPRODUCT(M27:T27,M27:T27)</f>
        <v>20528.050941652189</v>
      </c>
      <c r="N28" s="163">
        <f>SUMPRODUCT(M27:S27,$C$9:$I$9)/SUMPRODUCT(M27:S27,M27:S27)</f>
        <v>49014.671862859315</v>
      </c>
      <c r="O28" s="163">
        <f>SUMPRODUCT(M27:R27,$C$10:$H$10)/SUMPRODUCT(M27:R27,M27:R27)</f>
        <v>23798.910320026785</v>
      </c>
      <c r="P28" s="163">
        <f>SUMPRODUCT(M27:Q27,$C$11:$G$11)/SUMPRODUCT(M27:Q27,M27:Q27)</f>
        <v>12859.97283728303</v>
      </c>
      <c r="Q28" s="163">
        <f>SUMPRODUCT(M27:P27,$C$12:$F$12)/SUMPRODUCT(M27:P27,M27:P27)</f>
        <v>19895.523924950685</v>
      </c>
      <c r="R28" s="163">
        <f>SUMPRODUCT(M27:O27,$C$13:$E$13)/SUMPRODUCT(M27:O27,M27:O27)</f>
        <v>26046.642302019653</v>
      </c>
      <c r="S28" s="163">
        <f>SUMPRODUCT(M27:N27,$C$14:$D$14)/SUMPRODUCT(M27:N27,M27:N27)</f>
        <v>31956.24394578076</v>
      </c>
      <c r="T28" s="163">
        <f>SUMPRODUCT(M27:M27,$C$15:$C$15)/SUMPRODUCT(M27:M27,M27:M27)</f>
        <v>25805.937489243912</v>
      </c>
      <c r="U28"/>
      <c r="V28"/>
      <c r="W28"/>
      <c r="X28"/>
      <c r="Y28"/>
      <c r="Z28"/>
      <c r="AA28"/>
    </row>
    <row r="29" spans="1:27" x14ac:dyDescent="0.3">
      <c r="B29" s="140">
        <v>2</v>
      </c>
      <c r="C29" s="151">
        <f t="shared" ref="C29:C35" si="2">C9</f>
        <v>1900</v>
      </c>
      <c r="D29" s="151">
        <f t="shared" ref="D29:E34" si="3">D9+C29</f>
        <v>6042</v>
      </c>
      <c r="E29" s="151">
        <f t="shared" si="3"/>
        <v>12150</v>
      </c>
      <c r="F29" s="151">
        <f t="shared" ref="F29:G29" si="4">F9+E29</f>
        <v>21622</v>
      </c>
      <c r="G29" s="151">
        <f t="shared" si="4"/>
        <v>34104</v>
      </c>
      <c r="H29" s="151">
        <f t="shared" ref="H29:I29" si="5">H9+G29</f>
        <v>42257</v>
      </c>
      <c r="I29" s="151">
        <f t="shared" si="5"/>
        <v>44612</v>
      </c>
      <c r="J29" s="152"/>
      <c r="L29" s="222" t="s">
        <v>296</v>
      </c>
      <c r="M29" s="164">
        <f>1-SUM(N29:T29)</f>
        <v>7.6167183975864527E-2</v>
      </c>
      <c r="N29" s="162" cm="1">
        <f t="array" ref="N29">SUMPRODUCT(M28:S28,TRANSPOSE(D$8:D$14))/SUMPRODUCT(M28:S28,M28:S28)</f>
        <v>9.9277114683683124E-2</v>
      </c>
      <c r="O29" s="162" cm="1">
        <f t="array" ref="O29">SUMPRODUCT(M28:R28,TRANSPOSE(E$8:E$13))/SUMPRODUCT(M28:R28,M28:R28)</f>
        <v>0.13958788174529874</v>
      </c>
      <c r="P29" s="162" cm="1">
        <f t="array" ref="P29">SUMPRODUCT(M28:Q28,TRANSPOSE(F$8:F$12))/SUMPRODUCT(M28:Q28,M28:Q28)</f>
        <v>0.18727681227851242</v>
      </c>
      <c r="Q29" s="162" cm="1">
        <f t="array" ref="Q29">SUMPRODUCT(M28:P28,TRANSPOSE(G$8:G$11))/SUMPRODUCT(M28:P28,M28:P28)</f>
        <v>0.24357680310800245</v>
      </c>
      <c r="R29" s="162" cm="1">
        <f t="array" ref="R29">SUMPRODUCT(M28:O28,TRANSPOSE(H$8:H$10))/SUMPRODUCT(M28:O28,M28:O28)</f>
        <v>0.15658052666267985</v>
      </c>
      <c r="S29" s="162" cm="1">
        <f t="array" ref="S29">SUMPRODUCT(M28:N28,TRANSPOSE(I$8:I$9))/SUMPRODUCT(M28:N28,M28:N28)</f>
        <v>5.5932066052136915E-2</v>
      </c>
      <c r="T29" s="162" cm="1">
        <f t="array" ref="T29">SUMPRODUCT(M28:M28,TRANSPOSE(J$8:J$8))/SUMPRODUCT(M28:M28,M28:M28)</f>
        <v>4.1601611493821938E-2</v>
      </c>
      <c r="U29"/>
      <c r="V29"/>
      <c r="W29"/>
      <c r="X29"/>
      <c r="Y29"/>
      <c r="Z29"/>
      <c r="AA29"/>
    </row>
    <row r="30" spans="1:27" x14ac:dyDescent="0.3">
      <c r="B30" s="140">
        <v>3</v>
      </c>
      <c r="C30" s="151">
        <f t="shared" si="2"/>
        <v>2185</v>
      </c>
      <c r="D30" s="151">
        <f t="shared" si="3"/>
        <v>4436</v>
      </c>
      <c r="E30" s="151">
        <f t="shared" si="3"/>
        <v>8699</v>
      </c>
      <c r="F30" s="151">
        <f t="shared" ref="F30:G30" si="6">F10+E30</f>
        <v>13914</v>
      </c>
      <c r="G30" s="151">
        <f t="shared" si="6"/>
        <v>19905</v>
      </c>
      <c r="H30" s="151">
        <f t="shared" ref="H30" si="7">H10+G30</f>
        <v>21101</v>
      </c>
      <c r="I30" s="152"/>
      <c r="J30" s="152"/>
      <c r="L30" s="222" t="s">
        <v>297</v>
      </c>
      <c r="M30" s="163">
        <f>SUMPRODUCT(M29:T29,$C$8:$J$8)/SUMPRODUCT(M29:T29,M29:T29)</f>
        <v>20251.849215909806</v>
      </c>
      <c r="N30" s="163">
        <f>SUMPRODUCT(M29:S29,$C$9:$I$9)/SUMPRODUCT(M29:S29,M29:S29)</f>
        <v>48546.632593207192</v>
      </c>
      <c r="O30" s="163">
        <f>SUMPRODUCT(M29:R29,$C$10:$H$10)/SUMPRODUCT(M29:R29,M29:R29)</f>
        <v>23420.125560331991</v>
      </c>
      <c r="P30" s="163">
        <f>SUMPRODUCT(M29:Q29,$C$11:$G$11)/SUMPRODUCT(M29:Q29,M29:Q29)</f>
        <v>12347.545253927161</v>
      </c>
      <c r="Q30" s="163">
        <f>SUMPRODUCT(M29:P29,$C$12:$F$12)/SUMPRODUCT(M29:P29,M29:P29)</f>
        <v>19944.469026243049</v>
      </c>
      <c r="R30" s="163">
        <f>SUMPRODUCT(M29:O29,$C$13:$E$13)/SUMPRODUCT(M29:O29,M29:O29)</f>
        <v>26978.036979323799</v>
      </c>
      <c r="S30" s="163">
        <f>SUMPRODUCT(M29:N29,$C$14:$D$14)/SUMPRODUCT(M29:N29,M29:N29)</f>
        <v>32322.671711170293</v>
      </c>
      <c r="T30" s="163">
        <f>SUMPRODUCT(M29:M29,$C$15:$C$15)/SUMPRODUCT(M29:M29,M29:M29)</f>
        <v>25247.093296889518</v>
      </c>
      <c r="U30"/>
      <c r="V30"/>
      <c r="W30"/>
      <c r="X30"/>
      <c r="Y30"/>
      <c r="Z30"/>
      <c r="AA30"/>
    </row>
    <row r="31" spans="1:27" x14ac:dyDescent="0.3">
      <c r="B31" s="140">
        <v>4</v>
      </c>
      <c r="C31" s="151">
        <f t="shared" si="2"/>
        <v>1957</v>
      </c>
      <c r="D31" s="151">
        <f t="shared" si="3"/>
        <v>3519</v>
      </c>
      <c r="E31" s="151">
        <f t="shared" si="3"/>
        <v>6247</v>
      </c>
      <c r="F31" s="151">
        <f t="shared" ref="F31:G31" si="8">F11+E31</f>
        <v>9799</v>
      </c>
      <c r="G31" s="151">
        <f t="shared" si="8"/>
        <v>10823</v>
      </c>
      <c r="H31" s="152"/>
      <c r="I31" s="152"/>
      <c r="J31" s="152"/>
      <c r="L31" s="222" t="s">
        <v>296</v>
      </c>
      <c r="M31" s="164">
        <f>1-SUM(N31:T31)</f>
        <v>6.733299350891464E-2</v>
      </c>
      <c r="N31" s="162" cm="1">
        <f t="array" ref="N31">SUMPRODUCT(M30:S30,TRANSPOSE(D$8:D$14))/SUMPRODUCT(M30:S30,M30:S30)</f>
        <v>9.9445506969389585E-2</v>
      </c>
      <c r="O31" s="162" cm="1">
        <f t="array" ref="O31">SUMPRODUCT(M30:R30,TRANSPOSE(E$8:E$13))/SUMPRODUCT(M30:R30,M30:R30)</f>
        <v>0.14016917309537283</v>
      </c>
      <c r="P31" s="162" cm="1">
        <f t="array" ref="P31">SUMPRODUCT(M30:Q30,TRANSPOSE(F$8:F$12))/SUMPRODUCT(M30:Q30,M30:Q30)</f>
        <v>0.18913036072293735</v>
      </c>
      <c r="Q31" s="162" cm="1">
        <f t="array" ref="Q31">SUMPRODUCT(M30:P30,TRANSPOSE(G$8:G$11))/SUMPRODUCT(M30:P30,M30:P30)</f>
        <v>0.24686617469335267</v>
      </c>
      <c r="R31" s="162" cm="1">
        <f t="array" ref="R31">SUMPRODUCT(M30:O30,TRANSPOSE(H$8:H$10))/SUMPRODUCT(M30:O30,M30:O30)</f>
        <v>0.15840909477923465</v>
      </c>
      <c r="S31" s="162" cm="1">
        <f t="array" ref="S31">SUMPRODUCT(M30:N30,TRANSPOSE(I$8:I$9))/SUMPRODUCT(M30:N30,M30:N30)</f>
        <v>5.6477707567328589E-2</v>
      </c>
      <c r="T31" s="162" cm="1">
        <f t="array" ref="T31">SUMPRODUCT(M30:M30,TRANSPOSE(J$8:J$8))/SUMPRODUCT(M30:M30,M30:M30)</f>
        <v>4.2168988663469777E-2</v>
      </c>
      <c r="U31"/>
      <c r="V31"/>
      <c r="W31"/>
      <c r="X31"/>
      <c r="Y31"/>
      <c r="Z31"/>
      <c r="AA31"/>
    </row>
    <row r="32" spans="1:27" x14ac:dyDescent="0.3">
      <c r="B32" s="140">
        <v>5</v>
      </c>
      <c r="C32" s="151">
        <f t="shared" si="2"/>
        <v>2065</v>
      </c>
      <c r="D32" s="151">
        <f t="shared" si="3"/>
        <v>3863</v>
      </c>
      <c r="E32" s="151">
        <f t="shared" si="3"/>
        <v>8290</v>
      </c>
      <c r="F32" s="151">
        <f t="shared" ref="F32" si="9">F12+E32</f>
        <v>10675</v>
      </c>
      <c r="G32" s="152"/>
      <c r="H32" s="152"/>
      <c r="I32" s="152"/>
      <c r="J32" s="152"/>
      <c r="L32" s="222" t="s">
        <v>297</v>
      </c>
      <c r="M32" s="163">
        <f>SUMPRODUCT(M31:T31,$C$8:$J$8)/SUMPRODUCT(M31:T31,M31:T31)</f>
        <v>20103.960334912641</v>
      </c>
      <c r="N32" s="163">
        <f>SUMPRODUCT(M31:S31,$C$9:$I$9)/SUMPRODUCT(M31:S31,M31:S31)</f>
        <v>48365.369624641622</v>
      </c>
      <c r="O32" s="163">
        <f>SUMPRODUCT(M31:R31,$C$10:$H$10)/SUMPRODUCT(M31:R31,M31:R31)</f>
        <v>23244.345028157662</v>
      </c>
      <c r="P32" s="163">
        <f>SUMPRODUCT(M31:Q31,$C$11:$G$11)/SUMPRODUCT(M31:Q31,M31:Q31)</f>
        <v>12188.579899183045</v>
      </c>
      <c r="Q32" s="163">
        <f>SUMPRODUCT(M31:P31,$C$12:$F$12)/SUMPRODUCT(M31:P31,M31:P31)</f>
        <v>19894.529701149175</v>
      </c>
      <c r="R32" s="163">
        <f>SUMPRODUCT(M31:O31,$C$13:$E$13)/SUMPRODUCT(M31:O31,M31:O31)</f>
        <v>27413.551020237068</v>
      </c>
      <c r="S32" s="163">
        <f>SUMPRODUCT(M31:N31,$C$14:$D$14)/SUMPRODUCT(M31:N31,M31:N31)</f>
        <v>34092.929294370617</v>
      </c>
      <c r="T32" s="163">
        <f>SUMPRODUCT(M31:M31,$C$15:$C$15)/SUMPRODUCT(M31:M31,M31:M31)</f>
        <v>28559.550077710446</v>
      </c>
      <c r="U32"/>
      <c r="V32"/>
      <c r="W32"/>
      <c r="X32"/>
      <c r="Y32"/>
      <c r="Z32"/>
      <c r="AA32"/>
    </row>
    <row r="33" spans="2:27" x14ac:dyDescent="0.3">
      <c r="B33" s="140">
        <v>6</v>
      </c>
      <c r="C33" s="151">
        <f t="shared" si="2"/>
        <v>1896</v>
      </c>
      <c r="D33" s="151">
        <f t="shared" si="3"/>
        <v>4627</v>
      </c>
      <c r="E33" s="151">
        <f t="shared" si="3"/>
        <v>8442</v>
      </c>
      <c r="F33" s="152"/>
      <c r="G33" s="152"/>
      <c r="H33" s="152"/>
      <c r="I33" s="152"/>
      <c r="J33" s="152"/>
      <c r="L33" s="222" t="s">
        <v>296</v>
      </c>
      <c r="M33" s="164">
        <f>1-SUM(N33:T33)</f>
        <v>6.4330296330176839E-2</v>
      </c>
      <c r="N33" s="162" cm="1">
        <f t="array" ref="N33">SUMPRODUCT(M32:S32,TRANSPOSE(D$8:D$14))/SUMPRODUCT(M32:S32,M32:S32)</f>
        <v>9.8698784564195813E-2</v>
      </c>
      <c r="O33" s="162" cm="1">
        <f t="array" ref="O33">SUMPRODUCT(M32:R32,TRANSPOSE(E$8:E$13))/SUMPRODUCT(M32:R32,M32:R32)</f>
        <v>0.140374220954669</v>
      </c>
      <c r="P33" s="162" cm="1">
        <f t="array" ref="P33">SUMPRODUCT(M32:Q32,TRANSPOSE(F$8:F$12))/SUMPRODUCT(M32:Q32,M32:Q32)</f>
        <v>0.19001270068107337</v>
      </c>
      <c r="Q33" s="162" cm="1">
        <f t="array" ref="Q33">SUMPRODUCT(M32:P32,TRANSPOSE(G$8:G$11))/SUMPRODUCT(M32:P32,M32:P32)</f>
        <v>0.24820921931279039</v>
      </c>
      <c r="R33" s="162" cm="1">
        <f t="array" ref="R33">SUMPRODUCT(M32:O32,TRANSPOSE(H$8:H$10))/SUMPRODUCT(M32:O32,M32:O32)</f>
        <v>0.15920061477481767</v>
      </c>
      <c r="S33" s="162" cm="1">
        <f t="array" ref="S33">SUMPRODUCT(M32:N32,TRANSPOSE(I$8:I$9))/SUMPRODUCT(M32:N32,M32:N32)</f>
        <v>5.6694970935953805E-2</v>
      </c>
      <c r="T33" s="162" cm="1">
        <f t="array" ref="T33">SUMPRODUCT(M32:M32,TRANSPOSE(J$8:J$8))/SUMPRODUCT(M32:M32,M32:M32)</f>
        <v>4.2479192446323089E-2</v>
      </c>
      <c r="U33"/>
      <c r="V33"/>
      <c r="W33"/>
      <c r="X33"/>
      <c r="Y33"/>
      <c r="Z33"/>
      <c r="AA33"/>
    </row>
    <row r="34" spans="2:27" x14ac:dyDescent="0.3">
      <c r="B34" s="140">
        <v>7</v>
      </c>
      <c r="C34" s="151">
        <f t="shared" si="2"/>
        <v>1698</v>
      </c>
      <c r="D34" s="151">
        <f t="shared" si="3"/>
        <v>5493</v>
      </c>
      <c r="E34" s="152"/>
      <c r="F34" s="152"/>
      <c r="G34" s="152"/>
      <c r="H34" s="152"/>
      <c r="I34" s="152"/>
      <c r="J34" s="152"/>
      <c r="L34" s="222" t="s">
        <v>297</v>
      </c>
      <c r="M34" s="163">
        <f>SUMPRODUCT(M33:T33,$C$8:$J$8)/SUMPRODUCT(M33:T33,M33:T33)</f>
        <v>20038.277492991045</v>
      </c>
      <c r="N34" s="163">
        <f>SUMPRODUCT(M33:S33,$C$9:$I$9)/SUMPRODUCT(M33:S33,M33:S33)</f>
        <v>48279.975737485271</v>
      </c>
      <c r="O34" s="163">
        <f>SUMPRODUCT(M33:R33,$C$10:$H$10)/SUMPRODUCT(M33:R33,M33:R33)</f>
        <v>23170.567660346045</v>
      </c>
      <c r="P34" s="163">
        <f>SUMPRODUCT(M33:Q33,$C$11:$G$11)/SUMPRODUCT(M33:Q33,M33:Q33)</f>
        <v>12125.861559680909</v>
      </c>
      <c r="Q34" s="163">
        <f>SUMPRODUCT(M33:P33,$C$12:$F$12)/SUMPRODUCT(M33:P33,M33:P33)</f>
        <v>19872.688800357824</v>
      </c>
      <c r="R34" s="163">
        <f>SUMPRODUCT(M33:O33,$C$13:$E$13)/SUMPRODUCT(M33:O33,M33:O33)</f>
        <v>27603.124237998662</v>
      </c>
      <c r="S34" s="163">
        <f>SUMPRODUCT(M33:N33,$C$14:$D$14)/SUMPRODUCT(M33:N33,M33:N33)</f>
        <v>34855.937219651612</v>
      </c>
      <c r="T34" s="163">
        <f>SUMPRODUCT(M33:M33,$C$15:$C$15)/SUMPRODUCT(M33:M33,M33:M33)</f>
        <v>29892.602859003709</v>
      </c>
      <c r="U34"/>
      <c r="V34"/>
      <c r="W34"/>
      <c r="X34"/>
      <c r="Y34"/>
      <c r="Z34"/>
      <c r="AA34"/>
    </row>
    <row r="35" spans="2:27" x14ac:dyDescent="0.3">
      <c r="B35" s="140">
        <v>8</v>
      </c>
      <c r="C35" s="151">
        <f t="shared" si="2"/>
        <v>1923</v>
      </c>
      <c r="D35" s="152"/>
      <c r="E35" s="152"/>
      <c r="F35" s="152"/>
      <c r="G35" s="152"/>
      <c r="H35" s="152"/>
      <c r="I35" s="152"/>
      <c r="J35" s="152"/>
      <c r="L35" s="222" t="s">
        <v>296</v>
      </c>
      <c r="M35" s="164">
        <f>1-SUM(N35:T35)</f>
        <v>6.2986589514912428E-2</v>
      </c>
      <c r="N35" s="162" cm="1">
        <f t="array" ref="N35">SUMPRODUCT(M34:S34,TRANSPOSE(D$8:D$14))/SUMPRODUCT(M34:S34,M34:S34)</f>
        <v>9.8353915516219026E-2</v>
      </c>
      <c r="O35" s="162" cm="1">
        <f t="array" ref="O35">SUMPRODUCT(M34:R34,TRANSPOSE(E$8:E$13))/SUMPRODUCT(M34:R34,M34:R34)</f>
        <v>0.14046764961013605</v>
      </c>
      <c r="P35" s="162" cm="1">
        <f t="array" ref="P35">SUMPRODUCT(M34:Q34,TRANSPOSE(F$8:F$12))/SUMPRODUCT(M34:Q34,M34:Q34)</f>
        <v>0.19041124138361476</v>
      </c>
      <c r="Q35" s="162" cm="1">
        <f t="array" ref="Q35">SUMPRODUCT(M34:P34,TRANSPOSE(G$8:G$11))/SUMPRODUCT(M34:P34,M34:P34)</f>
        <v>0.24880752188153032</v>
      </c>
      <c r="R35" s="162" cm="1">
        <f t="array" ref="R35">SUMPRODUCT(M34:O34,TRANSPOSE(H$8:H$10))/SUMPRODUCT(M34:O34,M34:O34)</f>
        <v>0.15955711438524059</v>
      </c>
      <c r="S35" s="162" cm="1">
        <f t="array" ref="S35">SUMPRODUCT(M34:N34,TRANSPOSE(I$8:I$9))/SUMPRODUCT(M34:N34,M34:N34)</f>
        <v>5.6797534048132745E-2</v>
      </c>
      <c r="T35" s="162" cm="1">
        <f t="array" ref="T35">SUMPRODUCT(M34:M34,TRANSPOSE(J$8:J$8))/SUMPRODUCT(M34:M34,M34:M34)</f>
        <v>4.2618433660214096E-2</v>
      </c>
      <c r="U35"/>
      <c r="V35"/>
      <c r="W35"/>
      <c r="X35"/>
      <c r="Y35"/>
      <c r="Z35"/>
      <c r="AA35"/>
    </row>
    <row r="36" spans="2:27" x14ac:dyDescent="0.3">
      <c r="L36" s="222" t="s">
        <v>297</v>
      </c>
      <c r="M36" s="163">
        <f>SUMPRODUCT(M35:T35,$C$8:$J$8)/SUMPRODUCT(M35:T35,M35:T35)</f>
        <v>20008.043392243551</v>
      </c>
      <c r="N36" s="163">
        <f>SUMPRODUCT(M35:S35,$C$9:$I$9)/SUMPRODUCT(M35:S35,M35:S35)</f>
        <v>48239.585953675036</v>
      </c>
      <c r="O36" s="163">
        <f>SUMPRODUCT(M35:R35,$C$10:$H$10)/SUMPRODUCT(M35:R35,M35:R35)</f>
        <v>23136.614309311644</v>
      </c>
      <c r="P36" s="163">
        <f>SUMPRODUCT(M35:Q35,$C$11:$G$11)/SUMPRODUCT(M35:Q35,M35:Q35)</f>
        <v>12097.358412379248</v>
      </c>
      <c r="Q36" s="163">
        <f>SUMPRODUCT(M35:P35,$C$12:$F$12)/SUMPRODUCT(M35:P35,M35:P35)</f>
        <v>19860.985630023937</v>
      </c>
      <c r="R36" s="163">
        <f>SUMPRODUCT(M35:O35,$C$13:$E$13)/SUMPRODUCT(M35:O35,M35:O35)</f>
        <v>27685.251229757469</v>
      </c>
      <c r="S36" s="163">
        <f>SUMPRODUCT(M35:N35,$C$14:$D$14)/SUMPRODUCT(M35:N35,M35:N35)</f>
        <v>35203.523787081838</v>
      </c>
      <c r="T36" s="163">
        <f>SUMPRODUCT(M35:M35,$C$15:$C$15)/SUMPRODUCT(M35:M35,M35:M35)</f>
        <v>30530.308353093464</v>
      </c>
      <c r="U36"/>
      <c r="V36"/>
      <c r="W36"/>
      <c r="X36"/>
      <c r="Y36"/>
      <c r="Z36"/>
      <c r="AA36"/>
    </row>
    <row r="37" spans="2:27" x14ac:dyDescent="0.3">
      <c r="B37" s="138" t="s">
        <v>283</v>
      </c>
      <c r="C37" s="138"/>
      <c r="D37" s="138"/>
      <c r="E37" s="138"/>
      <c r="F37" s="138"/>
      <c r="G37" s="138"/>
      <c r="H37" s="138"/>
      <c r="I37" s="138"/>
      <c r="J37" s="138"/>
      <c r="L37" s="222" t="s">
        <v>296</v>
      </c>
      <c r="M37" s="164">
        <f>1-SUM(N37:T37)</f>
        <v>6.2348498245488493E-2</v>
      </c>
      <c r="N37" s="162" cm="1">
        <f t="array" ref="N37">SUMPRODUCT(M36:S36,TRANSPOSE(D$8:D$14))/SUMPRODUCT(M36:S36,M36:S36)</f>
        <v>9.8195630201692891E-2</v>
      </c>
      <c r="O37" s="162" cm="1">
        <f t="array" ref="O37">SUMPRODUCT(M36:R36,TRANSPOSE(E$8:E$13))/SUMPRODUCT(M36:R36,M36:R36)</f>
        <v>0.14051613511351849</v>
      </c>
      <c r="P37" s="162" cm="1">
        <f t="array" ref="P37">SUMPRODUCT(M36:Q36,TRANSPOSE(F$8:F$12))/SUMPRODUCT(M36:Q36,M36:Q36)</f>
        <v>0.19059982432526124</v>
      </c>
      <c r="Q37" s="162" cm="1">
        <f t="array" ref="Q37">SUMPRODUCT(M36:P36,TRANSPOSE(G$8:G$11))/SUMPRODUCT(M36:P36,M36:P36)</f>
        <v>0.24908688047288613</v>
      </c>
      <c r="R37" s="162" cm="1">
        <f t="array" ref="R37">SUMPRODUCT(M36:O36,TRANSPOSE(H$8:H$10))/SUMPRODUCT(M36:O36,M36:O36)</f>
        <v>0.15972409824456757</v>
      </c>
      <c r="S37" s="162" cm="1">
        <f t="array" ref="S37">SUMPRODUCT(M36:N36,TRANSPOSE(I$8:I$9))/SUMPRODUCT(M36:N36,M36:N36)</f>
        <v>5.6846099135486626E-2</v>
      </c>
      <c r="T37" s="162" cm="1">
        <f t="array" ref="T37">SUMPRODUCT(M36:M36,TRANSPOSE(J$8:J$8))/SUMPRODUCT(M36:M36,M36:M36)</f>
        <v>4.2682834261098576E-2</v>
      </c>
      <c r="U37"/>
      <c r="V37"/>
      <c r="W37"/>
      <c r="X37"/>
      <c r="Y37"/>
      <c r="Z37"/>
      <c r="AA37"/>
    </row>
    <row r="38" spans="2:27" x14ac:dyDescent="0.3">
      <c r="B38" s="138"/>
      <c r="C38" s="238" t="s">
        <v>284</v>
      </c>
      <c r="D38" s="238"/>
      <c r="E38" s="238"/>
      <c r="F38" s="238"/>
      <c r="G38" s="238"/>
      <c r="H38" s="238"/>
      <c r="I38" s="238"/>
      <c r="J38" s="238"/>
      <c r="L38" s="222" t="s">
        <v>297</v>
      </c>
      <c r="M38" s="163">
        <f>SUMPRODUCT(M37:T37,$C$8:$J$8)/SUMPRODUCT(M37:T37,M37:T37)</f>
        <v>19993.555251177302</v>
      </c>
      <c r="N38" s="163">
        <f>SUMPRODUCT(M37:S37,$C$9:$I$9)/SUMPRODUCT(M37:S37,M37:S37)</f>
        <v>48220.038456524373</v>
      </c>
      <c r="O38" s="163">
        <f>SUMPRODUCT(M37:R37,$C$10:$H$10)/SUMPRODUCT(M37:R37,M37:R37)</f>
        <v>23120.413434170379</v>
      </c>
      <c r="P38" s="163">
        <f>SUMPRODUCT(M37:Q37,$C$11:$G$11)/SUMPRODUCT(M37:Q37,M37:Q37)</f>
        <v>12083.832660196338</v>
      </c>
      <c r="Q38" s="163">
        <f>SUMPRODUCT(M37:P37,$C$12:$F$12)/SUMPRODUCT(M37:P37,M37:P37)</f>
        <v>19854.819297906506</v>
      </c>
      <c r="R38" s="163">
        <f>SUMPRODUCT(M37:O37,$C$13:$E$13)/SUMPRODUCT(M37:O37,M37:O37)</f>
        <v>27722.551488975078</v>
      </c>
      <c r="S38" s="163">
        <f>SUMPRODUCT(M37:N37,$C$14:$D$14)/SUMPRODUCT(M37:N37,M37:N37)</f>
        <v>35368.083883885367</v>
      </c>
      <c r="T38" s="163">
        <f>SUMPRODUCT(M37:M37,$C$15:$C$15)/SUMPRODUCT(M37:M37,M37:M37)</f>
        <v>30842.763725093366</v>
      </c>
      <c r="U38"/>
      <c r="V38"/>
      <c r="W38"/>
      <c r="X38"/>
      <c r="Y38"/>
      <c r="Z38"/>
      <c r="AA38"/>
    </row>
    <row r="39" spans="2:27" x14ac:dyDescent="0.3">
      <c r="B39" s="153" t="s">
        <v>59</v>
      </c>
      <c r="C39" s="154" t="s">
        <v>285</v>
      </c>
      <c r="D39" s="154" t="s">
        <v>286</v>
      </c>
      <c r="E39" s="155" t="s">
        <v>287</v>
      </c>
      <c r="F39" s="155" t="s">
        <v>288</v>
      </c>
      <c r="G39" s="155" t="s">
        <v>289</v>
      </c>
      <c r="H39" s="155" t="s">
        <v>290</v>
      </c>
      <c r="I39" s="155" t="s">
        <v>291</v>
      </c>
      <c r="J39" s="138"/>
      <c r="L39" s="222" t="s">
        <v>296</v>
      </c>
      <c r="M39" s="164">
        <f>1-SUM(N39:T39)</f>
        <v>6.2037070352725654E-2</v>
      </c>
      <c r="N39" s="162" cm="1">
        <f t="array" ref="N39">SUMPRODUCT(M38:S38,TRANSPOSE(D$8:D$14))/SUMPRODUCT(M38:S38,M38:S38)</f>
        <v>9.8120977187799427E-2</v>
      </c>
      <c r="O39" s="162" cm="1">
        <f t="array" ref="O39">SUMPRODUCT(M38:R38,TRANSPOSE(E$8:E$13))/SUMPRODUCT(M38:R38,M38:R38)</f>
        <v>0.14054133652688822</v>
      </c>
      <c r="P39" s="162" cm="1">
        <f t="array" ref="P39">SUMPRODUCT(M38:Q38,TRANSPOSE(F$8:F$12))/SUMPRODUCT(M38:Q38,M38:Q38)</f>
        <v>0.19069141498937101</v>
      </c>
      <c r="Q39" s="162" cm="1">
        <f t="array" ref="Q39">SUMPRODUCT(M38:P38,TRANSPOSE(G$8:G$11))/SUMPRODUCT(M38:P38,M38:P38)</f>
        <v>0.24922128927302356</v>
      </c>
      <c r="R39" s="162" cm="1">
        <f t="array" ref="R39">SUMPRODUCT(M38:O38,TRANSPOSE(H$8:H$10))/SUMPRODUCT(M38:O38,M38:O38)</f>
        <v>0.15980452795830244</v>
      </c>
      <c r="S39" s="162" cm="1">
        <f t="array" ref="S39">SUMPRODUCT(M38:N38,TRANSPOSE(I$8:I$9))/SUMPRODUCT(M38:N38,M38:N38)</f>
        <v>5.6869619737885541E-2</v>
      </c>
      <c r="T39" s="162" cm="1">
        <f t="array" ref="T39">SUMPRODUCT(M38:M38,TRANSPOSE(J$8:J$8))/SUMPRODUCT(M38:M38,M38:M38)</f>
        <v>4.2713763974004212E-2</v>
      </c>
      <c r="U39"/>
      <c r="V39"/>
      <c r="W39"/>
      <c r="X39"/>
      <c r="Y39"/>
      <c r="Z39"/>
      <c r="AA39"/>
    </row>
    <row r="40" spans="2:27" x14ac:dyDescent="0.3">
      <c r="B40" s="137">
        <v>1</v>
      </c>
      <c r="C40" s="156">
        <f>D28/C28</f>
        <v>2.3605171556439584</v>
      </c>
      <c r="D40" s="156">
        <f t="shared" ref="D40:H45" si="10">E28/D28</f>
        <v>1.2350958500105329</v>
      </c>
      <c r="E40" s="156">
        <f t="shared" si="10"/>
        <v>1.4860992665870714</v>
      </c>
      <c r="F40" s="156">
        <f t="shared" si="10"/>
        <v>1.5507861815677724</v>
      </c>
      <c r="G40" s="156">
        <f t="shared" si="10"/>
        <v>1.3704854943753702</v>
      </c>
      <c r="H40" s="156">
        <f t="shared" si="10"/>
        <v>1.1118371314396802</v>
      </c>
      <c r="I40" s="156">
        <f>J28/I28</f>
        <v>1.041478459371509</v>
      </c>
      <c r="J40" s="138"/>
      <c r="L40" s="222" t="s">
        <v>297</v>
      </c>
      <c r="M40" s="163">
        <f>SUMPRODUCT(M39:T39,$C$8:$J$8)/SUMPRODUCT(M39:T39,M39:T39)</f>
        <v>19986.468673542247</v>
      </c>
      <c r="N40" s="163">
        <f>SUMPRODUCT(M39:S39,$C$9:$I$9)/SUMPRODUCT(M39:S39,M39:S39)</f>
        <v>48210.445745131532</v>
      </c>
      <c r="O40" s="163">
        <f>SUMPRODUCT(M39:R39,$C$10:$H$10)/SUMPRODUCT(M39:R39,M39:R39)</f>
        <v>23112.518204545955</v>
      </c>
      <c r="P40" s="163">
        <f>SUMPRODUCT(M39:Q39,$C$11:$G$11)/SUMPRODUCT(M39:Q39,M39:Q39)</f>
        <v>12077.256493760004</v>
      </c>
      <c r="Q40" s="163">
        <f>SUMPRODUCT(M39:P39,$C$12:$F$12)/SUMPRODUCT(M39:P39,M39:P39)</f>
        <v>19851.640349010333</v>
      </c>
      <c r="R40" s="163">
        <f>SUMPRODUCT(M39:O39,$C$13:$E$13)/SUMPRODUCT(M39:O39,M39:O39)</f>
        <v>27740.175747084297</v>
      </c>
      <c r="S40" s="163">
        <f>SUMPRODUCT(M39:N39,$C$14:$D$14)/SUMPRODUCT(M39:N39,M39:N39)</f>
        <v>35447.948905861776</v>
      </c>
      <c r="T40" s="163">
        <f>SUMPRODUCT(M39:M39,$C$15:$C$15)/SUMPRODUCT(M39:M39,M39:M39)</f>
        <v>30997.595293690578</v>
      </c>
      <c r="U40"/>
      <c r="V40"/>
      <c r="W40"/>
      <c r="X40"/>
      <c r="Y40"/>
      <c r="Z40"/>
      <c r="AA40"/>
    </row>
    <row r="41" spans="2:27" x14ac:dyDescent="0.3">
      <c r="B41" s="137">
        <v>2</v>
      </c>
      <c r="C41" s="156">
        <f t="shared" ref="C41:C46" si="11">D29/C29</f>
        <v>3.18</v>
      </c>
      <c r="D41" s="156">
        <f t="shared" si="10"/>
        <v>2.0109235352532275</v>
      </c>
      <c r="E41" s="156">
        <f t="shared" si="10"/>
        <v>1.7795884773662551</v>
      </c>
      <c r="F41" s="156">
        <f t="shared" si="10"/>
        <v>1.5772823975580428</v>
      </c>
      <c r="G41" s="156">
        <f t="shared" si="10"/>
        <v>1.2390628665259207</v>
      </c>
      <c r="H41" s="156">
        <f t="shared" si="10"/>
        <v>1.0557304115294508</v>
      </c>
      <c r="I41" s="138"/>
      <c r="J41" s="138"/>
      <c r="L41" s="222" t="s">
        <v>296</v>
      </c>
      <c r="M41" s="164">
        <f>1-SUM(N41:T41)</f>
        <v>6.1883314448073823E-2</v>
      </c>
      <c r="N41" s="162" cm="1">
        <f t="array" ref="N41">SUMPRODUCT(M40:S40,TRANSPOSE(D$8:D$14))/SUMPRODUCT(M40:S40,M40:S40)</f>
        <v>9.8084890928264709E-2</v>
      </c>
      <c r="O41" s="162" cm="1">
        <f t="array" ref="O41">SUMPRODUCT(M40:R40,TRANSPOSE(E$8:E$13))/SUMPRODUCT(M40:R40,M40:R40)</f>
        <v>0.14055422829056013</v>
      </c>
      <c r="P41" s="162" cm="1">
        <f t="array" ref="P41">SUMPRODUCT(M40:Q40,TRANSPOSE(F$8:F$12))/SUMPRODUCT(M40:Q40,M40:Q40)</f>
        <v>0.19073649951234098</v>
      </c>
      <c r="Q41" s="162" cm="1">
        <f t="array" ref="Q41">SUMPRODUCT(M40:P40,TRANSPOSE(G$8:G$11))/SUMPRODUCT(M40:P40,M40:P40)</f>
        <v>0.24928708033233166</v>
      </c>
      <c r="R41" s="162" cm="1">
        <f t="array" ref="R41">SUMPRODUCT(M40:O40,TRANSPOSE(H$8:H$10))/SUMPRODUCT(M40:O40,M40:O40)</f>
        <v>0.15984391054878622</v>
      </c>
      <c r="S41" s="162" cm="1">
        <f t="array" ref="S41">SUMPRODUCT(M40:N40,TRANSPOSE(I$8:I$9))/SUMPRODUCT(M40:N40,M40:N40)</f>
        <v>5.688116699883948E-2</v>
      </c>
      <c r="T41" s="162" cm="1">
        <f t="array" ref="T41">SUMPRODUCT(M40:M40,TRANSPOSE(J$8:J$8))/SUMPRODUCT(M40:M40,M40:M40)</f>
        <v>4.2728908940803077E-2</v>
      </c>
      <c r="U41"/>
      <c r="V41"/>
      <c r="W41"/>
      <c r="X41"/>
      <c r="Y41"/>
      <c r="Z41"/>
      <c r="AA41"/>
    </row>
    <row r="42" spans="2:27" x14ac:dyDescent="0.3">
      <c r="B42" s="137">
        <v>3</v>
      </c>
      <c r="C42" s="156">
        <f t="shared" si="11"/>
        <v>2.0302059496567506</v>
      </c>
      <c r="D42" s="156">
        <f t="shared" si="10"/>
        <v>1.9610009017132553</v>
      </c>
      <c r="E42" s="156">
        <f t="shared" si="10"/>
        <v>1.599494194735027</v>
      </c>
      <c r="F42" s="156">
        <f t="shared" si="10"/>
        <v>1.430573523070289</v>
      </c>
      <c r="G42" s="156">
        <f t="shared" si="10"/>
        <v>1.0600854056769655</v>
      </c>
      <c r="H42" s="138"/>
      <c r="I42" s="138"/>
      <c r="J42" s="138"/>
      <c r="L42" s="222" t="s">
        <v>297</v>
      </c>
      <c r="M42" s="163">
        <f>SUMPRODUCT(M41:T41,$C$8:$J$8)/SUMPRODUCT(M41:T41,M41:T41)</f>
        <v>19982.967714205482</v>
      </c>
      <c r="N42" s="163">
        <f>SUMPRODUCT(M41:S41,$C$9:$I$9)/SUMPRODUCT(M41:S41,M41:S41)</f>
        <v>48205.701198274721</v>
      </c>
      <c r="O42" s="163">
        <f>SUMPRODUCT(M41:R41,$C$10:$H$10)/SUMPRODUCT(M41:R41,M41:R41)</f>
        <v>23108.62684944857</v>
      </c>
      <c r="P42" s="163">
        <f>SUMPRODUCT(M41:Q41,$C$11:$G$11)/SUMPRODUCT(M41:Q41,M41:Q41)</f>
        <v>12074.018678148537</v>
      </c>
      <c r="Q42" s="163">
        <f>SUMPRODUCT(M41:P41,$C$12:$F$12)/SUMPRODUCT(M41:P41,M41:P41)</f>
        <v>19850.02639648164</v>
      </c>
      <c r="R42" s="163">
        <f>SUMPRODUCT(M41:O41,$C$13:$E$13)/SUMPRODUCT(M41:O41,M41:O41)</f>
        <v>27748.714674926861</v>
      </c>
      <c r="S42" s="163">
        <f>SUMPRODUCT(M41:N41,$C$14:$D$14)/SUMPRODUCT(M41:N41,M41:N41)</f>
        <v>35487.232042915603</v>
      </c>
      <c r="T42" s="163">
        <f>SUMPRODUCT(M41:M41,$C$15:$C$15)/SUMPRODUCT(M41:M41,M41:M41)</f>
        <v>31074.612230306211</v>
      </c>
      <c r="U42"/>
      <c r="V42"/>
      <c r="W42"/>
      <c r="X42"/>
      <c r="Y42"/>
      <c r="Z42"/>
      <c r="AA42"/>
    </row>
    <row r="43" spans="2:27" x14ac:dyDescent="0.3">
      <c r="B43" s="137">
        <v>4</v>
      </c>
      <c r="C43" s="156">
        <f t="shared" si="11"/>
        <v>1.7981604496678589</v>
      </c>
      <c r="D43" s="156">
        <f t="shared" si="10"/>
        <v>1.7752202330207445</v>
      </c>
      <c r="E43" s="156">
        <f t="shared" si="10"/>
        <v>1.5685929246038097</v>
      </c>
      <c r="F43" s="156">
        <f t="shared" si="10"/>
        <v>1.1045004592305336</v>
      </c>
      <c r="G43" s="138"/>
      <c r="H43" s="138"/>
      <c r="I43" s="138"/>
      <c r="J43" s="138"/>
      <c r="L43" s="222" t="s">
        <v>296</v>
      </c>
      <c r="M43" s="164">
        <f>1-SUM(N43:T43)</f>
        <v>6.1807002912097175E-2</v>
      </c>
      <c r="N43" s="162" cm="1">
        <f t="array" ref="N43">SUMPRODUCT(M42:S42,TRANSPOSE(D$8:D$14))/SUMPRODUCT(M42:S42,M42:S42)</f>
        <v>9.806718619821661E-2</v>
      </c>
      <c r="O43" s="162" cm="1">
        <f t="array" ref="O43">SUMPRODUCT(M42:R42,TRANSPOSE(E$8:E$13))/SUMPRODUCT(M42:R42,M42:R42)</f>
        <v>0.14056074651896697</v>
      </c>
      <c r="P43" s="162" cm="1">
        <f t="array" ref="P43">SUMPRODUCT(M42:Q42,TRANSPOSE(F$8:F$12))/SUMPRODUCT(M42:Q42,M42:Q42)</f>
        <v>0.19075883980647781</v>
      </c>
      <c r="Q43" s="162" cm="1">
        <f t="array" ref="Q43">SUMPRODUCT(M42:P42,TRANSPOSE(G$8:G$11))/SUMPRODUCT(M42:P42,M42:P42)</f>
        <v>0.24931958191507125</v>
      </c>
      <c r="R43" s="162" cm="1">
        <f t="array" ref="R43">SUMPRODUCT(M42:O42,TRANSPOSE(H$8:H$10))/SUMPRODUCT(M42:O42,M42:O42)</f>
        <v>0.15986336817077879</v>
      </c>
      <c r="S43" s="162" cm="1">
        <f t="array" ref="S43">SUMPRODUCT(M42:N42,TRANSPOSE(I$8:I$9))/SUMPRODUCT(M42:N42,M42:N42)</f>
        <v>5.6886879553782244E-2</v>
      </c>
      <c r="T43" s="162" cm="1">
        <f t="array" ref="T43">SUMPRODUCT(M42:M42,TRANSPOSE(J$8:J$8))/SUMPRODUCT(M42:M42,M42:M42)</f>
        <v>4.2736394924609171E-2</v>
      </c>
      <c r="U43"/>
      <c r="V43"/>
      <c r="W43"/>
      <c r="X43"/>
      <c r="Y43"/>
      <c r="Z43"/>
      <c r="AA43"/>
    </row>
    <row r="44" spans="2:27" x14ac:dyDescent="0.3">
      <c r="B44" s="137">
        <v>5</v>
      </c>
      <c r="C44" s="156">
        <f t="shared" si="11"/>
        <v>1.8707021791767555</v>
      </c>
      <c r="D44" s="156">
        <f t="shared" si="10"/>
        <v>2.1460005177323325</v>
      </c>
      <c r="E44" s="156">
        <f t="shared" si="10"/>
        <v>1.2876960193003619</v>
      </c>
      <c r="F44" s="138"/>
      <c r="G44" s="138"/>
      <c r="H44" s="138"/>
      <c r="I44" s="138"/>
      <c r="J44" s="138"/>
      <c r="L44" s="222" t="s">
        <v>297</v>
      </c>
      <c r="M44" s="163">
        <f>SUMPRODUCT(M43:T43,$C$8:$J$8)/SUMPRODUCT(M43:T43,M43:T43)</f>
        <v>19981.229760000373</v>
      </c>
      <c r="N44" s="163">
        <f>SUMPRODUCT(M43:S43,$C$9:$I$9)/SUMPRODUCT(M43:S43,M43:S43)</f>
        <v>48203.344833408897</v>
      </c>
      <c r="O44" s="163">
        <f>SUMPRODUCT(M43:R43,$C$10:$H$10)/SUMPRODUCT(M43:R43,M43:R43)</f>
        <v>23106.697599012052</v>
      </c>
      <c r="P44" s="163">
        <f>SUMPRODUCT(M43:Q43,$C$11:$G$11)/SUMPRODUCT(M43:Q43,M43:Q43)</f>
        <v>12072.41423070414</v>
      </c>
      <c r="Q44" s="163">
        <f>SUMPRODUCT(M43:P43,$C$12:$F$12)/SUMPRODUCT(M43:P43,M43:P43)</f>
        <v>19849.214027458118</v>
      </c>
      <c r="R44" s="163">
        <f>SUMPRODUCT(M43:O43,$C$13:$E$13)/SUMPRODUCT(M43:O43,M43:O43)</f>
        <v>27752.910210653252</v>
      </c>
      <c r="S44" s="163">
        <f>SUMPRODUCT(M43:N43,$C$14:$D$14)/SUMPRODUCT(M43:N43,M43:N43)</f>
        <v>35506.688231837317</v>
      </c>
      <c r="T44" s="163">
        <f>SUMPRODUCT(M43:M43,$C$15:$C$15)/SUMPRODUCT(M43:M43,M43:M43)</f>
        <v>31112.979264419577</v>
      </c>
      <c r="U44"/>
      <c r="V44"/>
      <c r="W44"/>
      <c r="X44"/>
      <c r="Y44"/>
      <c r="Z44"/>
      <c r="AA44"/>
    </row>
    <row r="45" spans="2:27" x14ac:dyDescent="0.3">
      <c r="B45" s="137">
        <v>6</v>
      </c>
      <c r="C45" s="156">
        <f t="shared" si="11"/>
        <v>2.4404008438818567</v>
      </c>
      <c r="D45" s="156">
        <f t="shared" si="10"/>
        <v>1.8245083207261725</v>
      </c>
      <c r="E45" s="138"/>
      <c r="F45" s="138"/>
      <c r="G45" s="138"/>
      <c r="H45" s="138"/>
      <c r="I45" s="138"/>
      <c r="J45" s="138"/>
      <c r="L45" s="222" t="s">
        <v>296</v>
      </c>
      <c r="M45" s="164">
        <f>1-SUM(N45:T45)</f>
        <v>6.1769033347152003E-2</v>
      </c>
      <c r="N45" s="162" cm="1">
        <f t="array" ref="N45">SUMPRODUCT(M44:S44,TRANSPOSE(D$8:D$14))/SUMPRODUCT(M44:S44,M44:S44)</f>
        <v>9.8058429642303199E-2</v>
      </c>
      <c r="O45" s="162" cm="1">
        <f t="array" ref="O45">SUMPRODUCT(M44:R44,TRANSPOSE(E$8:E$13))/SUMPRODUCT(M44:R44,M44:R44)</f>
        <v>0.14056402046406891</v>
      </c>
      <c r="P45" s="162" cm="1">
        <f t="array" ref="P45">SUMPRODUCT(M44:Q44,TRANSPOSE(F$8:F$12))/SUMPRODUCT(M44:Q44,M44:Q44)</f>
        <v>0.19076994628508434</v>
      </c>
      <c r="Q45" s="162" cm="1">
        <f t="array" ref="Q45">SUMPRODUCT(M44:P44,TRANSPOSE(G$8:G$11))/SUMPRODUCT(M44:P44,M44:P44)</f>
        <v>0.24933571453209832</v>
      </c>
      <c r="R45" s="162" cm="1">
        <f t="array" ref="R45">SUMPRODUCT(M44:O44,TRANSPOSE(H$8:H$10))/SUMPRODUCT(M44:O44,M44:O44)</f>
        <v>0.15987302661109876</v>
      </c>
      <c r="S45" s="162" cm="1">
        <f t="array" ref="S45">SUMPRODUCT(M44:N44,TRANSPOSE(I$8:I$9))/SUMPRODUCT(M44:N44,M44:N44)</f>
        <v>5.688971701010033E-2</v>
      </c>
      <c r="T45" s="162" cm="1">
        <f t="array" ref="T45">SUMPRODUCT(M44:M44,TRANSPOSE(J$8:J$8))/SUMPRODUCT(M44:M44,M44:M44)</f>
        <v>4.2740112108093996E-2</v>
      </c>
      <c r="U45"/>
      <c r="V45"/>
      <c r="W45"/>
      <c r="X45"/>
      <c r="Y45"/>
      <c r="Z45"/>
      <c r="AA45"/>
    </row>
    <row r="46" spans="2:27" x14ac:dyDescent="0.3">
      <c r="B46" s="137">
        <v>7</v>
      </c>
      <c r="C46" s="156">
        <f t="shared" si="11"/>
        <v>3.2349823321554769</v>
      </c>
      <c r="D46" s="138"/>
      <c r="E46" s="138"/>
      <c r="F46" s="138"/>
      <c r="G46" s="138"/>
      <c r="H46" s="138"/>
      <c r="I46" s="138"/>
      <c r="J46" s="138"/>
      <c r="L46" s="222" t="s">
        <v>297</v>
      </c>
      <c r="M46" s="163">
        <f>SUMPRODUCT(M45:T45,$C$8:$J$8)/SUMPRODUCT(M45:T45,M45:T45)</f>
        <v>19980.364951365016</v>
      </c>
      <c r="N46" s="163">
        <f>SUMPRODUCT(M45:S45,$C$9:$I$9)/SUMPRODUCT(M45:S45,M45:S45)</f>
        <v>48202.172073876114</v>
      </c>
      <c r="O46" s="163">
        <f>SUMPRODUCT(M45:R45,$C$10:$H$10)/SUMPRODUCT(M45:R45,M45:R45)</f>
        <v>23105.738253383504</v>
      </c>
      <c r="P46" s="163">
        <f>SUMPRODUCT(M45:Q45,$C$11:$G$11)/SUMPRODUCT(M45:Q45,M45:Q45)</f>
        <v>12071.616587863855</v>
      </c>
      <c r="Q46" s="163">
        <f>SUMPRODUCT(M45:P45,$C$12:$F$12)/SUMPRODUCT(M45:P45,M45:P45)</f>
        <v>19848.806973118684</v>
      </c>
      <c r="R46" s="163">
        <f>SUMPRODUCT(M45:O45,$C$13:$E$13)/SUMPRODUCT(M45:O45,M45:O45)</f>
        <v>27754.986942198771</v>
      </c>
      <c r="S46" s="163">
        <f>SUMPRODUCT(M45:N45,$C$14:$D$14)/SUMPRODUCT(M45:N45,M45:N45)</f>
        <v>35516.358279017746</v>
      </c>
      <c r="T46" s="163">
        <f>SUMPRODUCT(M45:M45,$C$15:$C$15)/SUMPRODUCT(M45:M45,M45:M45)</f>
        <v>31132.104483365114</v>
      </c>
      <c r="U46"/>
      <c r="V46"/>
      <c r="W46"/>
      <c r="X46"/>
      <c r="Y46"/>
      <c r="Z46"/>
      <c r="AA46"/>
    </row>
    <row r="47" spans="2:27" x14ac:dyDescent="0.3">
      <c r="B47" s="138" t="str">
        <f>B37</f>
        <v>Age-to-Age Factors</v>
      </c>
      <c r="C47" s="157"/>
      <c r="D47" s="157"/>
      <c r="E47" s="158"/>
      <c r="F47" s="158"/>
      <c r="G47" s="158"/>
      <c r="H47" s="158"/>
      <c r="I47" s="158"/>
      <c r="L47" s="222" t="s">
        <v>296</v>
      </c>
      <c r="M47" s="164">
        <f>1-SUM(N47:T47)</f>
        <v>6.1750118152791633E-2</v>
      </c>
      <c r="N47" s="162" cm="1">
        <f t="array" ref="N47">SUMPRODUCT(M46:S46,TRANSPOSE(D$8:D$14))/SUMPRODUCT(M46:S46,M46:S46)</f>
        <v>9.8054080663369889E-2</v>
      </c>
      <c r="O47" s="162" cm="1">
        <f t="array" ref="O47">SUMPRODUCT(M46:R46,TRANSPOSE(E$8:E$13))/SUMPRODUCT(M46:R46,M46:R46)</f>
        <v>0.14056565918518354</v>
      </c>
      <c r="P47" s="162" cm="1">
        <f t="array" ref="P47">SUMPRODUCT(M46:Q46,TRANSPOSE(F$8:F$12))/SUMPRODUCT(M46:Q46,M46:Q46)</f>
        <v>0.19077547686717125</v>
      </c>
      <c r="Q47" s="162" cm="1">
        <f t="array" ref="Q47">SUMPRODUCT(M46:P46,TRANSPOSE(G$8:G$11))/SUMPRODUCT(M46:P46,M46:P46)</f>
        <v>0.24934374147556551</v>
      </c>
      <c r="R47" s="162" cm="1">
        <f t="array" ref="R47">SUMPRODUCT(M46:O46,TRANSPOSE(H$8:H$10))/SUMPRODUCT(M46:O46,M46:O46)</f>
        <v>0.15987783233822173</v>
      </c>
      <c r="S47" s="162" cm="1">
        <f t="array" ref="S47">SUMPRODUCT(M46:N46,TRANSPOSE(I$8:I$9))/SUMPRODUCT(M46:N46,M46:N46)</f>
        <v>5.6891129292540539E-2</v>
      </c>
      <c r="T47" s="162" cm="1">
        <f t="array" ref="T47">SUMPRODUCT(M46:M46,TRANSPOSE(J$8:J$8))/SUMPRODUCT(M46:M46,M46:M46)</f>
        <v>4.274196202515592E-2</v>
      </c>
      <c r="U47"/>
      <c r="V47"/>
      <c r="W47"/>
      <c r="X47"/>
      <c r="Y47"/>
      <c r="Z47"/>
      <c r="AA47"/>
    </row>
    <row r="48" spans="2:27" x14ac:dyDescent="0.3">
      <c r="B48" s="138" t="s">
        <v>292</v>
      </c>
      <c r="C48" s="156">
        <f>SUM(D28:D34)/SUM(C28:C34)</f>
        <v>2.3867415402567094</v>
      </c>
      <c r="D48" s="156">
        <f>SUM(E28:E33)/SUM(D28:D33)</f>
        <v>1.8245942571785267</v>
      </c>
      <c r="E48" s="156">
        <f>SUM(F28:F32)/SUM(E28:E32)</f>
        <v>1.5690804625566681</v>
      </c>
      <c r="F48" s="156">
        <f>SUM(G28:G31)/SUM(F28:F31)</f>
        <v>1.4495263469508586</v>
      </c>
      <c r="G48" s="156">
        <f>SUM(H28:H30)/SUM(G28:G30)</f>
        <v>1.2126005242813347</v>
      </c>
      <c r="H48" s="156">
        <f>SUM(I28:I29)/SUM(H28:H29)</f>
        <v>1.0728259975318799</v>
      </c>
      <c r="I48" s="156">
        <f>SUM(J28:J28)/SUM(I28:I28)</f>
        <v>1.041478459371509</v>
      </c>
      <c r="L48" s="222" t="s">
        <v>297</v>
      </c>
      <c r="M48" s="163">
        <f>SUMPRODUCT(M47:T47,$C$8:$J$8)/SUMPRODUCT(M47:T47,M47:T47)</f>
        <v>19979.934116329696</v>
      </c>
      <c r="N48" s="163">
        <f>SUMPRODUCT(M47:S47,$C$9:$I$9)/SUMPRODUCT(M47:S47,M47:S47)</f>
        <v>48201.587769547441</v>
      </c>
      <c r="O48" s="163">
        <f>SUMPRODUCT(M47:R47,$C$10:$H$10)/SUMPRODUCT(M47:R47,M47:R47)</f>
        <v>23105.260487021511</v>
      </c>
      <c r="P48" s="163">
        <f>SUMPRODUCT(M47:Q47,$C$11:$G$11)/SUMPRODUCT(M47:Q47,M47:Q47)</f>
        <v>12071.219398019206</v>
      </c>
      <c r="Q48" s="163">
        <f>SUMPRODUCT(M47:P47,$C$12:$F$12)/SUMPRODUCT(M47:P47,M47:P47)</f>
        <v>19848.603479087451</v>
      </c>
      <c r="R48" s="163">
        <f>SUMPRODUCT(M47:O47,$C$13:$E$13)/SUMPRODUCT(M47:O47,M47:O47)</f>
        <v>27756.018789656537</v>
      </c>
      <c r="S48" s="163">
        <f>SUMPRODUCT(M47:N47,$C$14:$D$14)/SUMPRODUCT(M47:N47,M47:N47)</f>
        <v>35521.172898036406</v>
      </c>
      <c r="T48" s="163">
        <f>SUMPRODUCT(M47:M47,$C$15:$C$15)/SUMPRODUCT(M47:M47,M47:M47)</f>
        <v>31141.640818270465</v>
      </c>
      <c r="U48"/>
      <c r="V48"/>
      <c r="W48"/>
      <c r="X48"/>
      <c r="Y48"/>
      <c r="Z48"/>
      <c r="AA48"/>
    </row>
    <row r="49" spans="1:27" x14ac:dyDescent="0.3">
      <c r="B49" s="138" t="s">
        <v>293</v>
      </c>
      <c r="C49" s="156">
        <f>SUM(C40:C46)/7</f>
        <v>2.416424130026094</v>
      </c>
      <c r="D49" s="156">
        <f>SUM(D40:D45)/6</f>
        <v>1.8254582264093775</v>
      </c>
      <c r="E49" s="156">
        <f>SUM(E40:E44)/5</f>
        <v>1.544294176518505</v>
      </c>
      <c r="F49" s="156">
        <f>SUM(F40:F43)/4</f>
        <v>1.4157856403566593</v>
      </c>
      <c r="G49" s="156">
        <f>SUM(G40:G42)/3</f>
        <v>1.2232112555260855</v>
      </c>
      <c r="H49" s="156">
        <f>SUM(H40:H41)/2</f>
        <v>1.0837837714845655</v>
      </c>
      <c r="I49" s="156">
        <f>SUM(I40:I40)/1</f>
        <v>1.041478459371509</v>
      </c>
      <c r="L49" s="222" t="s">
        <v>296</v>
      </c>
      <c r="M49" s="164">
        <f>1-SUM(N49:T49)</f>
        <v>6.1740689550856986E-2</v>
      </c>
      <c r="N49" s="162" cm="1">
        <f t="array" ref="N49">SUMPRODUCT(M48:S48,TRANSPOSE(D$8:D$14))/SUMPRODUCT(M48:S48,M48:S48)</f>
        <v>9.8051916154377153E-2</v>
      </c>
      <c r="O49" s="162" cm="1">
        <f t="array" ref="O49">SUMPRODUCT(M48:R48,TRANSPOSE(E$8:E$13))/SUMPRODUCT(M48:R48,M48:R48)</f>
        <v>0.14056647797242944</v>
      </c>
      <c r="P49" s="162" cm="1">
        <f t="array" ref="P49">SUMPRODUCT(M48:Q48,TRANSPOSE(F$8:F$12))/SUMPRODUCT(M48:Q48,M48:Q48)</f>
        <v>0.19077823310513975</v>
      </c>
      <c r="Q49" s="162" cm="1">
        <f t="array" ref="Q49">SUMPRODUCT(M48:P48,TRANSPOSE(G$8:G$11))/SUMPRODUCT(M48:P48,M48:P48)</f>
        <v>0.24934774019135658</v>
      </c>
      <c r="R49" s="162" cm="1">
        <f t="array" ref="R49">SUMPRODUCT(M48:O48,TRANSPOSE(H$8:H$10))/SUMPRODUCT(M48:O48,M48:O48)</f>
        <v>0.15988022638365798</v>
      </c>
      <c r="S49" s="162" cm="1">
        <f t="array" ref="S49">SUMPRODUCT(M48:N48,TRANSPOSE(I$8:I$9))/SUMPRODUCT(M48:N48,M48:N48)</f>
        <v>5.6891832955592705E-2</v>
      </c>
      <c r="T49" s="162" cm="1">
        <f t="array" ref="T49">SUMPRODUCT(M48:M48,TRANSPOSE(J$8:J$8))/SUMPRODUCT(M48:M48,M48:M48)</f>
        <v>4.2742883686589427E-2</v>
      </c>
      <c r="U49"/>
      <c r="V49"/>
      <c r="W49"/>
      <c r="X49"/>
      <c r="Y49"/>
      <c r="Z49"/>
      <c r="AA49"/>
    </row>
    <row r="50" spans="1:27" x14ac:dyDescent="0.3">
      <c r="B50" s="138" t="s">
        <v>294</v>
      </c>
      <c r="C50" s="157"/>
      <c r="D50" s="157"/>
      <c r="E50" s="158"/>
      <c r="F50" s="158"/>
      <c r="G50" s="158"/>
      <c r="H50" s="158"/>
      <c r="I50" s="158"/>
      <c r="L50" s="222" t="s">
        <v>297</v>
      </c>
      <c r="M50" s="163">
        <f>SUMPRODUCT(M49:T49,$C$8:$J$8)/SUMPRODUCT(M49:T49,M49:T49)</f>
        <v>19979.719355599089</v>
      </c>
      <c r="N50" s="163">
        <f>SUMPRODUCT(M49:S49,$C$9:$I$9)/SUMPRODUCT(M49:S49,M49:S49)</f>
        <v>48201.296495515635</v>
      </c>
      <c r="O50" s="163">
        <f>SUMPRODUCT(M49:R49,$C$10:$H$10)/SUMPRODUCT(M49:R49,M49:R49)</f>
        <v>23105.022373743039</v>
      </c>
      <c r="P50" s="163">
        <f>SUMPRODUCT(M49:Q49,$C$11:$G$11)/SUMPRODUCT(M49:Q49,M49:Q49)</f>
        <v>12071.021454613037</v>
      </c>
      <c r="Q50" s="163">
        <f>SUMPRODUCT(M49:P49,$C$12:$F$12)/SUMPRODUCT(M49:P49,M49:P49)</f>
        <v>19848.501866322968</v>
      </c>
      <c r="R50" s="163">
        <f>SUMPRODUCT(M49:O49,$C$13:$E$13)/SUMPRODUCT(M49:O49,M49:O49)</f>
        <v>27756.532454172255</v>
      </c>
      <c r="S50" s="163">
        <f>SUMPRODUCT(M49:N49,$C$14:$D$14)/SUMPRODUCT(M49:N49,M49:N49)</f>
        <v>35523.572154213951</v>
      </c>
      <c r="T50" s="163">
        <f>SUMPRODUCT(M49:M49,$C$15:$C$15)/SUMPRODUCT(M49:M49,M49:M49)</f>
        <v>31146.396549652851</v>
      </c>
      <c r="U50"/>
      <c r="V50"/>
      <c r="W50"/>
      <c r="X50"/>
      <c r="Y50"/>
      <c r="Z50"/>
      <c r="AA50"/>
    </row>
    <row r="51" spans="1:27" x14ac:dyDescent="0.3">
      <c r="B51" s="138" t="s">
        <v>292</v>
      </c>
      <c r="C51" s="156">
        <f t="shared" ref="C51:G51" si="12">C48*D51</f>
        <v>13.419624279378009</v>
      </c>
      <c r="D51" s="156">
        <f t="shared" si="12"/>
        <v>5.6225712139466273</v>
      </c>
      <c r="E51" s="156">
        <f t="shared" si="12"/>
        <v>3.0815460433604165</v>
      </c>
      <c r="F51" s="156">
        <f t="shared" si="12"/>
        <v>1.9639184330543054</v>
      </c>
      <c r="G51" s="156">
        <f t="shared" si="12"/>
        <v>1.3548690833978236</v>
      </c>
      <c r="H51" s="156">
        <f>H48*I51</f>
        <v>1.1173251670832045</v>
      </c>
      <c r="I51" s="156">
        <f>I48</f>
        <v>1.041478459371509</v>
      </c>
      <c r="L51" s="222" t="s">
        <v>296</v>
      </c>
      <c r="M51" s="164">
        <f>1-SUM(N51:T51)</f>
        <v>6.173598829978677E-2</v>
      </c>
      <c r="N51" s="162" cm="1">
        <f t="array" ref="N51">SUMPRODUCT(M50:S50,TRANSPOSE(D$8:D$14))/SUMPRODUCT(M50:S50,M50:S50)</f>
        <v>9.8050837721972761E-2</v>
      </c>
      <c r="O51" s="162" cm="1">
        <f t="array" ref="O51">SUMPRODUCT(M50:R50,TRANSPOSE(E$8:E$13))/SUMPRODUCT(M50:R50,M50:R50)</f>
        <v>0.14056688671620823</v>
      </c>
      <c r="P51" s="162" cm="1">
        <f t="array" ref="P51">SUMPRODUCT(M50:Q50,TRANSPOSE(F$8:F$12))/SUMPRODUCT(M50:Q50,M50:Q50)</f>
        <v>0.19077960726591453</v>
      </c>
      <c r="Q51" s="162" cm="1">
        <f t="array" ref="Q51">SUMPRODUCT(M50:P50,TRANSPOSE(G$8:G$11))/SUMPRODUCT(M50:P50,M50:P50)</f>
        <v>0.24934973340345765</v>
      </c>
      <c r="R51" s="162" cm="1">
        <f t="array" ref="R51">SUMPRODUCT(M50:O50,TRANSPOSE(H$8:H$10))/SUMPRODUCT(M50:O50,M50:O50)</f>
        <v>0.1598814197306497</v>
      </c>
      <c r="S51" s="162" cm="1">
        <f t="array" ref="S51">SUMPRODUCT(M50:N50,TRANSPOSE(I$8:I$9))/SUMPRODUCT(M50:N50,M50:N50)</f>
        <v>5.6892183734886956E-2</v>
      </c>
      <c r="T51" s="162" cm="1">
        <f t="array" ref="T51">SUMPRODUCT(M50:M50,TRANSPOSE(J$8:J$8))/SUMPRODUCT(M50:M50,M50:M50)</f>
        <v>4.274334312712337E-2</v>
      </c>
      <c r="U51"/>
      <c r="V51"/>
      <c r="W51"/>
      <c r="X51"/>
      <c r="Y51"/>
      <c r="Z51"/>
      <c r="AA51"/>
    </row>
    <row r="52" spans="1:27" x14ac:dyDescent="0.3">
      <c r="B52" s="138" t="s">
        <v>293</v>
      </c>
      <c r="C52" s="156">
        <f t="shared" ref="C52:G52" si="13">C49*D52</f>
        <v>13.315792044601748</v>
      </c>
      <c r="D52" s="156">
        <f t="shared" si="13"/>
        <v>5.510535952336296</v>
      </c>
      <c r="E52" s="156">
        <f t="shared" si="13"/>
        <v>3.0187138070945387</v>
      </c>
      <c r="F52" s="156">
        <f t="shared" si="13"/>
        <v>1.954753085904916</v>
      </c>
      <c r="G52" s="156">
        <f t="shared" si="13"/>
        <v>1.3806843565756763</v>
      </c>
      <c r="H52" s="156">
        <f>H49*I52</f>
        <v>1.1287374526175888</v>
      </c>
      <c r="I52" s="156">
        <f>I49</f>
        <v>1.041478459371509</v>
      </c>
      <c r="L52" s="222" t="s">
        <v>297</v>
      </c>
      <c r="M52" s="163">
        <f>SUMPRODUCT(M51:T51,$C$8:$J$8)/SUMPRODUCT(M51:T51,M51:T51)</f>
        <v>19979.612271601763</v>
      </c>
      <c r="N52" s="163">
        <f>SUMPRODUCT(M51:S51,$C$9:$I$9)/SUMPRODUCT(M51:S51,M51:S51)</f>
        <v>48201.151257372367</v>
      </c>
      <c r="O52" s="163">
        <f>SUMPRODUCT(M51:R51,$C$10:$H$10)/SUMPRODUCT(M51:R51,M51:R51)</f>
        <v>23104.903656078459</v>
      </c>
      <c r="P52" s="163">
        <f>SUMPRODUCT(M51:Q51,$C$11:$G$11)/SUMPRODUCT(M51:Q51,M51:Q51)</f>
        <v>12070.922767538474</v>
      </c>
      <c r="Q52" s="163">
        <f>SUMPRODUCT(M51:P51,$C$12:$F$12)/SUMPRODUCT(M51:P51,M51:P51)</f>
        <v>19848.451156345855</v>
      </c>
      <c r="R52" s="163">
        <f>SUMPRODUCT(M51:O51,$C$13:$E$13)/SUMPRODUCT(M51:O51,M51:O51)</f>
        <v>27756.788406653322</v>
      </c>
      <c r="S52" s="163">
        <f>SUMPRODUCT(M51:N51,$C$14:$D$14)/SUMPRODUCT(M51:N51,M51:N51)</f>
        <v>35524.768293496512</v>
      </c>
      <c r="T52" s="163">
        <f>SUMPRODUCT(M51:M51,$C$15:$C$15)/SUMPRODUCT(M51:M51,M51:M51)</f>
        <v>31148.768375781259</v>
      </c>
      <c r="U52"/>
      <c r="V52"/>
      <c r="W52"/>
      <c r="X52"/>
      <c r="Y52"/>
      <c r="Z52"/>
      <c r="AA52"/>
    </row>
    <row r="53" spans="1:27" x14ac:dyDescent="0.3">
      <c r="L53" s="222" t="s">
        <v>296</v>
      </c>
      <c r="M53" s="164">
        <f>1-SUM(N53:T53)</f>
        <v>6.1733643832915019E-2</v>
      </c>
      <c r="N53" s="162" cm="1">
        <f t="array" ref="N53">SUMPRODUCT(M52:S52,TRANSPOSE(D$8:D$14))/SUMPRODUCT(M52:S52,M52:S52)</f>
        <v>9.8050300124258319E-2</v>
      </c>
      <c r="O53" s="162" cm="1">
        <f t="array" ref="O53">SUMPRODUCT(M52:R52,TRANSPOSE(E$8:E$13))/SUMPRODUCT(M52:R52,M52:R52)</f>
        <v>0.14056709067300993</v>
      </c>
      <c r="P53" s="162" cm="1">
        <f t="array" ref="P53">SUMPRODUCT(M52:Q52,TRANSPOSE(F$8:F$12))/SUMPRODUCT(M52:Q52,M52:Q52)</f>
        <v>0.19078029251044817</v>
      </c>
      <c r="Q53" s="162" cm="1">
        <f t="array" ref="Q53">SUMPRODUCT(M52:P52,TRANSPOSE(G$8:G$11))/SUMPRODUCT(M52:P52,M52:P52)</f>
        <v>0.24935072724618249</v>
      </c>
      <c r="R53" s="162" cm="1">
        <f t="array" ref="R53">SUMPRODUCT(M52:O52,TRANSPOSE(H$8:H$10))/SUMPRODUCT(M52:O52,M52:O52)</f>
        <v>0.15988201475063926</v>
      </c>
      <c r="S53" s="162" cm="1">
        <f t="array" ref="S53">SUMPRODUCT(M52:N52,TRANSPOSE(I$8:I$9))/SUMPRODUCT(M52:N52,M52:N52)</f>
        <v>5.6892358645490276E-2</v>
      </c>
      <c r="T53" s="162" cm="1">
        <f t="array" ref="T53">SUMPRODUCT(M52:M52,TRANSPOSE(J$8:J$8))/SUMPRODUCT(M52:M52,M52:M52)</f>
        <v>4.2743572217056582E-2</v>
      </c>
      <c r="U53"/>
      <c r="V53"/>
      <c r="W53"/>
      <c r="X53"/>
      <c r="Y53"/>
      <c r="Z53"/>
      <c r="AA53"/>
    </row>
    <row r="54" spans="1:27" x14ac:dyDescent="0.3">
      <c r="L54" s="222" t="s">
        <v>297</v>
      </c>
      <c r="M54" s="163">
        <f>SUMPRODUCT(M53:T53,$C$8:$J$8)/SUMPRODUCT(M53:T53,M53:T53)</f>
        <v>19979.558869668799</v>
      </c>
      <c r="N54" s="163">
        <f>SUMPRODUCT(M53:S53,$C$9:$I$9)/SUMPRODUCT(M53:S53,M53:S53)</f>
        <v>48201.078827510879</v>
      </c>
      <c r="O54" s="163">
        <f>SUMPRODUCT(M53:R53,$C$10:$H$10)/SUMPRODUCT(M53:R53,M53:R53)</f>
        <v>23104.84445511486</v>
      </c>
      <c r="P54" s="163">
        <f>SUMPRODUCT(M53:Q53,$C$11:$G$11)/SUMPRODUCT(M53:Q53,M53:Q53)</f>
        <v>12070.873555938479</v>
      </c>
      <c r="Q54" s="163">
        <f>SUMPRODUCT(M53:P53,$C$12:$F$12)/SUMPRODUCT(M53:P53,M53:P53)</f>
        <v>19848.425856780959</v>
      </c>
      <c r="R54" s="163">
        <f>SUMPRODUCT(M53:O53,$C$13:$E$13)/SUMPRODUCT(M53:O53,M53:O53)</f>
        <v>27756.916005567255</v>
      </c>
      <c r="S54" s="163">
        <f>SUMPRODUCT(M53:N53,$C$14:$D$14)/SUMPRODUCT(M53:N53,M53:N53)</f>
        <v>35525.364754311981</v>
      </c>
      <c r="T54" s="163">
        <f>SUMPRODUCT(M53:M53,$C$15:$C$15)/SUMPRODUCT(M53:M53,M53:M53)</f>
        <v>31149.951316735634</v>
      </c>
      <c r="U54"/>
      <c r="V54"/>
      <c r="W54"/>
      <c r="X54"/>
      <c r="Y54"/>
      <c r="Z54"/>
      <c r="AA54"/>
    </row>
    <row r="55" spans="1:27" x14ac:dyDescent="0.3">
      <c r="L55" s="222" t="s">
        <v>296</v>
      </c>
      <c r="M55" s="164">
        <f>1-SUM(N55:T55)</f>
        <v>6.1732474584213937E-2</v>
      </c>
      <c r="N55" s="162" cm="1">
        <f t="array" ref="N55">SUMPRODUCT(M54:S54,TRANSPOSE(D$8:D$14))/SUMPRODUCT(M54:S54,M54:S54)</f>
        <v>9.8050032061015174E-2</v>
      </c>
      <c r="O55" s="162" cm="1">
        <f t="array" ref="O55">SUMPRODUCT(M54:R54,TRANSPOSE(E$8:E$13))/SUMPRODUCT(M54:R54,M54:R54)</f>
        <v>0.1405671924217074</v>
      </c>
      <c r="P55" s="162" cm="1">
        <f t="array" ref="P55">SUMPRODUCT(M54:Q54,TRANSPOSE(F$8:F$12))/SUMPRODUCT(M54:Q54,M54:Q54)</f>
        <v>0.19078063425144831</v>
      </c>
      <c r="Q55" s="162" cm="1">
        <f t="array" ref="Q55">SUMPRODUCT(M54:P54,TRANSPOSE(G$8:G$11))/SUMPRODUCT(M54:P54,M54:P54)</f>
        <v>0.24935122286440856</v>
      </c>
      <c r="R55" s="162" cm="1">
        <f t="array" ref="R55">SUMPRODUCT(M54:O54,TRANSPOSE(H$8:H$10))/SUMPRODUCT(M54:O54,M54:O54)</f>
        <v>0.15988231148066165</v>
      </c>
      <c r="S55" s="162" cm="1">
        <f t="array" ref="S55">SUMPRODUCT(M54:N54,TRANSPOSE(I$8:I$9))/SUMPRODUCT(M54:N54,M54:N54)</f>
        <v>5.6892445873253261E-2</v>
      </c>
      <c r="T55" s="162" cm="1">
        <f t="array" ref="T55">SUMPRODUCT(M54:M54,TRANSPOSE(J$8:J$8))/SUMPRODUCT(M54:M54,M54:M54)</f>
        <v>4.2743686463291609E-2</v>
      </c>
      <c r="U55"/>
      <c r="V55"/>
      <c r="W55"/>
      <c r="X55"/>
      <c r="Y55"/>
      <c r="Z55"/>
      <c r="AA55"/>
    </row>
    <row r="56" spans="1:27" x14ac:dyDescent="0.3">
      <c r="L56" s="222" t="s">
        <v>297</v>
      </c>
      <c r="M56" s="163">
        <f>SUMPRODUCT(M55:T55,$C$8:$J$8)/SUMPRODUCT(M55:T55,M55:T55)</f>
        <v>19979.532236635114</v>
      </c>
      <c r="N56" s="163">
        <f>SUMPRODUCT(M55:S55,$C$9:$I$9)/SUMPRODUCT(M55:S55,M55:S55)</f>
        <v>48201.042704529696</v>
      </c>
      <c r="O56" s="163">
        <f>SUMPRODUCT(M55:R55,$C$10:$H$10)/SUMPRODUCT(M55:R55,M55:R55)</f>
        <v>23104.814930586534</v>
      </c>
      <c r="P56" s="163">
        <f>SUMPRODUCT(M55:Q55,$C$11:$G$11)/SUMPRODUCT(M55:Q55,M55:Q55)</f>
        <v>12070.84901345103</v>
      </c>
      <c r="Q56" s="163">
        <f>SUMPRODUCT(M55:P55,$C$12:$F$12)/SUMPRODUCT(M55:P55,M55:P55)</f>
        <v>19848.413236469092</v>
      </c>
      <c r="R56" s="163">
        <f>SUMPRODUCT(M55:O55,$C$13:$E$13)/SUMPRODUCT(M55:O55,M55:O55)</f>
        <v>27756.979632120539</v>
      </c>
      <c r="S56" s="163">
        <f>SUMPRODUCT(M55:N55,$C$14:$D$14)/SUMPRODUCT(M55:N55,M55:N55)</f>
        <v>35525.662214941578</v>
      </c>
      <c r="T56" s="163">
        <f>SUMPRODUCT(M55:M55,$C$15:$C$15)/SUMPRODUCT(M55:M55,M55:M55)</f>
        <v>31150.541314793565</v>
      </c>
      <c r="U56"/>
      <c r="V56"/>
      <c r="W56"/>
      <c r="X56"/>
      <c r="Y56"/>
      <c r="Z56"/>
      <c r="AA56"/>
    </row>
    <row r="57" spans="1:27" x14ac:dyDescent="0.3">
      <c r="L57" s="222" t="s">
        <v>296</v>
      </c>
      <c r="M57" s="164">
        <f>1-SUM(N57:T57)</f>
        <v>6.1731891426917151E-2</v>
      </c>
      <c r="N57" s="162" cm="1">
        <f t="array" ref="N57">SUMPRODUCT(M56:S56,TRANSPOSE(D$8:D$14))/SUMPRODUCT(M56:S56,M56:S56)</f>
        <v>9.804989837847046E-2</v>
      </c>
      <c r="O57" s="162" cm="1">
        <f t="array" ref="O57">SUMPRODUCT(M56:R56,TRANSPOSE(E$8:E$13))/SUMPRODUCT(M56:R56,M56:R56)</f>
        <v>0.1405672431758444</v>
      </c>
      <c r="P57" s="162" cm="1">
        <f t="array" ref="P57">SUMPRODUCT(M56:Q56,TRANSPOSE(F$8:F$12))/SUMPRODUCT(M56:Q56,M56:Q56)</f>
        <v>0.19078080469095648</v>
      </c>
      <c r="Q57" s="162" cm="1">
        <f t="array" ref="Q57">SUMPRODUCT(M56:P56,TRANSPOSE(G$8:G$11))/SUMPRODUCT(M56:P56,M56:P56)</f>
        <v>0.24935147004224686</v>
      </c>
      <c r="R57" s="162" cm="1">
        <f t="array" ref="R57">SUMPRODUCT(M56:O56,TRANSPOSE(H$8:H$10))/SUMPRODUCT(M56:O56,M56:O56)</f>
        <v>0.15988245946777968</v>
      </c>
      <c r="S57" s="162" cm="1">
        <f t="array" ref="S57">SUMPRODUCT(M56:N56,TRANSPOSE(I$8:I$9))/SUMPRODUCT(M56:N56,M56:N56)</f>
        <v>5.6892489376480775E-2</v>
      </c>
      <c r="T57" s="162" cm="1">
        <f t="array" ref="T57">SUMPRODUCT(M56:M56,TRANSPOSE(J$8:J$8))/SUMPRODUCT(M56:M56,M56:M56)</f>
        <v>4.2743743441304299E-2</v>
      </c>
      <c r="U57"/>
      <c r="V57"/>
      <c r="W57"/>
      <c r="X57"/>
      <c r="Y57"/>
      <c r="Z57"/>
      <c r="AA57"/>
    </row>
    <row r="58" spans="1:27" x14ac:dyDescent="0.3">
      <c r="L58" s="222" t="s">
        <v>297</v>
      </c>
      <c r="M58" s="163">
        <f>SUMPRODUCT(M57:T57,$C$8:$J$8)/SUMPRODUCT(M57:T57,M57:T57)</f>
        <v>19979.518953521514</v>
      </c>
      <c r="N58" s="163">
        <f>SUMPRODUCT(M57:S57,$C$9:$I$9)/SUMPRODUCT(M57:S57,M57:S57)</f>
        <v>48201.024688297788</v>
      </c>
      <c r="O58" s="163">
        <f>SUMPRODUCT(M57:R57,$C$10:$H$10)/SUMPRODUCT(M57:R57,M57:R57)</f>
        <v>23104.800205512289</v>
      </c>
      <c r="P58" s="163">
        <f>SUMPRODUCT(M57:Q57,$C$11:$G$11)/SUMPRODUCT(M57:Q57,M57:Q57)</f>
        <v>12070.836773165282</v>
      </c>
      <c r="Q58" s="163">
        <f>SUMPRODUCT(M57:P57,$C$12:$F$12)/SUMPRODUCT(M57:P57,M57:P57)</f>
        <v>19848.406941466666</v>
      </c>
      <c r="R58" s="163">
        <f>SUMPRODUCT(M57:O57,$C$13:$E$13)/SUMPRODUCT(M57:O57,M57:O57)</f>
        <v>27757.011362963294</v>
      </c>
      <c r="S58" s="163">
        <f>SUMPRODUCT(M57:N57,$C$14:$D$14)/SUMPRODUCT(M57:N57,M57:N57)</f>
        <v>35525.810569438887</v>
      </c>
      <c r="T58" s="163">
        <f>SUMPRODUCT(M57:M57,$C$15:$C$15)/SUMPRODUCT(M57:M57,M57:M57)</f>
        <v>31150.835581906504</v>
      </c>
      <c r="U58"/>
      <c r="V58"/>
      <c r="W58"/>
      <c r="X58"/>
      <c r="Y58"/>
      <c r="Z58"/>
      <c r="AA58"/>
    </row>
    <row r="59" spans="1:27" x14ac:dyDescent="0.3">
      <c r="N59"/>
      <c r="O59"/>
      <c r="P59"/>
      <c r="Q59"/>
      <c r="R59"/>
      <c r="S59"/>
      <c r="T59"/>
      <c r="U59"/>
      <c r="V59"/>
      <c r="W59"/>
      <c r="X59"/>
      <c r="Y59"/>
      <c r="Z59"/>
      <c r="AA59"/>
    </row>
    <row r="60" spans="1:27" x14ac:dyDescent="0.3">
      <c r="N60"/>
      <c r="O60"/>
      <c r="P60"/>
      <c r="Q60"/>
      <c r="R60"/>
      <c r="S60"/>
      <c r="T60"/>
      <c r="U60"/>
      <c r="V60"/>
      <c r="W60"/>
      <c r="X60"/>
      <c r="Y60"/>
      <c r="Z60"/>
      <c r="AA60"/>
    </row>
    <row r="61" spans="1:27" x14ac:dyDescent="0.3">
      <c r="A61" s="4" t="s">
        <v>423</v>
      </c>
      <c r="L61" s="4" t="s">
        <v>427</v>
      </c>
      <c r="V61"/>
      <c r="W61"/>
      <c r="X61"/>
      <c r="Y61"/>
      <c r="Z61"/>
      <c r="AA61"/>
    </row>
    <row r="62" spans="1:27" x14ac:dyDescent="0.3">
      <c r="B62" s="137" t="s">
        <v>59</v>
      </c>
      <c r="C62" s="150">
        <v>1</v>
      </c>
      <c r="D62" s="150">
        <v>2</v>
      </c>
      <c r="E62" s="150">
        <v>3</v>
      </c>
      <c r="F62" s="150">
        <v>4</v>
      </c>
      <c r="G62" s="150">
        <v>5</v>
      </c>
      <c r="H62" s="150">
        <v>6</v>
      </c>
      <c r="I62" s="150">
        <v>7</v>
      </c>
      <c r="J62" s="150">
        <v>8</v>
      </c>
      <c r="L62" s="138" t="s">
        <v>299</v>
      </c>
      <c r="M62" s="166" cm="1">
        <f t="array" ref="M62">SUMPRODUCT($D$8:$J$14-D63:J69,$D$8:$J$14-D63:J69)</f>
        <v>66288849.690468602</v>
      </c>
      <c r="V62"/>
      <c r="W62"/>
      <c r="X62"/>
      <c r="Y62"/>
      <c r="Z62"/>
      <c r="AA62"/>
    </row>
    <row r="63" spans="1:27" x14ac:dyDescent="0.3">
      <c r="B63" s="140">
        <v>1</v>
      </c>
      <c r="C63" s="138"/>
      <c r="D63" s="151">
        <f t="shared" ref="D63:J63" si="14">C28*(C$48-1)</f>
        <v>2788.7372374562424</v>
      </c>
      <c r="E63" s="151">
        <f t="shared" si="14"/>
        <v>3914.3489388264666</v>
      </c>
      <c r="F63" s="151">
        <f t="shared" si="14"/>
        <v>3336.5187519697452</v>
      </c>
      <c r="G63" s="151">
        <f t="shared" si="14"/>
        <v>3916.7230609828307</v>
      </c>
      <c r="H63" s="151">
        <f t="shared" si="14"/>
        <v>2872.6582840893943</v>
      </c>
      <c r="I63" s="151">
        <f t="shared" si="14"/>
        <v>1348.5918222953521</v>
      </c>
      <c r="J63" s="151">
        <f t="shared" si="14"/>
        <v>853.99999999999795</v>
      </c>
      <c r="V63"/>
      <c r="W63"/>
      <c r="X63"/>
      <c r="Y63"/>
      <c r="Z63"/>
      <c r="AA63"/>
    </row>
    <row r="64" spans="1:27" x14ac:dyDescent="0.3">
      <c r="B64" s="140">
        <v>2</v>
      </c>
      <c r="C64" s="138"/>
      <c r="D64" s="151">
        <f t="shared" ref="D64:E69" si="15">C29*(C$48-1)</f>
        <v>2634.8089264877476</v>
      </c>
      <c r="E64" s="151">
        <f t="shared" si="15"/>
        <v>4982.1985018726582</v>
      </c>
      <c r="F64" s="151">
        <f t="shared" ref="F64:G64" si="16">E29*(E$48-1)</f>
        <v>6914.3276200635173</v>
      </c>
      <c r="G64" s="151">
        <f t="shared" si="16"/>
        <v>9719.6586737714642</v>
      </c>
      <c r="H64" s="151">
        <f t="shared" ref="H64:I64" si="17">G29*(G$48-1)</f>
        <v>7250.528280090638</v>
      </c>
      <c r="I64" s="151">
        <f t="shared" si="17"/>
        <v>3077.408177704649</v>
      </c>
      <c r="J64" s="138"/>
      <c r="V64"/>
      <c r="W64"/>
      <c r="X64"/>
      <c r="Y64"/>
      <c r="Z64"/>
      <c r="AA64"/>
    </row>
    <row r="65" spans="1:27" x14ac:dyDescent="0.3">
      <c r="B65" s="140">
        <v>3</v>
      </c>
      <c r="C65" s="138"/>
      <c r="D65" s="151">
        <f t="shared" si="15"/>
        <v>3030.03026546091</v>
      </c>
      <c r="E65" s="151">
        <f t="shared" si="15"/>
        <v>3657.9001248439445</v>
      </c>
      <c r="F65" s="151">
        <f t="shared" ref="F65:G65" si="18">E30*(E$48-1)</f>
        <v>4950.4309437804559</v>
      </c>
      <c r="G65" s="151">
        <f t="shared" si="18"/>
        <v>6254.7095914742458</v>
      </c>
      <c r="H65" s="151">
        <f t="shared" ref="H65" si="19">G30*(G$48-1)</f>
        <v>4231.8134358199668</v>
      </c>
      <c r="I65" s="138"/>
      <c r="J65" s="138"/>
      <c r="V65"/>
      <c r="W65"/>
      <c r="X65"/>
      <c r="Y65"/>
      <c r="Z65"/>
      <c r="AA65"/>
    </row>
    <row r="66" spans="1:27" x14ac:dyDescent="0.3">
      <c r="B66" s="140">
        <v>4</v>
      </c>
      <c r="C66" s="138"/>
      <c r="D66" s="151">
        <f t="shared" si="15"/>
        <v>2713.8531942823802</v>
      </c>
      <c r="E66" s="151">
        <f t="shared" si="15"/>
        <v>2901.7471910112358</v>
      </c>
      <c r="F66" s="151">
        <f t="shared" ref="F66:G66" si="20">E31*(E$48-1)</f>
        <v>3555.0456495915055</v>
      </c>
      <c r="G66" s="151">
        <f t="shared" si="20"/>
        <v>4404.9086737714633</v>
      </c>
      <c r="H66" s="138"/>
      <c r="I66" s="138"/>
      <c r="J66" s="138"/>
      <c r="V66"/>
      <c r="W66"/>
      <c r="X66"/>
      <c r="Y66"/>
      <c r="Z66"/>
      <c r="AA66"/>
    </row>
    <row r="67" spans="1:27" x14ac:dyDescent="0.3">
      <c r="B67" s="140">
        <v>5</v>
      </c>
      <c r="C67" s="138"/>
      <c r="D67" s="151">
        <f t="shared" si="15"/>
        <v>2863.621280630105</v>
      </c>
      <c r="E67" s="151">
        <f t="shared" si="15"/>
        <v>3185.4076154806489</v>
      </c>
      <c r="F67" s="151">
        <f t="shared" ref="F67" si="21">E32*(E$48-1)</f>
        <v>4717.6770345947789</v>
      </c>
      <c r="G67" s="138"/>
      <c r="H67" s="138"/>
      <c r="I67" s="138"/>
      <c r="J67" s="138"/>
      <c r="V67"/>
      <c r="W67"/>
      <c r="X67"/>
      <c r="Y67"/>
      <c r="Z67"/>
      <c r="AA67"/>
    </row>
    <row r="68" spans="1:27" x14ac:dyDescent="0.3">
      <c r="B68" s="140">
        <v>6</v>
      </c>
      <c r="C68" s="138"/>
      <c r="D68" s="151">
        <f t="shared" si="15"/>
        <v>2629.2619603267208</v>
      </c>
      <c r="E68" s="151">
        <f t="shared" si="15"/>
        <v>3815.3976279650433</v>
      </c>
      <c r="F68" s="138"/>
      <c r="G68" s="138"/>
      <c r="H68" s="138"/>
      <c r="I68" s="138"/>
      <c r="J68" s="138"/>
      <c r="V68"/>
      <c r="W68"/>
      <c r="X68"/>
      <c r="Y68"/>
      <c r="Z68"/>
      <c r="AA68"/>
    </row>
    <row r="69" spans="1:27" x14ac:dyDescent="0.3">
      <c r="B69" s="140">
        <v>7</v>
      </c>
      <c r="C69" s="138"/>
      <c r="D69" s="151">
        <f t="shared" si="15"/>
        <v>2354.6871353558927</v>
      </c>
      <c r="E69" s="138"/>
      <c r="F69" s="138"/>
      <c r="G69" s="138"/>
      <c r="H69" s="138"/>
      <c r="I69" s="138"/>
      <c r="J69" s="138"/>
      <c r="V69"/>
      <c r="W69"/>
      <c r="X69"/>
      <c r="Y69"/>
      <c r="Z69"/>
      <c r="AA69"/>
    </row>
    <row r="70" spans="1:27" x14ac:dyDescent="0.3">
      <c r="B70" s="140">
        <v>8</v>
      </c>
      <c r="C70" s="138"/>
      <c r="D70" s="138"/>
      <c r="E70" s="138"/>
      <c r="F70" s="138"/>
      <c r="G70" s="138"/>
      <c r="H70" s="138"/>
      <c r="I70" s="138"/>
      <c r="J70" s="138"/>
      <c r="V70"/>
      <c r="W70"/>
      <c r="X70"/>
      <c r="Y70"/>
      <c r="Z70"/>
      <c r="AA70"/>
    </row>
    <row r="71" spans="1:27" x14ac:dyDescent="0.3">
      <c r="N71"/>
      <c r="O71"/>
      <c r="P71"/>
      <c r="Q71"/>
      <c r="R71"/>
      <c r="S71"/>
      <c r="T71"/>
      <c r="U71"/>
      <c r="V71"/>
      <c r="W71"/>
      <c r="X71"/>
      <c r="Y71"/>
      <c r="Z71"/>
      <c r="AA71"/>
    </row>
    <row r="72" spans="1:27" x14ac:dyDescent="0.3">
      <c r="A72" s="4" t="s">
        <v>424</v>
      </c>
      <c r="C72"/>
      <c r="D72"/>
      <c r="E72"/>
      <c r="F72"/>
      <c r="G72"/>
      <c r="H72"/>
      <c r="I72"/>
      <c r="J72"/>
      <c r="L72" s="4" t="s">
        <v>426</v>
      </c>
      <c r="N72"/>
      <c r="O72"/>
      <c r="P72"/>
      <c r="Q72"/>
      <c r="R72"/>
      <c r="S72"/>
      <c r="T72"/>
      <c r="U72"/>
      <c r="V72"/>
      <c r="W72"/>
      <c r="X72"/>
      <c r="Y72"/>
      <c r="Z72"/>
      <c r="AA72"/>
    </row>
    <row r="73" spans="1:27" x14ac:dyDescent="0.3">
      <c r="B73" s="137" t="s">
        <v>59</v>
      </c>
      <c r="C73" s="150">
        <v>1</v>
      </c>
      <c r="D73" s="150">
        <v>2</v>
      </c>
      <c r="E73" s="150">
        <v>3</v>
      </c>
      <c r="F73" s="150">
        <v>4</v>
      </c>
      <c r="G73" s="150">
        <v>5</v>
      </c>
      <c r="H73" s="150">
        <v>6</v>
      </c>
      <c r="I73" s="150">
        <v>7</v>
      </c>
      <c r="J73" s="150">
        <v>8</v>
      </c>
      <c r="L73" s="138" t="s">
        <v>299</v>
      </c>
      <c r="M73" s="166" cm="1">
        <f t="array" ref="M73">SUMPRODUCT($D$8:$J$14-D74:J80,$D$8:$J$14-D74:J80)</f>
        <v>70994737.567900881</v>
      </c>
      <c r="N73"/>
      <c r="O73"/>
      <c r="P73"/>
      <c r="Q73"/>
      <c r="R73"/>
      <c r="S73"/>
      <c r="T73"/>
      <c r="U73"/>
      <c r="V73"/>
      <c r="W73"/>
      <c r="X73"/>
      <c r="Y73"/>
      <c r="Z73"/>
      <c r="AA73"/>
    </row>
    <row r="74" spans="1:27" x14ac:dyDescent="0.3">
      <c r="B74" s="140">
        <v>1</v>
      </c>
      <c r="C74" s="138"/>
      <c r="D74" s="151">
        <f t="shared" ref="D74:D80" si="22">C28*(C$49-1)</f>
        <v>2848.4289254824753</v>
      </c>
      <c r="E74" s="151">
        <f t="shared" ref="E74:J79" si="23">D28*(D$49-1)</f>
        <v>3918.450200765315</v>
      </c>
      <c r="F74" s="151">
        <f t="shared" si="23"/>
        <v>3191.1967569279946</v>
      </c>
      <c r="G74" s="151">
        <f t="shared" si="23"/>
        <v>3622.7402844275725</v>
      </c>
      <c r="H74" s="151">
        <f t="shared" si="23"/>
        <v>3016.0304846684667</v>
      </c>
      <c r="I74" s="151">
        <f t="shared" si="23"/>
        <v>1551.507880351184</v>
      </c>
      <c r="J74" s="151">
        <f t="shared" si="23"/>
        <v>853.99999999999795</v>
      </c>
      <c r="N74"/>
      <c r="O74"/>
      <c r="P74"/>
      <c r="Q74"/>
      <c r="R74"/>
      <c r="S74"/>
      <c r="T74"/>
      <c r="U74"/>
      <c r="V74"/>
      <c r="W74"/>
      <c r="X74"/>
      <c r="Y74"/>
      <c r="Z74"/>
      <c r="AA74"/>
    </row>
    <row r="75" spans="1:27" x14ac:dyDescent="0.3">
      <c r="B75" s="140">
        <v>2</v>
      </c>
      <c r="C75" s="138"/>
      <c r="D75" s="151">
        <f t="shared" si="22"/>
        <v>2691.2058470495786</v>
      </c>
      <c r="E75" s="151">
        <f t="shared" si="23"/>
        <v>4987.4186039654587</v>
      </c>
      <c r="F75" s="151">
        <f t="shared" si="23"/>
        <v>6613.1742446998351</v>
      </c>
      <c r="G75" s="151">
        <f t="shared" si="23"/>
        <v>8990.1171157916888</v>
      </c>
      <c r="H75" s="151">
        <f t="shared" si="23"/>
        <v>7612.3966584616182</v>
      </c>
      <c r="I75" s="151">
        <f t="shared" si="23"/>
        <v>3540.4508316232846</v>
      </c>
      <c r="J75" s="138"/>
      <c r="N75"/>
      <c r="O75"/>
      <c r="P75"/>
      <c r="Q75"/>
      <c r="R75"/>
      <c r="S75"/>
      <c r="T75"/>
      <c r="U75"/>
      <c r="V75"/>
      <c r="W75"/>
      <c r="X75"/>
      <c r="Y75"/>
      <c r="Z75"/>
      <c r="AA75"/>
    </row>
    <row r="76" spans="1:27" x14ac:dyDescent="0.3">
      <c r="B76" s="140">
        <v>3</v>
      </c>
      <c r="C76" s="138"/>
      <c r="D76" s="151">
        <f t="shared" si="22"/>
        <v>3094.8867241070157</v>
      </c>
      <c r="E76" s="151">
        <f t="shared" si="23"/>
        <v>3661.7326923519986</v>
      </c>
      <c r="F76" s="151">
        <f t="shared" si="23"/>
        <v>4734.8150415344744</v>
      </c>
      <c r="G76" s="151">
        <f t="shared" si="23"/>
        <v>5785.2413999225582</v>
      </c>
      <c r="H76" s="151">
        <f t="shared" si="23"/>
        <v>4443.0200412467311</v>
      </c>
      <c r="I76" s="138"/>
      <c r="J76" s="138"/>
      <c r="N76"/>
      <c r="O76"/>
      <c r="P76"/>
      <c r="Q76"/>
      <c r="R76"/>
      <c r="S76"/>
      <c r="T76"/>
      <c r="U76"/>
      <c r="V76"/>
      <c r="W76"/>
      <c r="X76"/>
      <c r="Y76"/>
      <c r="Z76"/>
      <c r="AA76"/>
    </row>
    <row r="77" spans="1:27" x14ac:dyDescent="0.3">
      <c r="B77" s="140">
        <v>4</v>
      </c>
      <c r="C77" s="138"/>
      <c r="D77" s="151">
        <f t="shared" si="22"/>
        <v>2771.9420224610658</v>
      </c>
      <c r="E77" s="151">
        <f t="shared" si="23"/>
        <v>2904.7874987345995</v>
      </c>
      <c r="F77" s="151">
        <f t="shared" si="23"/>
        <v>3400.2057207111006</v>
      </c>
      <c r="G77" s="151">
        <f t="shared" si="23"/>
        <v>4074.2834898549049</v>
      </c>
      <c r="H77" s="138"/>
      <c r="I77" s="138"/>
      <c r="J77" s="138"/>
      <c r="N77"/>
      <c r="O77"/>
      <c r="P77"/>
      <c r="Q77"/>
      <c r="R77"/>
      <c r="S77"/>
      <c r="T77"/>
      <c r="U77"/>
      <c r="V77"/>
      <c r="W77"/>
      <c r="X77"/>
      <c r="Y77"/>
      <c r="Z77"/>
      <c r="AA77"/>
    </row>
    <row r="78" spans="1:27" x14ac:dyDescent="0.3">
      <c r="B78" s="140">
        <v>5</v>
      </c>
      <c r="C78" s="138"/>
      <c r="D78" s="151">
        <f t="shared" si="22"/>
        <v>2924.9158285038843</v>
      </c>
      <c r="E78" s="151">
        <f t="shared" si="23"/>
        <v>3188.745128619425</v>
      </c>
      <c r="F78" s="151">
        <f t="shared" si="23"/>
        <v>4512.1987233384061</v>
      </c>
      <c r="G78" s="138"/>
      <c r="H78" s="138"/>
      <c r="I78" s="138"/>
      <c r="J78" s="138"/>
      <c r="N78"/>
      <c r="O78"/>
      <c r="P78"/>
      <c r="Q78"/>
      <c r="R78"/>
      <c r="S78"/>
      <c r="T78"/>
      <c r="U78"/>
      <c r="V78"/>
      <c r="W78"/>
      <c r="X78"/>
      <c r="Y78"/>
      <c r="Z78"/>
      <c r="AA78"/>
    </row>
    <row r="79" spans="1:27" x14ac:dyDescent="0.3">
      <c r="B79" s="140">
        <v>6</v>
      </c>
      <c r="C79" s="138"/>
      <c r="D79" s="151">
        <f t="shared" si="22"/>
        <v>2685.5401505294744</v>
      </c>
      <c r="E79" s="151">
        <f t="shared" si="23"/>
        <v>3819.3952135961895</v>
      </c>
      <c r="F79" s="138"/>
      <c r="G79" s="138"/>
      <c r="H79" s="138"/>
      <c r="I79" s="138"/>
      <c r="J79" s="138"/>
      <c r="N79"/>
      <c r="O79"/>
      <c r="P79"/>
      <c r="Q79"/>
      <c r="R79"/>
      <c r="S79"/>
      <c r="T79"/>
      <c r="U79"/>
      <c r="V79"/>
      <c r="W79"/>
      <c r="X79"/>
      <c r="Y79"/>
      <c r="Z79"/>
      <c r="AA79"/>
    </row>
    <row r="80" spans="1:27" x14ac:dyDescent="0.3">
      <c r="B80" s="140">
        <v>7</v>
      </c>
      <c r="C80" s="138"/>
      <c r="D80" s="151">
        <f t="shared" si="22"/>
        <v>2405.0881727843075</v>
      </c>
      <c r="E80" s="138"/>
      <c r="F80" s="138"/>
      <c r="G80" s="138"/>
      <c r="H80" s="138"/>
      <c r="I80" s="138"/>
      <c r="J80" s="138"/>
      <c r="N80"/>
      <c r="O80"/>
      <c r="P80"/>
      <c r="Q80"/>
      <c r="R80"/>
      <c r="S80"/>
      <c r="T80"/>
      <c r="U80"/>
      <c r="V80"/>
      <c r="W80"/>
      <c r="X80"/>
      <c r="Y80"/>
      <c r="Z80"/>
      <c r="AA80"/>
    </row>
    <row r="81" spans="1:27" x14ac:dyDescent="0.3">
      <c r="B81" s="140">
        <v>8</v>
      </c>
      <c r="C81" s="138"/>
      <c r="D81" s="138"/>
      <c r="E81" s="138"/>
      <c r="F81" s="138"/>
      <c r="G81" s="138"/>
      <c r="H81" s="138"/>
      <c r="I81" s="138"/>
      <c r="J81" s="138"/>
      <c r="N81"/>
      <c r="O81"/>
      <c r="P81"/>
      <c r="Q81"/>
      <c r="R81"/>
      <c r="S81"/>
      <c r="T81"/>
      <c r="U81"/>
      <c r="V81"/>
      <c r="W81"/>
      <c r="X81"/>
      <c r="Y81"/>
      <c r="Z81"/>
      <c r="AA81"/>
    </row>
    <row r="82" spans="1:27" x14ac:dyDescent="0.3">
      <c r="N82"/>
      <c r="O82"/>
      <c r="P82"/>
      <c r="Q82"/>
      <c r="R82"/>
      <c r="S82"/>
      <c r="T82"/>
      <c r="U82"/>
      <c r="V82"/>
      <c r="W82"/>
      <c r="X82"/>
      <c r="Y82"/>
      <c r="Z82"/>
      <c r="AA82"/>
    </row>
    <row r="83" spans="1:27" x14ac:dyDescent="0.3">
      <c r="A83" s="4" t="s">
        <v>425</v>
      </c>
      <c r="L83" s="4" t="s">
        <v>301</v>
      </c>
      <c r="N83"/>
      <c r="O83"/>
      <c r="P83"/>
      <c r="Q83"/>
      <c r="R83"/>
      <c r="S83"/>
      <c r="T83"/>
      <c r="U83"/>
      <c r="V83"/>
      <c r="W83"/>
      <c r="X83"/>
      <c r="Y83"/>
      <c r="Z83"/>
      <c r="AA83"/>
    </row>
    <row r="84" spans="1:27" x14ac:dyDescent="0.3">
      <c r="B84" s="137" t="s">
        <v>59</v>
      </c>
      <c r="C84" s="150">
        <v>1</v>
      </c>
      <c r="D84" s="150">
        <v>2</v>
      </c>
      <c r="E84" s="150">
        <v>3</v>
      </c>
      <c r="F84" s="150">
        <v>4</v>
      </c>
      <c r="G84" s="150">
        <v>5</v>
      </c>
      <c r="H84" s="150">
        <v>6</v>
      </c>
      <c r="I84" s="150">
        <v>7</v>
      </c>
      <c r="J84" s="150">
        <v>8</v>
      </c>
      <c r="L84" s="138" t="s">
        <v>299</v>
      </c>
      <c r="M84" s="166" cm="1">
        <f t="array" ref="M84">SUMPRODUCT($D$8:$J$14-D85:J91,$D$8:$J$14-D85:J91)</f>
        <v>145504719.34761906</v>
      </c>
      <c r="N84"/>
      <c r="O84"/>
      <c r="P84"/>
      <c r="Q84"/>
      <c r="R84"/>
      <c r="S84"/>
      <c r="T84"/>
      <c r="U84"/>
      <c r="V84"/>
      <c r="W84"/>
      <c r="X84"/>
      <c r="Y84"/>
      <c r="Z84"/>
      <c r="AA84"/>
    </row>
    <row r="85" spans="1:27" x14ac:dyDescent="0.3">
      <c r="B85" s="140">
        <v>1</v>
      </c>
      <c r="C85" s="138"/>
      <c r="D85" s="151">
        <f t="shared" ref="D85:J85" si="24">SUM(D8:D15)/COUNT(D8:D15)</f>
        <v>2716.4285714285716</v>
      </c>
      <c r="E85" s="151">
        <f t="shared" si="24"/>
        <v>3742.8333333333335</v>
      </c>
      <c r="F85" s="151">
        <f t="shared" si="24"/>
        <v>4694.8</v>
      </c>
      <c r="G85" s="151">
        <f t="shared" si="24"/>
        <v>6074</v>
      </c>
      <c r="H85" s="151">
        <f t="shared" si="24"/>
        <v>4785</v>
      </c>
      <c r="I85" s="151">
        <f t="shared" si="24"/>
        <v>2213</v>
      </c>
      <c r="J85" s="151">
        <f t="shared" si="24"/>
        <v>854</v>
      </c>
      <c r="N85"/>
      <c r="O85"/>
      <c r="P85"/>
      <c r="Q85"/>
      <c r="R85"/>
      <c r="S85"/>
      <c r="T85"/>
      <c r="U85"/>
      <c r="V85"/>
      <c r="W85"/>
      <c r="X85"/>
      <c r="Y85"/>
      <c r="Z85"/>
      <c r="AA85"/>
    </row>
    <row r="86" spans="1:27" x14ac:dyDescent="0.3">
      <c r="B86" s="140">
        <v>2</v>
      </c>
      <c r="C86" s="138"/>
      <c r="D86" s="151">
        <f t="shared" ref="D86:D91" si="25">D85</f>
        <v>2716.4285714285716</v>
      </c>
      <c r="E86" s="151">
        <f t="shared" ref="E86:I86" si="26">E85</f>
        <v>3742.8333333333335</v>
      </c>
      <c r="F86" s="151">
        <f t="shared" si="26"/>
        <v>4694.8</v>
      </c>
      <c r="G86" s="151">
        <f t="shared" si="26"/>
        <v>6074</v>
      </c>
      <c r="H86" s="151">
        <f t="shared" si="26"/>
        <v>4785</v>
      </c>
      <c r="I86" s="151">
        <f t="shared" si="26"/>
        <v>2213</v>
      </c>
      <c r="J86" s="138"/>
      <c r="N86"/>
      <c r="O86"/>
      <c r="P86"/>
      <c r="Q86"/>
      <c r="R86"/>
      <c r="S86"/>
      <c r="T86"/>
      <c r="U86"/>
      <c r="V86"/>
      <c r="W86"/>
      <c r="X86"/>
      <c r="Y86"/>
      <c r="Z86"/>
      <c r="AA86"/>
    </row>
    <row r="87" spans="1:27" x14ac:dyDescent="0.3">
      <c r="B87" s="140">
        <v>0</v>
      </c>
      <c r="C87" s="138"/>
      <c r="D87" s="151">
        <f t="shared" si="25"/>
        <v>2716.4285714285716</v>
      </c>
      <c r="E87" s="151">
        <f t="shared" ref="E87" si="27">E86</f>
        <v>3742.8333333333335</v>
      </c>
      <c r="F87" s="151">
        <f t="shared" ref="F87" si="28">F86</f>
        <v>4694.8</v>
      </c>
      <c r="G87" s="151">
        <f t="shared" ref="G87" si="29">G86</f>
        <v>6074</v>
      </c>
      <c r="H87" s="151">
        <f t="shared" ref="H87" si="30">H86</f>
        <v>4785</v>
      </c>
      <c r="I87" s="138"/>
      <c r="J87" s="138"/>
      <c r="N87"/>
      <c r="O87"/>
      <c r="P87"/>
      <c r="Q87"/>
      <c r="R87"/>
      <c r="S87"/>
      <c r="T87"/>
      <c r="U87"/>
      <c r="V87"/>
      <c r="W87"/>
      <c r="X87"/>
      <c r="Y87"/>
      <c r="Z87"/>
      <c r="AA87"/>
    </row>
    <row r="88" spans="1:27" x14ac:dyDescent="0.3">
      <c r="B88" s="140">
        <v>4</v>
      </c>
      <c r="C88" s="138"/>
      <c r="D88" s="151">
        <f t="shared" si="25"/>
        <v>2716.4285714285716</v>
      </c>
      <c r="E88" s="151">
        <f t="shared" ref="E88" si="31">E87</f>
        <v>3742.8333333333335</v>
      </c>
      <c r="F88" s="151">
        <f t="shared" ref="F88" si="32">F87</f>
        <v>4694.8</v>
      </c>
      <c r="G88" s="151">
        <f t="shared" ref="G88" si="33">G87</f>
        <v>6074</v>
      </c>
      <c r="H88" s="138"/>
      <c r="I88" s="138"/>
      <c r="J88" s="138"/>
      <c r="N88"/>
      <c r="O88"/>
      <c r="P88"/>
      <c r="Q88"/>
      <c r="R88"/>
      <c r="S88"/>
      <c r="T88"/>
      <c r="U88"/>
      <c r="V88"/>
      <c r="W88"/>
      <c r="X88"/>
      <c r="Y88"/>
      <c r="Z88"/>
      <c r="AA88"/>
    </row>
    <row r="89" spans="1:27" x14ac:dyDescent="0.3">
      <c r="B89" s="140">
        <v>5</v>
      </c>
      <c r="C89" s="138"/>
      <c r="D89" s="151">
        <f t="shared" si="25"/>
        <v>2716.4285714285716</v>
      </c>
      <c r="E89" s="151">
        <f t="shared" ref="E89" si="34">E88</f>
        <v>3742.8333333333335</v>
      </c>
      <c r="F89" s="151">
        <f t="shared" ref="F89" si="35">F88</f>
        <v>4694.8</v>
      </c>
      <c r="G89" s="138"/>
      <c r="H89" s="138"/>
      <c r="I89" s="138"/>
      <c r="J89" s="138"/>
      <c r="N89"/>
      <c r="O89"/>
      <c r="P89"/>
      <c r="Q89"/>
      <c r="R89"/>
      <c r="S89"/>
      <c r="T89"/>
      <c r="U89"/>
      <c r="V89"/>
      <c r="W89"/>
      <c r="X89"/>
      <c r="Y89"/>
      <c r="Z89"/>
      <c r="AA89"/>
    </row>
    <row r="90" spans="1:27" x14ac:dyDescent="0.3">
      <c r="B90" s="140">
        <v>6</v>
      </c>
      <c r="C90" s="138"/>
      <c r="D90" s="151">
        <f t="shared" si="25"/>
        <v>2716.4285714285716</v>
      </c>
      <c r="E90" s="151">
        <f t="shared" ref="E90" si="36">E89</f>
        <v>3742.8333333333335</v>
      </c>
      <c r="F90" s="138"/>
      <c r="G90" s="138"/>
      <c r="H90" s="138"/>
      <c r="I90" s="138"/>
      <c r="J90" s="138"/>
      <c r="N90"/>
      <c r="O90"/>
      <c r="P90"/>
      <c r="Q90"/>
      <c r="R90"/>
      <c r="S90"/>
      <c r="T90"/>
      <c r="U90"/>
      <c r="V90"/>
      <c r="W90"/>
      <c r="X90"/>
      <c r="Y90"/>
      <c r="Z90"/>
      <c r="AA90"/>
    </row>
    <row r="91" spans="1:27" x14ac:dyDescent="0.3">
      <c r="B91" s="140">
        <v>7</v>
      </c>
      <c r="C91" s="138"/>
      <c r="D91" s="151">
        <f t="shared" si="25"/>
        <v>2716.4285714285716</v>
      </c>
      <c r="E91" s="138"/>
      <c r="F91" s="138"/>
      <c r="G91" s="138"/>
      <c r="H91" s="138"/>
      <c r="I91" s="138"/>
      <c r="J91" s="138"/>
      <c r="N91"/>
      <c r="O91"/>
      <c r="P91"/>
      <c r="Q91"/>
      <c r="R91"/>
      <c r="S91"/>
      <c r="T91"/>
      <c r="U91"/>
      <c r="V91"/>
      <c r="W91"/>
      <c r="X91"/>
      <c r="Y91"/>
      <c r="Z91"/>
      <c r="AA91"/>
    </row>
    <row r="92" spans="1:27" x14ac:dyDescent="0.3">
      <c r="B92" s="140">
        <v>8</v>
      </c>
      <c r="C92" s="138"/>
      <c r="D92" s="138"/>
      <c r="E92" s="138"/>
      <c r="F92" s="138"/>
      <c r="G92" s="138"/>
      <c r="H92" s="138"/>
      <c r="I92" s="138"/>
      <c r="J92" s="138"/>
      <c r="N92"/>
      <c r="O92"/>
      <c r="P92"/>
      <c r="Q92"/>
      <c r="R92"/>
      <c r="S92"/>
      <c r="T92"/>
      <c r="U92"/>
      <c r="V92"/>
      <c r="W92"/>
      <c r="X92"/>
      <c r="Y92"/>
      <c r="Z92"/>
      <c r="AA92"/>
    </row>
    <row r="93" spans="1:27" x14ac:dyDescent="0.3">
      <c r="B93" s="160"/>
      <c r="C93" s="161"/>
      <c r="N93"/>
      <c r="O93"/>
      <c r="P93"/>
      <c r="Q93"/>
      <c r="R93"/>
      <c r="S93"/>
      <c r="T93"/>
      <c r="U93"/>
      <c r="V93"/>
      <c r="W93"/>
      <c r="X93"/>
      <c r="Y93"/>
      <c r="Z93"/>
      <c r="AA93"/>
    </row>
    <row r="94" spans="1:27" x14ac:dyDescent="0.3">
      <c r="A94" s="4" t="s">
        <v>298</v>
      </c>
      <c r="B94" s="160"/>
      <c r="C94" s="138"/>
      <c r="D94" s="162">
        <f>N57</f>
        <v>9.804989837847046E-2</v>
      </c>
      <c r="E94" s="162">
        <f t="shared" ref="E94:J94" si="37">O57</f>
        <v>0.1405672431758444</v>
      </c>
      <c r="F94" s="162">
        <f t="shared" si="37"/>
        <v>0.19078080469095648</v>
      </c>
      <c r="G94" s="162">
        <f t="shared" si="37"/>
        <v>0.24935147004224686</v>
      </c>
      <c r="H94" s="162">
        <f t="shared" si="37"/>
        <v>0.15988245946777968</v>
      </c>
      <c r="I94" s="162">
        <f t="shared" si="37"/>
        <v>5.6892489376480775E-2</v>
      </c>
      <c r="J94" s="162">
        <f t="shared" si="37"/>
        <v>4.2743743441304299E-2</v>
      </c>
      <c r="L94" s="4" t="s">
        <v>300</v>
      </c>
      <c r="N94"/>
      <c r="O94"/>
      <c r="P94"/>
      <c r="Q94"/>
      <c r="R94"/>
      <c r="S94"/>
      <c r="T94"/>
      <c r="U94"/>
      <c r="V94"/>
      <c r="W94"/>
      <c r="X94"/>
      <c r="Y94"/>
      <c r="Z94"/>
      <c r="AA94"/>
    </row>
    <row r="95" spans="1:27" x14ac:dyDescent="0.3">
      <c r="B95" s="137" t="s">
        <v>59</v>
      </c>
      <c r="C95" s="150">
        <v>1</v>
      </c>
      <c r="D95" s="150">
        <v>2</v>
      </c>
      <c r="E95" s="150">
        <v>3</v>
      </c>
      <c r="F95" s="150">
        <v>4</v>
      </c>
      <c r="G95" s="150">
        <v>5</v>
      </c>
      <c r="H95" s="150">
        <v>6</v>
      </c>
      <c r="I95" s="150">
        <v>7</v>
      </c>
      <c r="J95" s="150">
        <v>8</v>
      </c>
      <c r="L95" s="138" t="s">
        <v>299</v>
      </c>
      <c r="M95" s="166" cm="1">
        <f t="array" aca="1" ref="M95" ca="1">SUMPRODUCT($D$8:$J$14-D96:J102,$D$8:$J$14-D96:J102)</f>
        <v>29465241.659801893</v>
      </c>
      <c r="N95"/>
      <c r="O95"/>
      <c r="P95"/>
      <c r="Q95"/>
      <c r="R95"/>
      <c r="S95"/>
      <c r="T95"/>
      <c r="U95"/>
      <c r="V95"/>
      <c r="W95"/>
      <c r="X95"/>
      <c r="Y95"/>
      <c r="Z95"/>
      <c r="AA95"/>
    </row>
    <row r="96" spans="1:27" x14ac:dyDescent="0.3">
      <c r="A96" s="165">
        <f ca="1">OFFSET($L$58,0,B96)</f>
        <v>19979.518953521514</v>
      </c>
      <c r="B96" s="140">
        <v>1</v>
      </c>
      <c r="C96" s="138"/>
      <c r="D96" s="151">
        <f t="shared" ref="D96:J96" ca="1" si="38">$A96*D$94</f>
        <v>1958.989803043509</v>
      </c>
      <c r="E96" s="151">
        <f t="shared" ca="1" si="38"/>
        <v>2808.465899276051</v>
      </c>
      <c r="F96" s="151">
        <f t="shared" ca="1" si="38"/>
        <v>3811.7087032910513</v>
      </c>
      <c r="G96" s="151">
        <f t="shared" ca="1" si="38"/>
        <v>4981.9224217975234</v>
      </c>
      <c r="H96" s="151">
        <f t="shared" ca="1" si="38"/>
        <v>3194.3746292721394</v>
      </c>
      <c r="I96" s="151">
        <f t="shared" ca="1" si="38"/>
        <v>1136.6845698104191</v>
      </c>
      <c r="J96" s="151">
        <f t="shared" ca="1" si="38"/>
        <v>853.99943223000014</v>
      </c>
      <c r="N96"/>
      <c r="O96"/>
      <c r="P96"/>
      <c r="Q96"/>
      <c r="R96"/>
      <c r="S96"/>
      <c r="T96"/>
      <c r="U96"/>
      <c r="V96"/>
      <c r="W96"/>
      <c r="X96"/>
      <c r="Y96"/>
      <c r="Z96"/>
      <c r="AA96"/>
    </row>
    <row r="97" spans="1:27" x14ac:dyDescent="0.3">
      <c r="A97" s="165">
        <f t="shared" ref="A97:A102" ca="1" si="39">OFFSET($L$58,0,B97)</f>
        <v>48201.024688297788</v>
      </c>
      <c r="B97" s="140">
        <v>2</v>
      </c>
      <c r="C97" s="138"/>
      <c r="D97" s="151">
        <f t="shared" ref="D97:I102" ca="1" si="40">$A97*D$94</f>
        <v>4726.105572425744</v>
      </c>
      <c r="E97" s="151">
        <f t="shared" ca="1" si="40"/>
        <v>6775.4851586848345</v>
      </c>
      <c r="F97" s="151">
        <f t="shared" ca="1" si="40"/>
        <v>9195.8302769621114</v>
      </c>
      <c r="G97" s="151">
        <f t="shared" ca="1" si="40"/>
        <v>12018.996363569688</v>
      </c>
      <c r="H97" s="151">
        <f t="shared" ca="1" si="40"/>
        <v>7706.4983760322184</v>
      </c>
      <c r="I97" s="151">
        <f t="shared" ca="1" si="40"/>
        <v>2742.2762850144695</v>
      </c>
      <c r="J97" s="138"/>
      <c r="N97"/>
      <c r="O97"/>
      <c r="P97"/>
      <c r="Q97"/>
      <c r="R97"/>
      <c r="S97"/>
      <c r="T97"/>
      <c r="U97"/>
      <c r="V97"/>
      <c r="W97"/>
      <c r="X97"/>
      <c r="Y97"/>
      <c r="Z97"/>
      <c r="AA97"/>
    </row>
    <row r="98" spans="1:27" x14ac:dyDescent="0.3">
      <c r="A98" s="165">
        <f t="shared" ca="1" si="39"/>
        <v>23104.800205512289</v>
      </c>
      <c r="B98" s="140">
        <v>3</v>
      </c>
      <c r="C98" s="138"/>
      <c r="D98" s="151">
        <f t="shared" ca="1" si="40"/>
        <v>2265.4233122053433</v>
      </c>
      <c r="E98" s="151">
        <f t="shared" ca="1" si="40"/>
        <v>3247.7780690175455</v>
      </c>
      <c r="F98" s="151">
        <f t="shared" ca="1" si="40"/>
        <v>4407.9523754314114</v>
      </c>
      <c r="G98" s="151">
        <f t="shared" ca="1" si="40"/>
        <v>5761.2158962768963</v>
      </c>
      <c r="H98" s="151">
        <f t="shared" ca="1" si="40"/>
        <v>3694.0522823689662</v>
      </c>
      <c r="I98" s="138"/>
      <c r="J98" s="138"/>
      <c r="N98"/>
      <c r="O98"/>
      <c r="P98"/>
      <c r="Q98"/>
      <c r="R98"/>
      <c r="S98"/>
      <c r="T98"/>
      <c r="U98"/>
      <c r="V98"/>
      <c r="W98"/>
      <c r="X98"/>
      <c r="Y98"/>
      <c r="Z98"/>
      <c r="AA98"/>
    </row>
    <row r="99" spans="1:27" x14ac:dyDescent="0.3">
      <c r="A99" s="165">
        <f t="shared" ca="1" si="39"/>
        <v>12070.836773165282</v>
      </c>
      <c r="B99" s="140">
        <v>4</v>
      </c>
      <c r="C99" s="138"/>
      <c r="D99" s="151">
        <f t="shared" ca="1" si="40"/>
        <v>1183.5443189519601</v>
      </c>
      <c r="E99" s="151">
        <f t="shared" ca="1" si="40"/>
        <v>1696.7642480294492</v>
      </c>
      <c r="F99" s="151">
        <f t="shared" ca="1" si="40"/>
        <v>2302.8839528776612</v>
      </c>
      <c r="G99" s="151">
        <f t="shared" ca="1" si="40"/>
        <v>3009.8808940287745</v>
      </c>
      <c r="H99" s="138"/>
      <c r="I99" s="138"/>
      <c r="J99" s="138"/>
      <c r="N99"/>
      <c r="O99"/>
      <c r="P99"/>
      <c r="Q99"/>
      <c r="R99"/>
      <c r="S99"/>
      <c r="T99"/>
      <c r="U99"/>
      <c r="V99"/>
      <c r="W99"/>
      <c r="X99"/>
      <c r="Y99"/>
      <c r="Z99"/>
      <c r="AA99"/>
    </row>
    <row r="100" spans="1:27" x14ac:dyDescent="0.3">
      <c r="A100" s="165">
        <f t="shared" ca="1" si="39"/>
        <v>19848.406941466666</v>
      </c>
      <c r="B100" s="140">
        <v>5</v>
      </c>
      <c r="C100" s="138"/>
      <c r="D100" s="151">
        <f t="shared" ca="1" si="40"/>
        <v>1946.1342835853343</v>
      </c>
      <c r="E100" s="151">
        <f t="shared" ca="1" si="40"/>
        <v>2790.0358451942629</v>
      </c>
      <c r="F100" s="151">
        <f t="shared" ca="1" si="40"/>
        <v>3786.6950481265771</v>
      </c>
      <c r="G100" s="138"/>
      <c r="H100" s="138"/>
      <c r="I100" s="138"/>
      <c r="J100" s="138"/>
      <c r="N100"/>
      <c r="O100"/>
      <c r="P100"/>
      <c r="Q100"/>
      <c r="R100"/>
      <c r="S100"/>
      <c r="T100"/>
      <c r="U100"/>
      <c r="V100"/>
      <c r="W100"/>
      <c r="X100"/>
      <c r="Y100"/>
      <c r="Z100"/>
      <c r="AA100"/>
    </row>
    <row r="101" spans="1:27" x14ac:dyDescent="0.3">
      <c r="A101" s="165">
        <f t="shared" ca="1" si="39"/>
        <v>27757.011362963294</v>
      </c>
      <c r="B101" s="140">
        <v>6</v>
      </c>
      <c r="C101" s="138"/>
      <c r="D101" s="151">
        <f t="shared" ca="1" si="40"/>
        <v>2721.5721434286006</v>
      </c>
      <c r="E101" s="151">
        <f t="shared" ca="1" si="40"/>
        <v>3901.7265660923376</v>
      </c>
      <c r="F101" s="138"/>
      <c r="G101" s="138"/>
      <c r="H101" s="138"/>
      <c r="I101" s="138"/>
      <c r="J101" s="138"/>
      <c r="N101"/>
      <c r="O101"/>
      <c r="P101"/>
      <c r="Q101"/>
      <c r="R101"/>
      <c r="S101"/>
      <c r="T101"/>
      <c r="U101"/>
      <c r="V101"/>
      <c r="W101"/>
      <c r="X101"/>
      <c r="Y101"/>
      <c r="Z101"/>
      <c r="AA101"/>
    </row>
    <row r="102" spans="1:27" x14ac:dyDescent="0.3">
      <c r="A102" s="165">
        <f t="shared" ca="1" si="39"/>
        <v>35525.810569438887</v>
      </c>
      <c r="B102" s="140">
        <v>7</v>
      </c>
      <c r="C102" s="138"/>
      <c r="D102" s="151">
        <f t="shared" ca="1" si="40"/>
        <v>3483.3021161462748</v>
      </c>
      <c r="E102" s="138"/>
      <c r="F102" s="138"/>
      <c r="G102" s="138"/>
      <c r="H102" s="138"/>
      <c r="I102" s="138"/>
      <c r="J102" s="138"/>
      <c r="N102"/>
      <c r="O102"/>
      <c r="P102"/>
      <c r="Q102"/>
      <c r="R102"/>
      <c r="S102"/>
      <c r="T102"/>
      <c r="U102"/>
      <c r="V102"/>
      <c r="W102"/>
      <c r="X102"/>
      <c r="Y102"/>
      <c r="Z102"/>
      <c r="AA102"/>
    </row>
    <row r="103" spans="1:27" x14ac:dyDescent="0.3">
      <c r="A103" s="165"/>
      <c r="B103" s="140">
        <v>8</v>
      </c>
      <c r="C103" s="138"/>
      <c r="D103" s="138"/>
      <c r="E103" s="138"/>
      <c r="F103" s="138"/>
      <c r="G103" s="138"/>
      <c r="H103" s="138"/>
      <c r="I103" s="138"/>
      <c r="J103" s="138"/>
      <c r="N103"/>
      <c r="O103"/>
      <c r="P103"/>
      <c r="Q103"/>
      <c r="R103"/>
      <c r="S103"/>
      <c r="T103"/>
      <c r="U103"/>
      <c r="V103"/>
      <c r="W103"/>
      <c r="X103"/>
      <c r="Y103"/>
      <c r="Z103"/>
      <c r="AA103"/>
    </row>
    <row r="104" spans="1:27" x14ac:dyDescent="0.3">
      <c r="B104" s="160"/>
      <c r="C104" s="161"/>
      <c r="N104"/>
      <c r="O104"/>
      <c r="P104"/>
      <c r="Q104"/>
      <c r="R104"/>
      <c r="S104"/>
      <c r="T104"/>
      <c r="U104"/>
      <c r="V104"/>
      <c r="W104"/>
      <c r="X104"/>
      <c r="Y104"/>
      <c r="Z104"/>
      <c r="AA104"/>
    </row>
    <row r="105" spans="1:27" x14ac:dyDescent="0.3">
      <c r="N105"/>
      <c r="O105"/>
      <c r="P105"/>
      <c r="Q105"/>
      <c r="R105"/>
      <c r="S105"/>
      <c r="T105"/>
      <c r="U105"/>
      <c r="V105"/>
      <c r="W105"/>
      <c r="X105"/>
      <c r="Y105"/>
      <c r="Z105"/>
      <c r="AA105"/>
    </row>
    <row r="106" spans="1:27" x14ac:dyDescent="0.3">
      <c r="A106" s="7" t="s">
        <v>2</v>
      </c>
      <c r="B106" s="7" t="s">
        <v>90</v>
      </c>
      <c r="C106" s="7"/>
      <c r="D106" s="7"/>
      <c r="E106" s="7"/>
      <c r="F106" s="7"/>
      <c r="G106" s="7"/>
      <c r="H106" s="7"/>
      <c r="I106" s="8"/>
      <c r="J106" s="8"/>
      <c r="K106" s="8"/>
      <c r="L106" s="8"/>
      <c r="M106" s="8"/>
      <c r="N106"/>
      <c r="O106"/>
      <c r="P106"/>
      <c r="Q106"/>
      <c r="R106"/>
      <c r="S106"/>
      <c r="T106"/>
      <c r="U106"/>
      <c r="V106"/>
      <c r="W106"/>
      <c r="X106"/>
      <c r="Y106"/>
      <c r="Z106"/>
      <c r="AA106"/>
    </row>
    <row r="107" spans="1:27" ht="16.2" x14ac:dyDescent="0.35">
      <c r="A107" s="9"/>
      <c r="B107" s="9" t="s">
        <v>1</v>
      </c>
      <c r="C107" s="9"/>
      <c r="D107" s="11"/>
      <c r="E107" s="11"/>
      <c r="F107" s="7"/>
      <c r="G107" s="7"/>
      <c r="H107" s="7"/>
      <c r="I107" s="8"/>
      <c r="J107" s="8"/>
      <c r="K107" s="8"/>
      <c r="L107" s="8"/>
      <c r="M107" s="8"/>
      <c r="N107"/>
      <c r="O107"/>
      <c r="P107"/>
      <c r="Q107"/>
      <c r="R107"/>
      <c r="S107"/>
      <c r="T107"/>
      <c r="U107"/>
      <c r="V107"/>
      <c r="W107"/>
      <c r="X107"/>
      <c r="Y107"/>
      <c r="Z107"/>
      <c r="AA107"/>
    </row>
    <row r="108" spans="1:27" x14ac:dyDescent="0.3">
      <c r="C108" s="126" t="s">
        <v>299</v>
      </c>
      <c r="D108" s="126" t="s">
        <v>304</v>
      </c>
      <c r="E108" s="126" t="s">
        <v>305</v>
      </c>
      <c r="F108" s="4" t="s">
        <v>306</v>
      </c>
      <c r="N108"/>
      <c r="O108"/>
      <c r="P108"/>
      <c r="Q108"/>
      <c r="R108"/>
      <c r="S108"/>
      <c r="T108"/>
      <c r="U108"/>
      <c r="V108"/>
      <c r="W108"/>
      <c r="X108"/>
      <c r="Y108"/>
      <c r="Z108"/>
      <c r="AA108"/>
    </row>
    <row r="109" spans="1:27" x14ac:dyDescent="0.3">
      <c r="B109" s="4" t="s">
        <v>292</v>
      </c>
      <c r="C109" s="125">
        <f>M62</f>
        <v>66288849.690468602</v>
      </c>
      <c r="D109" s="126">
        <v>28</v>
      </c>
      <c r="E109" s="126">
        <v>7</v>
      </c>
      <c r="F109" s="125">
        <f>C109*EXP(2*E109/D109)</f>
        <v>109291836.4949192</v>
      </c>
      <c r="N109"/>
      <c r="O109"/>
      <c r="P109"/>
      <c r="Q109"/>
      <c r="R109"/>
      <c r="S109"/>
      <c r="T109"/>
      <c r="U109"/>
      <c r="V109"/>
      <c r="W109"/>
      <c r="X109"/>
      <c r="Y109"/>
      <c r="Z109"/>
      <c r="AA109"/>
    </row>
    <row r="110" spans="1:27" x14ac:dyDescent="0.3">
      <c r="B110" s="4" t="s">
        <v>293</v>
      </c>
      <c r="C110" s="125">
        <f>M73</f>
        <v>70994737.567900881</v>
      </c>
      <c r="D110" s="126">
        <v>28</v>
      </c>
      <c r="E110" s="126">
        <v>7</v>
      </c>
      <c r="F110" s="125">
        <f>C110*EXP(2*E110/D110)</f>
        <v>117050533.93597166</v>
      </c>
      <c r="N110"/>
      <c r="O110"/>
      <c r="P110"/>
      <c r="Q110"/>
      <c r="R110"/>
      <c r="S110"/>
      <c r="T110"/>
      <c r="U110"/>
      <c r="V110"/>
      <c r="W110"/>
      <c r="X110"/>
      <c r="Y110"/>
      <c r="Z110"/>
      <c r="AA110"/>
    </row>
    <row r="111" spans="1:27" x14ac:dyDescent="0.3">
      <c r="B111" s="4" t="s">
        <v>302</v>
      </c>
      <c r="C111" s="125">
        <f>M84</f>
        <v>145504719.34761906</v>
      </c>
      <c r="D111" s="126">
        <v>28</v>
      </c>
      <c r="E111" s="126">
        <v>7</v>
      </c>
      <c r="F111" s="125">
        <f>C111*EXP(2*E111/D111)</f>
        <v>239896725.77567202</v>
      </c>
      <c r="N111"/>
      <c r="O111"/>
      <c r="P111"/>
      <c r="Q111"/>
      <c r="R111"/>
      <c r="S111"/>
      <c r="T111"/>
      <c r="U111"/>
      <c r="V111"/>
      <c r="W111"/>
      <c r="X111"/>
      <c r="Y111"/>
      <c r="Z111"/>
      <c r="AA111"/>
    </row>
    <row r="112" spans="1:27" x14ac:dyDescent="0.3">
      <c r="B112" s="4" t="s">
        <v>303</v>
      </c>
      <c r="C112" s="125">
        <f ca="1">M95</f>
        <v>29465241.659801893</v>
      </c>
      <c r="D112" s="126">
        <v>28</v>
      </c>
      <c r="E112" s="126">
        <v>13</v>
      </c>
      <c r="F112" s="125">
        <f ca="1">C112*EXP(2*E112/D112)</f>
        <v>74573315.9675017</v>
      </c>
      <c r="N112"/>
      <c r="O112"/>
      <c r="P112"/>
      <c r="Q112"/>
      <c r="R112"/>
      <c r="S112"/>
      <c r="T112"/>
      <c r="U112"/>
      <c r="V112"/>
      <c r="W112"/>
      <c r="X112"/>
      <c r="Y112"/>
      <c r="Z112"/>
      <c r="AA112"/>
    </row>
    <row r="113" spans="1:27" x14ac:dyDescent="0.3">
      <c r="N113"/>
      <c r="O113"/>
      <c r="P113"/>
      <c r="Q113"/>
      <c r="R113"/>
      <c r="S113"/>
      <c r="T113"/>
      <c r="U113"/>
      <c r="V113"/>
      <c r="W113"/>
      <c r="X113"/>
      <c r="Y113"/>
      <c r="Z113"/>
      <c r="AA113"/>
    </row>
    <row r="114" spans="1:27" x14ac:dyDescent="0.3">
      <c r="A114" s="7" t="s">
        <v>4</v>
      </c>
      <c r="B114" s="7" t="s">
        <v>91</v>
      </c>
      <c r="C114" s="7"/>
      <c r="D114" s="7"/>
      <c r="E114" s="7"/>
      <c r="F114" s="7"/>
      <c r="G114" s="7"/>
      <c r="H114" s="7"/>
      <c r="I114" s="8"/>
      <c r="J114" s="8"/>
      <c r="K114" s="8"/>
      <c r="L114" s="8"/>
      <c r="M114" s="8"/>
      <c r="N114"/>
      <c r="O114"/>
      <c r="P114"/>
      <c r="Q114"/>
      <c r="R114"/>
      <c r="S114"/>
      <c r="T114"/>
      <c r="U114"/>
      <c r="V114"/>
      <c r="W114"/>
      <c r="X114"/>
      <c r="Y114"/>
      <c r="Z114"/>
      <c r="AA114"/>
    </row>
    <row r="115" spans="1:27" ht="16.2" x14ac:dyDescent="0.35">
      <c r="A115" s="9"/>
      <c r="B115" s="9" t="s">
        <v>1</v>
      </c>
      <c r="C115" s="9"/>
      <c r="D115" s="11"/>
      <c r="E115" s="11"/>
      <c r="F115" s="7"/>
      <c r="G115" s="7"/>
      <c r="H115" s="7"/>
      <c r="I115" s="8"/>
      <c r="J115" s="8"/>
      <c r="K115" s="8"/>
      <c r="L115" s="8"/>
      <c r="M115" s="8"/>
      <c r="N115"/>
      <c r="O115"/>
      <c r="P115"/>
      <c r="Q115"/>
      <c r="R115"/>
      <c r="S115"/>
      <c r="T115"/>
      <c r="U115"/>
      <c r="V115"/>
      <c r="W115"/>
      <c r="X115"/>
      <c r="Y115"/>
      <c r="Z115"/>
      <c r="AA115"/>
    </row>
    <row r="116" spans="1:27" x14ac:dyDescent="0.3">
      <c r="N116"/>
      <c r="O116"/>
      <c r="P116"/>
      <c r="Q116"/>
      <c r="R116"/>
      <c r="S116"/>
      <c r="T116"/>
      <c r="U116"/>
      <c r="V116"/>
      <c r="W116"/>
      <c r="X116"/>
      <c r="Y116"/>
      <c r="Z116"/>
      <c r="AA116"/>
    </row>
    <row r="117" spans="1:27" x14ac:dyDescent="0.3">
      <c r="B117" s="4" t="s">
        <v>307</v>
      </c>
      <c r="N117"/>
      <c r="O117"/>
      <c r="P117"/>
      <c r="Q117"/>
      <c r="R117"/>
      <c r="S117"/>
      <c r="T117"/>
      <c r="U117"/>
      <c r="V117"/>
      <c r="W117"/>
      <c r="X117"/>
      <c r="Y117"/>
      <c r="Z117"/>
      <c r="AA117"/>
    </row>
    <row r="118" spans="1:27" x14ac:dyDescent="0.3">
      <c r="B118" s="4" t="s">
        <v>308</v>
      </c>
      <c r="N118"/>
      <c r="O118"/>
      <c r="P118"/>
      <c r="Q118"/>
      <c r="R118"/>
      <c r="S118"/>
      <c r="T118"/>
      <c r="U118"/>
      <c r="V118"/>
      <c r="W118"/>
      <c r="X118"/>
      <c r="Y118"/>
      <c r="Z118"/>
      <c r="AA118"/>
    </row>
    <row r="119" spans="1:27" x14ac:dyDescent="0.3">
      <c r="N119"/>
      <c r="O119"/>
      <c r="P119"/>
      <c r="Q119"/>
      <c r="R119"/>
      <c r="S119"/>
      <c r="T119"/>
      <c r="U119"/>
      <c r="V119"/>
      <c r="W119"/>
      <c r="X119"/>
      <c r="Y119"/>
      <c r="Z119"/>
      <c r="AA119"/>
    </row>
    <row r="120" spans="1:27" x14ac:dyDescent="0.3">
      <c r="N120"/>
      <c r="O120"/>
      <c r="P120"/>
      <c r="Q120"/>
      <c r="R120"/>
      <c r="S120"/>
      <c r="T120"/>
      <c r="U120"/>
      <c r="V120"/>
      <c r="W120"/>
      <c r="X120"/>
      <c r="Y120"/>
      <c r="Z120"/>
      <c r="AA120"/>
    </row>
    <row r="121" spans="1:27" x14ac:dyDescent="0.3">
      <c r="N121"/>
      <c r="O121"/>
      <c r="P121"/>
      <c r="Q121"/>
      <c r="R121"/>
      <c r="S121"/>
      <c r="T121"/>
      <c r="U121"/>
      <c r="V121"/>
      <c r="W121"/>
      <c r="X121"/>
      <c r="Y121"/>
      <c r="Z121"/>
      <c r="AA121"/>
    </row>
    <row r="122" spans="1:27" x14ac:dyDescent="0.3">
      <c r="N122"/>
      <c r="O122"/>
      <c r="P122"/>
      <c r="Q122"/>
      <c r="R122"/>
      <c r="S122"/>
      <c r="T122"/>
      <c r="U122"/>
      <c r="V122"/>
      <c r="W122"/>
      <c r="X122"/>
      <c r="Y122"/>
      <c r="Z122"/>
      <c r="AA122"/>
    </row>
    <row r="123" spans="1:27" x14ac:dyDescent="0.3">
      <c r="N123"/>
      <c r="O123"/>
      <c r="P123"/>
      <c r="Q123"/>
      <c r="R123"/>
      <c r="S123"/>
      <c r="T123"/>
      <c r="U123"/>
      <c r="V123"/>
      <c r="W123"/>
      <c r="X123"/>
      <c r="Y123"/>
      <c r="Z123"/>
      <c r="AA123"/>
    </row>
    <row r="124" spans="1:27" x14ac:dyDescent="0.3">
      <c r="N124"/>
      <c r="O124"/>
      <c r="P124"/>
      <c r="Q124"/>
      <c r="R124"/>
      <c r="S124"/>
      <c r="T124"/>
      <c r="U124"/>
      <c r="V124"/>
      <c r="W124"/>
      <c r="X124"/>
      <c r="Y124"/>
      <c r="Z124"/>
      <c r="AA124"/>
    </row>
    <row r="125" spans="1:27" x14ac:dyDescent="0.3">
      <c r="N125"/>
      <c r="O125"/>
      <c r="P125"/>
      <c r="Q125"/>
      <c r="R125"/>
      <c r="S125"/>
      <c r="T125"/>
      <c r="U125"/>
      <c r="V125"/>
      <c r="W125"/>
      <c r="X125"/>
      <c r="Y125"/>
      <c r="Z125"/>
      <c r="AA125"/>
    </row>
    <row r="126" spans="1:27" x14ac:dyDescent="0.3">
      <c r="N126"/>
      <c r="O126"/>
      <c r="P126"/>
      <c r="Q126"/>
      <c r="R126"/>
      <c r="S126"/>
      <c r="T126"/>
      <c r="U126"/>
      <c r="V126"/>
      <c r="W126"/>
      <c r="X126"/>
      <c r="Y126"/>
      <c r="Z126"/>
      <c r="AA126"/>
    </row>
    <row r="127" spans="1:27" x14ac:dyDescent="0.3">
      <c r="N127"/>
      <c r="O127"/>
      <c r="P127"/>
      <c r="Q127"/>
      <c r="R127"/>
      <c r="S127"/>
      <c r="T127"/>
      <c r="U127"/>
      <c r="V127"/>
      <c r="W127"/>
      <c r="X127"/>
      <c r="Y127"/>
      <c r="Z127"/>
      <c r="AA127"/>
    </row>
    <row r="128" spans="1:27" x14ac:dyDescent="0.3">
      <c r="N128"/>
      <c r="O128"/>
      <c r="P128"/>
      <c r="Q128"/>
      <c r="R128"/>
      <c r="S128"/>
      <c r="T128"/>
      <c r="U128"/>
      <c r="V128"/>
      <c r="W128"/>
      <c r="X128"/>
      <c r="Y128"/>
      <c r="Z128"/>
      <c r="AA128"/>
    </row>
    <row r="129" spans="14:27" x14ac:dyDescent="0.3">
      <c r="N129"/>
      <c r="O129"/>
      <c r="P129"/>
      <c r="Q129"/>
      <c r="R129"/>
      <c r="S129"/>
      <c r="T129"/>
      <c r="U129"/>
      <c r="V129"/>
      <c r="W129"/>
      <c r="X129"/>
      <c r="Y129"/>
      <c r="Z129"/>
      <c r="AA129"/>
    </row>
    <row r="130" spans="14:27" x14ac:dyDescent="0.3">
      <c r="N130"/>
      <c r="O130"/>
      <c r="P130"/>
      <c r="Q130"/>
      <c r="R130"/>
      <c r="S130"/>
      <c r="T130"/>
      <c r="U130"/>
      <c r="V130"/>
      <c r="W130"/>
      <c r="X130"/>
      <c r="Y130"/>
      <c r="Z130"/>
      <c r="AA130"/>
    </row>
    <row r="131" spans="14:27" x14ac:dyDescent="0.3">
      <c r="N131"/>
      <c r="O131"/>
      <c r="P131"/>
      <c r="Q131"/>
      <c r="R131"/>
      <c r="S131"/>
      <c r="T131"/>
      <c r="U131"/>
      <c r="V131"/>
      <c r="W131"/>
      <c r="X131"/>
      <c r="Y131"/>
      <c r="Z131"/>
      <c r="AA131"/>
    </row>
    <row r="132" spans="14:27" x14ac:dyDescent="0.3">
      <c r="N132"/>
      <c r="O132"/>
      <c r="P132"/>
      <c r="Q132"/>
      <c r="R132"/>
      <c r="S132"/>
      <c r="T132"/>
      <c r="U132"/>
      <c r="V132"/>
      <c r="W132"/>
      <c r="X132"/>
      <c r="Y132"/>
      <c r="Z132"/>
      <c r="AA132"/>
    </row>
    <row r="133" spans="14:27" x14ac:dyDescent="0.3">
      <c r="N133"/>
      <c r="O133"/>
      <c r="P133"/>
      <c r="Q133"/>
      <c r="R133"/>
      <c r="S133"/>
      <c r="T133"/>
      <c r="U133"/>
      <c r="V133"/>
      <c r="W133"/>
      <c r="X133"/>
      <c r="Y133"/>
      <c r="Z133"/>
      <c r="AA133"/>
    </row>
    <row r="134" spans="14:27" x14ac:dyDescent="0.3">
      <c r="N134"/>
      <c r="O134"/>
      <c r="P134"/>
      <c r="Q134"/>
      <c r="R134"/>
      <c r="S134"/>
      <c r="T134"/>
      <c r="U134"/>
      <c r="V134"/>
      <c r="W134"/>
      <c r="X134"/>
      <c r="Y134"/>
      <c r="Z134"/>
      <c r="AA134"/>
    </row>
    <row r="135" spans="14:27" x14ac:dyDescent="0.3">
      <c r="N135"/>
      <c r="O135"/>
      <c r="P135"/>
      <c r="Q135"/>
      <c r="R135"/>
      <c r="S135"/>
      <c r="T135"/>
      <c r="U135"/>
      <c r="V135"/>
      <c r="W135"/>
      <c r="X135"/>
      <c r="Y135"/>
      <c r="Z135"/>
      <c r="AA135"/>
    </row>
    <row r="136" spans="14:27" x14ac:dyDescent="0.3">
      <c r="N136"/>
      <c r="O136"/>
      <c r="P136"/>
      <c r="Q136"/>
      <c r="R136"/>
      <c r="S136"/>
      <c r="T136"/>
      <c r="U136"/>
      <c r="V136"/>
      <c r="W136"/>
      <c r="X136"/>
      <c r="Y136"/>
      <c r="Z136"/>
      <c r="AA136"/>
    </row>
    <row r="137" spans="14:27" x14ac:dyDescent="0.3">
      <c r="N137"/>
      <c r="O137"/>
      <c r="P137"/>
      <c r="Q137"/>
      <c r="R137"/>
      <c r="S137"/>
      <c r="T137"/>
      <c r="U137"/>
      <c r="V137"/>
      <c r="W137"/>
      <c r="X137"/>
      <c r="Y137"/>
      <c r="Z137"/>
      <c r="AA137"/>
    </row>
    <row r="138" spans="14:27" x14ac:dyDescent="0.3">
      <c r="N138"/>
      <c r="O138"/>
      <c r="P138"/>
      <c r="Q138"/>
      <c r="R138"/>
      <c r="S138"/>
      <c r="T138"/>
      <c r="U138"/>
      <c r="V138"/>
      <c r="W138"/>
      <c r="X138"/>
      <c r="Y138"/>
      <c r="Z138"/>
      <c r="AA138"/>
    </row>
    <row r="139" spans="14:27" x14ac:dyDescent="0.3">
      <c r="N139"/>
      <c r="O139"/>
      <c r="P139"/>
      <c r="Q139"/>
      <c r="R139"/>
      <c r="S139"/>
      <c r="T139"/>
      <c r="U139"/>
      <c r="V139"/>
      <c r="W139"/>
      <c r="X139"/>
      <c r="Y139"/>
      <c r="Z139"/>
      <c r="AA139"/>
    </row>
    <row r="140" spans="14:27" x14ac:dyDescent="0.3">
      <c r="N140"/>
      <c r="O140"/>
      <c r="P140"/>
      <c r="Q140"/>
      <c r="R140"/>
      <c r="S140"/>
      <c r="T140"/>
      <c r="U140"/>
      <c r="V140"/>
      <c r="W140"/>
      <c r="X140"/>
      <c r="Y140"/>
      <c r="Z140"/>
      <c r="AA140"/>
    </row>
    <row r="141" spans="14:27" x14ac:dyDescent="0.3">
      <c r="N141"/>
      <c r="O141"/>
      <c r="P141"/>
      <c r="Q141"/>
      <c r="R141"/>
      <c r="S141"/>
      <c r="T141"/>
      <c r="U141"/>
      <c r="V141"/>
      <c r="W141"/>
      <c r="X141"/>
      <c r="Y141"/>
      <c r="Z141"/>
      <c r="AA141"/>
    </row>
    <row r="142" spans="14:27" x14ac:dyDescent="0.3">
      <c r="N142"/>
      <c r="O142"/>
      <c r="P142"/>
      <c r="Q142"/>
      <c r="R142"/>
      <c r="S142"/>
      <c r="T142"/>
      <c r="U142"/>
      <c r="V142"/>
      <c r="W142"/>
      <c r="X142"/>
      <c r="Y142"/>
      <c r="Z142"/>
      <c r="AA142"/>
    </row>
    <row r="143" spans="14:27" x14ac:dyDescent="0.3">
      <c r="N143"/>
      <c r="O143"/>
      <c r="P143"/>
      <c r="Q143"/>
      <c r="R143"/>
      <c r="S143"/>
      <c r="T143"/>
      <c r="U143"/>
      <c r="V143"/>
      <c r="W143"/>
      <c r="X143"/>
      <c r="Y143"/>
      <c r="Z143"/>
      <c r="AA143"/>
    </row>
    <row r="144" spans="14:27" x14ac:dyDescent="0.3">
      <c r="N144"/>
      <c r="O144"/>
      <c r="P144"/>
      <c r="Q144"/>
      <c r="R144"/>
      <c r="S144"/>
      <c r="T144"/>
      <c r="U144"/>
      <c r="V144"/>
      <c r="W144"/>
      <c r="X144"/>
      <c r="Y144"/>
      <c r="Z144"/>
      <c r="AA144"/>
    </row>
    <row r="145" spans="14:27" x14ac:dyDescent="0.3">
      <c r="N145"/>
      <c r="O145"/>
      <c r="P145"/>
      <c r="Q145"/>
      <c r="R145"/>
      <c r="S145"/>
      <c r="T145"/>
      <c r="U145"/>
      <c r="V145"/>
      <c r="W145"/>
      <c r="X145"/>
      <c r="Y145"/>
      <c r="Z145"/>
      <c r="AA145"/>
    </row>
    <row r="146" spans="14:27" x14ac:dyDescent="0.3">
      <c r="N146"/>
      <c r="O146"/>
      <c r="P146"/>
      <c r="Q146"/>
      <c r="R146"/>
      <c r="S146"/>
      <c r="T146"/>
      <c r="U146"/>
      <c r="V146"/>
      <c r="W146"/>
      <c r="X146"/>
      <c r="Y146"/>
      <c r="Z146"/>
      <c r="AA146"/>
    </row>
    <row r="147" spans="14:27" x14ac:dyDescent="0.3">
      <c r="N147"/>
      <c r="O147"/>
      <c r="P147"/>
      <c r="Q147"/>
      <c r="R147"/>
      <c r="S147"/>
      <c r="T147"/>
      <c r="U147"/>
      <c r="V147"/>
      <c r="W147"/>
      <c r="X147"/>
      <c r="Y147"/>
      <c r="Z147"/>
      <c r="AA147"/>
    </row>
    <row r="148" spans="14:27" x14ac:dyDescent="0.3">
      <c r="N148"/>
      <c r="O148"/>
      <c r="P148"/>
      <c r="Q148"/>
      <c r="R148"/>
      <c r="S148"/>
      <c r="T148"/>
      <c r="U148"/>
      <c r="V148"/>
      <c r="W148"/>
      <c r="X148"/>
      <c r="Y148"/>
      <c r="Z148"/>
      <c r="AA148"/>
    </row>
    <row r="149" spans="14:27" x14ac:dyDescent="0.3">
      <c r="N149"/>
      <c r="O149"/>
      <c r="P149"/>
      <c r="Q149"/>
      <c r="R149"/>
      <c r="S149"/>
      <c r="T149"/>
      <c r="U149"/>
      <c r="V149"/>
      <c r="W149"/>
      <c r="X149"/>
      <c r="Y149"/>
      <c r="Z149"/>
      <c r="AA149"/>
    </row>
    <row r="150" spans="14:27" x14ac:dyDescent="0.3">
      <c r="N150"/>
      <c r="O150"/>
      <c r="P150"/>
      <c r="Q150"/>
      <c r="R150"/>
      <c r="S150"/>
      <c r="T150"/>
      <c r="U150"/>
      <c r="V150"/>
      <c r="W150"/>
      <c r="X150"/>
      <c r="Y150"/>
      <c r="Z150"/>
      <c r="AA150"/>
    </row>
    <row r="151" spans="14:27" x14ac:dyDescent="0.3">
      <c r="N151"/>
      <c r="O151"/>
      <c r="P151"/>
      <c r="Q151"/>
      <c r="R151"/>
      <c r="S151"/>
      <c r="T151"/>
      <c r="U151"/>
      <c r="V151"/>
      <c r="W151"/>
      <c r="X151"/>
      <c r="Y151"/>
      <c r="Z151"/>
      <c r="AA151"/>
    </row>
    <row r="152" spans="14:27" x14ac:dyDescent="0.3">
      <c r="N152"/>
      <c r="O152"/>
      <c r="P152"/>
      <c r="Q152"/>
      <c r="R152"/>
      <c r="S152"/>
      <c r="T152"/>
      <c r="U152"/>
      <c r="V152"/>
      <c r="W152"/>
      <c r="X152"/>
      <c r="Y152"/>
      <c r="Z152"/>
      <c r="AA152"/>
    </row>
    <row r="153" spans="14:27" x14ac:dyDescent="0.3">
      <c r="N153"/>
      <c r="O153"/>
      <c r="P153"/>
      <c r="Q153"/>
      <c r="R153"/>
      <c r="S153"/>
      <c r="T153"/>
      <c r="U153"/>
      <c r="V153"/>
      <c r="W153"/>
      <c r="X153"/>
      <c r="Y153"/>
      <c r="Z153"/>
      <c r="AA153"/>
    </row>
    <row r="154" spans="14:27" x14ac:dyDescent="0.3">
      <c r="N154"/>
      <c r="O154"/>
      <c r="P154"/>
      <c r="Q154"/>
      <c r="R154"/>
      <c r="S154"/>
      <c r="T154"/>
      <c r="U154"/>
      <c r="V154"/>
      <c r="W154"/>
      <c r="X154"/>
      <c r="Y154"/>
      <c r="Z154"/>
      <c r="AA154"/>
    </row>
    <row r="155" spans="14:27" x14ac:dyDescent="0.3">
      <c r="N155"/>
      <c r="O155"/>
      <c r="P155"/>
      <c r="Q155"/>
      <c r="R155"/>
      <c r="S155"/>
      <c r="T155"/>
      <c r="U155"/>
      <c r="V155"/>
      <c r="W155"/>
      <c r="X155"/>
      <c r="Y155"/>
      <c r="Z155"/>
      <c r="AA155"/>
    </row>
    <row r="156" spans="14:27" x14ac:dyDescent="0.3">
      <c r="N156"/>
      <c r="O156"/>
      <c r="P156"/>
      <c r="Q156"/>
      <c r="R156"/>
      <c r="S156"/>
      <c r="T156"/>
      <c r="U156"/>
      <c r="V156"/>
      <c r="W156"/>
      <c r="X156"/>
      <c r="Y156"/>
      <c r="Z156"/>
      <c r="AA156"/>
    </row>
    <row r="157" spans="14:27" x14ac:dyDescent="0.3">
      <c r="N157"/>
      <c r="O157"/>
      <c r="P157"/>
      <c r="Q157"/>
      <c r="R157"/>
      <c r="S157"/>
      <c r="T157"/>
      <c r="U157"/>
      <c r="V157"/>
      <c r="W157"/>
      <c r="X157"/>
      <c r="Y157"/>
      <c r="Z157"/>
      <c r="AA157"/>
    </row>
    <row r="158" spans="14:27" x14ac:dyDescent="0.3">
      <c r="N158"/>
      <c r="O158"/>
      <c r="P158"/>
      <c r="Q158"/>
      <c r="R158"/>
      <c r="S158"/>
      <c r="T158"/>
      <c r="U158"/>
      <c r="V158"/>
      <c r="W158"/>
      <c r="X158"/>
      <c r="Y158"/>
      <c r="Z158"/>
      <c r="AA158"/>
    </row>
    <row r="159" spans="14:27" x14ac:dyDescent="0.3">
      <c r="N159"/>
      <c r="O159"/>
      <c r="P159"/>
      <c r="Q159"/>
      <c r="R159"/>
      <c r="S159"/>
      <c r="T159"/>
      <c r="U159"/>
      <c r="V159"/>
      <c r="W159"/>
      <c r="X159"/>
      <c r="Y159"/>
      <c r="Z159"/>
      <c r="AA159"/>
    </row>
    <row r="160" spans="14:27" x14ac:dyDescent="0.3">
      <c r="N160"/>
      <c r="O160"/>
      <c r="P160"/>
      <c r="Q160"/>
      <c r="R160"/>
      <c r="S160"/>
      <c r="T160"/>
      <c r="U160"/>
      <c r="V160"/>
      <c r="W160"/>
      <c r="X160"/>
      <c r="Y160"/>
      <c r="Z160"/>
      <c r="AA160"/>
    </row>
    <row r="161" spans="14:27" x14ac:dyDescent="0.3">
      <c r="N161"/>
      <c r="O161"/>
      <c r="P161"/>
      <c r="Q161"/>
      <c r="R161"/>
      <c r="S161"/>
      <c r="T161"/>
      <c r="U161"/>
      <c r="V161"/>
      <c r="W161"/>
      <c r="X161"/>
      <c r="Y161"/>
      <c r="Z161"/>
      <c r="AA161"/>
    </row>
    <row r="162" spans="14:27" x14ac:dyDescent="0.3">
      <c r="N162"/>
      <c r="O162"/>
      <c r="P162"/>
      <c r="Q162"/>
      <c r="R162"/>
      <c r="S162"/>
      <c r="T162"/>
      <c r="U162"/>
      <c r="V162"/>
      <c r="W162"/>
      <c r="X162"/>
      <c r="Y162"/>
      <c r="Z162"/>
      <c r="AA162"/>
    </row>
    <row r="163" spans="14:27" x14ac:dyDescent="0.3">
      <c r="N163"/>
      <c r="O163"/>
      <c r="P163"/>
      <c r="Q163"/>
      <c r="R163"/>
      <c r="S163"/>
      <c r="T163"/>
      <c r="U163"/>
      <c r="V163"/>
      <c r="W163"/>
      <c r="X163"/>
      <c r="Y163"/>
      <c r="Z163"/>
      <c r="AA163"/>
    </row>
    <row r="164" spans="14:27" x14ac:dyDescent="0.3">
      <c r="N164"/>
      <c r="O164"/>
      <c r="P164"/>
      <c r="Q164"/>
      <c r="R164"/>
      <c r="S164"/>
      <c r="T164"/>
      <c r="U164"/>
      <c r="V164"/>
      <c r="W164"/>
      <c r="X164"/>
      <c r="Y164"/>
      <c r="Z164"/>
      <c r="AA164"/>
    </row>
    <row r="165" spans="14:27" x14ac:dyDescent="0.3">
      <c r="N165"/>
      <c r="O165"/>
      <c r="P165"/>
      <c r="Q165"/>
      <c r="R165"/>
      <c r="S165"/>
      <c r="T165"/>
      <c r="U165"/>
      <c r="V165"/>
      <c r="W165"/>
      <c r="X165"/>
      <c r="Y165"/>
      <c r="Z165"/>
      <c r="AA165"/>
    </row>
    <row r="166" spans="14:27" x14ac:dyDescent="0.3">
      <c r="N166"/>
      <c r="O166"/>
      <c r="P166"/>
      <c r="Q166"/>
      <c r="R166"/>
      <c r="S166"/>
      <c r="T166"/>
      <c r="U166"/>
      <c r="V166"/>
      <c r="W166"/>
      <c r="X166"/>
      <c r="Y166"/>
      <c r="Z166"/>
      <c r="AA166"/>
    </row>
    <row r="167" spans="14:27" x14ac:dyDescent="0.3">
      <c r="N167"/>
      <c r="O167"/>
      <c r="P167"/>
      <c r="Q167"/>
      <c r="R167"/>
      <c r="S167"/>
      <c r="T167"/>
      <c r="U167"/>
      <c r="V167"/>
      <c r="W167"/>
      <c r="X167"/>
      <c r="Y167"/>
      <c r="Z167"/>
      <c r="AA167"/>
    </row>
    <row r="168" spans="14:27" x14ac:dyDescent="0.3">
      <c r="N168"/>
      <c r="O168"/>
      <c r="P168"/>
      <c r="Q168"/>
      <c r="R168"/>
      <c r="S168"/>
      <c r="T168"/>
      <c r="U168"/>
      <c r="V168"/>
      <c r="W168"/>
      <c r="X168"/>
      <c r="Y168"/>
      <c r="Z168"/>
      <c r="AA168"/>
    </row>
    <row r="169" spans="14:27" x14ac:dyDescent="0.3">
      <c r="N169"/>
      <c r="O169"/>
      <c r="P169"/>
      <c r="Q169"/>
      <c r="R169"/>
      <c r="S169"/>
      <c r="T169"/>
      <c r="U169"/>
      <c r="V169"/>
      <c r="W169"/>
      <c r="X169"/>
      <c r="Y169"/>
      <c r="Z169"/>
      <c r="AA169"/>
    </row>
    <row r="170" spans="14:27" x14ac:dyDescent="0.3">
      <c r="N170"/>
      <c r="O170"/>
      <c r="P170"/>
      <c r="Q170"/>
      <c r="R170"/>
      <c r="S170"/>
      <c r="T170"/>
      <c r="U170"/>
      <c r="V170"/>
      <c r="W170"/>
      <c r="X170"/>
      <c r="Y170"/>
      <c r="Z170"/>
      <c r="AA170"/>
    </row>
    <row r="171" spans="14:27" x14ac:dyDescent="0.3">
      <c r="N171"/>
      <c r="O171"/>
      <c r="P171"/>
      <c r="Q171"/>
      <c r="R171"/>
      <c r="S171"/>
      <c r="T171"/>
      <c r="U171"/>
      <c r="V171"/>
      <c r="W171"/>
      <c r="X171"/>
      <c r="Y171"/>
      <c r="Z171"/>
      <c r="AA171"/>
    </row>
    <row r="172" spans="14:27" x14ac:dyDescent="0.3">
      <c r="N172"/>
      <c r="O172"/>
      <c r="P172"/>
      <c r="Q172"/>
      <c r="R172"/>
      <c r="S172"/>
      <c r="T172"/>
      <c r="U172"/>
      <c r="V172"/>
      <c r="W172"/>
      <c r="X172"/>
      <c r="Y172"/>
      <c r="Z172"/>
      <c r="AA172"/>
    </row>
    <row r="173" spans="14:27" x14ac:dyDescent="0.3">
      <c r="N173"/>
      <c r="O173"/>
      <c r="P173"/>
      <c r="Q173"/>
      <c r="R173"/>
      <c r="S173"/>
      <c r="T173"/>
      <c r="U173"/>
      <c r="V173"/>
      <c r="W173"/>
      <c r="X173"/>
      <c r="Y173"/>
      <c r="Z173"/>
      <c r="AA173"/>
    </row>
    <row r="174" spans="14:27" x14ac:dyDescent="0.3">
      <c r="N174"/>
      <c r="O174"/>
      <c r="P174"/>
      <c r="Q174"/>
      <c r="R174"/>
      <c r="S174"/>
      <c r="T174"/>
      <c r="U174"/>
      <c r="V174"/>
      <c r="W174"/>
      <c r="X174"/>
      <c r="Y174"/>
      <c r="Z174"/>
      <c r="AA174"/>
    </row>
    <row r="175" spans="14:27" x14ac:dyDescent="0.3">
      <c r="N175"/>
      <c r="O175"/>
      <c r="P175"/>
      <c r="Q175"/>
      <c r="R175"/>
      <c r="S175"/>
      <c r="T175"/>
      <c r="U175"/>
      <c r="V175"/>
      <c r="W175"/>
      <c r="X175"/>
      <c r="Y175"/>
      <c r="Z175"/>
      <c r="AA175"/>
    </row>
    <row r="176" spans="14:27" x14ac:dyDescent="0.3">
      <c r="N176"/>
      <c r="O176"/>
      <c r="P176"/>
      <c r="Q176"/>
      <c r="R176"/>
      <c r="S176"/>
      <c r="T176"/>
      <c r="U176"/>
      <c r="V176"/>
      <c r="W176"/>
      <c r="X176"/>
      <c r="Y176"/>
      <c r="Z176"/>
      <c r="AA176"/>
    </row>
    <row r="177" spans="1:27" x14ac:dyDescent="0.3">
      <c r="N177"/>
      <c r="O177"/>
      <c r="P177"/>
      <c r="Q177"/>
      <c r="R177"/>
      <c r="S177"/>
      <c r="T177"/>
      <c r="U177"/>
      <c r="V177"/>
      <c r="W177"/>
      <c r="X177"/>
      <c r="Y177"/>
      <c r="Z177"/>
      <c r="AA177"/>
    </row>
    <row r="178" spans="1:27" x14ac:dyDescent="0.3">
      <c r="N178"/>
      <c r="O178"/>
      <c r="P178"/>
      <c r="Q178"/>
      <c r="R178"/>
      <c r="S178"/>
      <c r="T178"/>
      <c r="U178"/>
      <c r="V178"/>
      <c r="W178"/>
      <c r="X178"/>
      <c r="Y178"/>
      <c r="Z178"/>
      <c r="AA178"/>
    </row>
    <row r="179" spans="1:27" x14ac:dyDescent="0.3">
      <c r="N179"/>
      <c r="O179"/>
      <c r="P179"/>
      <c r="Q179"/>
      <c r="R179"/>
      <c r="S179"/>
      <c r="T179"/>
      <c r="U179"/>
      <c r="V179"/>
      <c r="W179"/>
      <c r="X179"/>
      <c r="Y179"/>
      <c r="Z179"/>
      <c r="AA179"/>
    </row>
    <row r="180" spans="1:27" x14ac:dyDescent="0.3">
      <c r="N180"/>
      <c r="O180"/>
      <c r="P180"/>
      <c r="Q180"/>
      <c r="R180"/>
      <c r="S180"/>
      <c r="T180"/>
      <c r="U180"/>
      <c r="V180"/>
      <c r="W180"/>
      <c r="X180"/>
      <c r="Y180"/>
      <c r="Z180"/>
      <c r="AA180"/>
    </row>
    <row r="181" spans="1:27" x14ac:dyDescent="0.3">
      <c r="N181"/>
      <c r="O181"/>
      <c r="P181"/>
      <c r="Q181"/>
      <c r="R181"/>
      <c r="S181"/>
      <c r="T181"/>
      <c r="U181"/>
      <c r="V181"/>
      <c r="W181"/>
      <c r="X181"/>
      <c r="Y181"/>
      <c r="Z181"/>
      <c r="AA181"/>
    </row>
    <row r="182" spans="1:27" x14ac:dyDescent="0.3">
      <c r="N182"/>
      <c r="O182"/>
      <c r="P182"/>
      <c r="Q182"/>
      <c r="R182"/>
      <c r="S182"/>
      <c r="T182"/>
      <c r="U182"/>
      <c r="V182"/>
      <c r="W182"/>
      <c r="X182"/>
      <c r="Y182"/>
      <c r="Z182"/>
      <c r="AA182"/>
    </row>
    <row r="189" spans="1:27" x14ac:dyDescent="0.3">
      <c r="A189"/>
      <c r="B189"/>
      <c r="C189"/>
      <c r="D189"/>
      <c r="E189"/>
      <c r="F189"/>
      <c r="G189"/>
      <c r="H189"/>
      <c r="I189"/>
      <c r="J189"/>
      <c r="K189"/>
      <c r="L189"/>
      <c r="M189"/>
    </row>
    <row r="190" spans="1:27" x14ac:dyDescent="0.3">
      <c r="A190"/>
      <c r="B190"/>
      <c r="C190"/>
      <c r="D190"/>
      <c r="E190"/>
      <c r="F190"/>
      <c r="G190"/>
      <c r="H190"/>
      <c r="I190"/>
      <c r="J190"/>
      <c r="K190"/>
      <c r="L190"/>
      <c r="M190"/>
    </row>
    <row r="191" spans="1:27" x14ac:dyDescent="0.3">
      <c r="A191"/>
      <c r="B191"/>
      <c r="C191"/>
      <c r="D191"/>
      <c r="E191"/>
      <c r="F191"/>
      <c r="G191"/>
      <c r="H191"/>
      <c r="I191"/>
      <c r="J191"/>
      <c r="K191"/>
      <c r="L191"/>
      <c r="M191"/>
    </row>
    <row r="192" spans="1:27" x14ac:dyDescent="0.3">
      <c r="A192"/>
      <c r="B192"/>
      <c r="C192"/>
      <c r="D192"/>
      <c r="E192"/>
      <c r="F192"/>
      <c r="G192"/>
      <c r="H192"/>
      <c r="I192"/>
      <c r="J192"/>
      <c r="K192"/>
      <c r="L192"/>
      <c r="M192"/>
    </row>
    <row r="193" spans="1:13" x14ac:dyDescent="0.3">
      <c r="A193"/>
      <c r="B193"/>
      <c r="C193"/>
      <c r="D193"/>
      <c r="E193"/>
      <c r="F193"/>
      <c r="G193"/>
      <c r="H193"/>
      <c r="I193"/>
      <c r="J193"/>
      <c r="K193"/>
      <c r="L193"/>
      <c r="M193"/>
    </row>
    <row r="194" spans="1:13" x14ac:dyDescent="0.3">
      <c r="A194"/>
      <c r="B194"/>
      <c r="C194"/>
      <c r="D194"/>
      <c r="E194"/>
      <c r="F194"/>
      <c r="G194"/>
      <c r="H194"/>
      <c r="I194"/>
      <c r="J194"/>
      <c r="K194"/>
      <c r="L194"/>
      <c r="M194"/>
    </row>
    <row r="195" spans="1:13" x14ac:dyDescent="0.3">
      <c r="A195"/>
      <c r="B195"/>
      <c r="C195"/>
      <c r="D195"/>
      <c r="E195"/>
      <c r="F195"/>
      <c r="G195"/>
      <c r="H195"/>
      <c r="I195"/>
      <c r="J195"/>
      <c r="K195"/>
      <c r="L195"/>
      <c r="M195"/>
    </row>
    <row r="196" spans="1:13" x14ac:dyDescent="0.3">
      <c r="A196"/>
      <c r="B196"/>
      <c r="C196"/>
      <c r="D196"/>
      <c r="E196"/>
      <c r="F196"/>
      <c r="G196"/>
      <c r="H196"/>
      <c r="I196"/>
      <c r="J196"/>
      <c r="K196"/>
      <c r="L196"/>
      <c r="M196"/>
    </row>
    <row r="197" spans="1:13" x14ac:dyDescent="0.3">
      <c r="A197"/>
      <c r="B197"/>
      <c r="C197"/>
      <c r="D197"/>
      <c r="E197"/>
      <c r="F197"/>
      <c r="G197"/>
      <c r="H197"/>
      <c r="I197"/>
      <c r="J197"/>
      <c r="K197"/>
      <c r="L197"/>
      <c r="M197"/>
    </row>
    <row r="198" spans="1:13" x14ac:dyDescent="0.3">
      <c r="A198"/>
      <c r="B198"/>
      <c r="C198"/>
      <c r="D198"/>
      <c r="E198"/>
      <c r="F198"/>
      <c r="G198"/>
      <c r="H198"/>
      <c r="I198"/>
      <c r="J198"/>
      <c r="K198"/>
      <c r="L198"/>
      <c r="M198"/>
    </row>
    <row r="199" spans="1:13" x14ac:dyDescent="0.3">
      <c r="A199"/>
      <c r="B199"/>
      <c r="C199"/>
      <c r="D199"/>
      <c r="E199"/>
      <c r="F199"/>
      <c r="G199"/>
      <c r="H199"/>
      <c r="I199"/>
      <c r="J199"/>
    </row>
    <row r="200" spans="1:13" x14ac:dyDescent="0.3">
      <c r="A200"/>
      <c r="B200"/>
      <c r="C200"/>
      <c r="D200"/>
      <c r="E200"/>
      <c r="F200"/>
      <c r="G200"/>
      <c r="H200"/>
      <c r="I200"/>
      <c r="J200"/>
    </row>
    <row r="201" spans="1:13" x14ac:dyDescent="0.3">
      <c r="A201"/>
      <c r="B201"/>
      <c r="C201"/>
      <c r="D201"/>
      <c r="E201"/>
      <c r="F201"/>
      <c r="G201"/>
      <c r="H201"/>
      <c r="I201"/>
      <c r="J201"/>
    </row>
    <row r="202" spans="1:13" x14ac:dyDescent="0.3">
      <c r="A202"/>
      <c r="B202"/>
      <c r="C202"/>
      <c r="D202"/>
      <c r="E202"/>
      <c r="F202"/>
      <c r="G202"/>
      <c r="H202"/>
      <c r="I202"/>
      <c r="J202"/>
    </row>
    <row r="203" spans="1:13" x14ac:dyDescent="0.3">
      <c r="A203"/>
      <c r="B203"/>
      <c r="C203"/>
      <c r="D203"/>
      <c r="E203"/>
      <c r="F203"/>
      <c r="G203"/>
      <c r="H203"/>
      <c r="I203"/>
      <c r="J203"/>
    </row>
    <row r="204" spans="1:13" x14ac:dyDescent="0.3">
      <c r="A204"/>
      <c r="B204"/>
      <c r="C204"/>
      <c r="D204"/>
      <c r="E204"/>
      <c r="F204"/>
      <c r="G204"/>
      <c r="H204"/>
      <c r="I204"/>
      <c r="J204"/>
    </row>
    <row r="205" spans="1:13" x14ac:dyDescent="0.3">
      <c r="A205"/>
      <c r="B205"/>
      <c r="C205"/>
      <c r="D205"/>
      <c r="E205"/>
      <c r="F205"/>
      <c r="G205"/>
      <c r="H205"/>
      <c r="I205"/>
      <c r="J205"/>
    </row>
    <row r="206" spans="1:13" x14ac:dyDescent="0.3">
      <c r="A206"/>
      <c r="B206"/>
      <c r="C206"/>
      <c r="D206"/>
      <c r="E206"/>
      <c r="F206"/>
      <c r="G206"/>
      <c r="H206"/>
      <c r="I206"/>
      <c r="J206"/>
    </row>
    <row r="207" spans="1:13" x14ac:dyDescent="0.3">
      <c r="A207"/>
      <c r="B207"/>
      <c r="C207"/>
      <c r="D207"/>
      <c r="E207"/>
      <c r="F207"/>
      <c r="G207"/>
      <c r="H207"/>
      <c r="I207"/>
      <c r="J207"/>
    </row>
    <row r="208" spans="1:13" x14ac:dyDescent="0.3">
      <c r="A208"/>
      <c r="B208"/>
      <c r="C208"/>
      <c r="D208"/>
      <c r="E208"/>
      <c r="F208"/>
      <c r="G208"/>
      <c r="H208"/>
      <c r="I208"/>
      <c r="J208"/>
    </row>
    <row r="209" spans="1:10" x14ac:dyDescent="0.3">
      <c r="A209"/>
      <c r="B209"/>
      <c r="C209"/>
      <c r="D209"/>
      <c r="E209"/>
      <c r="F209"/>
      <c r="G209"/>
      <c r="H209"/>
      <c r="I209"/>
      <c r="J209"/>
    </row>
    <row r="210" spans="1:10" x14ac:dyDescent="0.3">
      <c r="A210"/>
      <c r="B210"/>
      <c r="C210"/>
      <c r="D210"/>
      <c r="E210"/>
      <c r="F210"/>
      <c r="G210"/>
      <c r="H210"/>
      <c r="I210"/>
      <c r="J210"/>
    </row>
    <row r="211" spans="1:10" x14ac:dyDescent="0.3">
      <c r="A211"/>
      <c r="B211"/>
      <c r="C211"/>
      <c r="D211"/>
      <c r="E211"/>
      <c r="F211"/>
      <c r="G211"/>
      <c r="H211"/>
      <c r="I211"/>
      <c r="J211"/>
    </row>
    <row r="212" spans="1:10" x14ac:dyDescent="0.3">
      <c r="A212"/>
      <c r="B212"/>
      <c r="C212"/>
      <c r="D212"/>
      <c r="E212"/>
      <c r="F212"/>
      <c r="G212"/>
      <c r="H212"/>
      <c r="I212"/>
      <c r="J212"/>
    </row>
    <row r="213" spans="1:10" x14ac:dyDescent="0.3">
      <c r="A213"/>
      <c r="B213"/>
      <c r="C213"/>
      <c r="D213"/>
      <c r="E213"/>
      <c r="F213"/>
      <c r="G213"/>
      <c r="H213"/>
      <c r="I213"/>
      <c r="J213"/>
    </row>
    <row r="214" spans="1:10" x14ac:dyDescent="0.3">
      <c r="A214"/>
      <c r="B214"/>
      <c r="C214"/>
      <c r="D214"/>
      <c r="E214"/>
      <c r="F214"/>
      <c r="G214"/>
      <c r="H214"/>
      <c r="I214"/>
      <c r="J214"/>
    </row>
    <row r="215" spans="1:10" x14ac:dyDescent="0.3">
      <c r="A215"/>
      <c r="B215"/>
      <c r="C215"/>
      <c r="D215"/>
      <c r="E215"/>
      <c r="F215"/>
      <c r="G215"/>
      <c r="H215"/>
      <c r="I215"/>
      <c r="J215"/>
    </row>
    <row r="216" spans="1:10" x14ac:dyDescent="0.3">
      <c r="A216"/>
      <c r="B216"/>
      <c r="C216"/>
      <c r="D216"/>
      <c r="E216"/>
      <c r="F216"/>
      <c r="G216"/>
      <c r="H216"/>
      <c r="I216"/>
      <c r="J216"/>
    </row>
    <row r="217" spans="1:10" x14ac:dyDescent="0.3">
      <c r="A217"/>
      <c r="B217"/>
      <c r="C217"/>
      <c r="D217"/>
      <c r="E217"/>
      <c r="F217"/>
      <c r="G217"/>
      <c r="H217"/>
      <c r="I217"/>
      <c r="J217"/>
    </row>
    <row r="218" spans="1:10" x14ac:dyDescent="0.3">
      <c r="A218"/>
      <c r="B218"/>
      <c r="C218"/>
      <c r="D218"/>
      <c r="E218"/>
      <c r="F218"/>
      <c r="G218"/>
      <c r="H218"/>
      <c r="I218"/>
      <c r="J218"/>
    </row>
    <row r="219" spans="1:10" x14ac:dyDescent="0.3">
      <c r="A219"/>
      <c r="B219"/>
      <c r="C219"/>
      <c r="D219"/>
      <c r="E219"/>
      <c r="F219"/>
      <c r="G219"/>
      <c r="H219"/>
      <c r="I219"/>
      <c r="J219"/>
    </row>
    <row r="220" spans="1:10" x14ac:dyDescent="0.3">
      <c r="A220"/>
      <c r="B220"/>
      <c r="C220"/>
      <c r="D220"/>
      <c r="E220"/>
      <c r="F220"/>
      <c r="G220"/>
      <c r="H220"/>
      <c r="I220"/>
      <c r="J220"/>
    </row>
    <row r="221" spans="1:10" x14ac:dyDescent="0.3">
      <c r="A221"/>
      <c r="B221"/>
      <c r="C221"/>
      <c r="D221"/>
      <c r="E221"/>
      <c r="F221"/>
      <c r="G221"/>
      <c r="H221"/>
      <c r="I221"/>
      <c r="J221"/>
    </row>
    <row r="222" spans="1:10" x14ac:dyDescent="0.3">
      <c r="A222"/>
      <c r="B222"/>
      <c r="C222"/>
      <c r="D222"/>
      <c r="E222"/>
      <c r="F222"/>
      <c r="G222"/>
      <c r="H222"/>
      <c r="I222"/>
      <c r="J222"/>
    </row>
    <row r="223" spans="1:10" x14ac:dyDescent="0.3">
      <c r="A223"/>
      <c r="B223"/>
      <c r="C223"/>
      <c r="D223"/>
      <c r="E223"/>
      <c r="F223"/>
      <c r="G223"/>
      <c r="H223"/>
      <c r="I223"/>
      <c r="J223"/>
    </row>
    <row r="224" spans="1:10" x14ac:dyDescent="0.3">
      <c r="A224"/>
      <c r="B224"/>
      <c r="C224"/>
      <c r="D224"/>
      <c r="E224"/>
      <c r="F224"/>
      <c r="G224"/>
      <c r="H224"/>
      <c r="I224"/>
      <c r="J224"/>
    </row>
    <row r="225" spans="1:10" x14ac:dyDescent="0.3">
      <c r="A225"/>
      <c r="B225"/>
      <c r="C225"/>
      <c r="D225"/>
      <c r="E225"/>
      <c r="F225"/>
      <c r="G225"/>
      <c r="H225"/>
      <c r="I225"/>
      <c r="J225"/>
    </row>
    <row r="226" spans="1:10" x14ac:dyDescent="0.3">
      <c r="A226"/>
      <c r="B226"/>
      <c r="C226"/>
      <c r="D226"/>
      <c r="E226"/>
      <c r="F226"/>
      <c r="G226"/>
      <c r="H226"/>
      <c r="I226"/>
      <c r="J226"/>
    </row>
    <row r="227" spans="1:10" x14ac:dyDescent="0.3">
      <c r="A227"/>
      <c r="B227"/>
      <c r="C227"/>
      <c r="D227"/>
      <c r="E227"/>
      <c r="F227"/>
      <c r="G227"/>
      <c r="H227"/>
      <c r="I227"/>
      <c r="J227"/>
    </row>
    <row r="228" spans="1:10" x14ac:dyDescent="0.3">
      <c r="A228"/>
      <c r="B228"/>
      <c r="C228"/>
      <c r="D228"/>
      <c r="E228"/>
      <c r="F228"/>
      <c r="G228"/>
      <c r="H228"/>
      <c r="I228"/>
      <c r="J228"/>
    </row>
    <row r="229" spans="1:10" x14ac:dyDescent="0.3">
      <c r="A229"/>
      <c r="B229"/>
      <c r="C229"/>
      <c r="D229"/>
      <c r="E229"/>
      <c r="F229"/>
      <c r="G229"/>
      <c r="H229"/>
      <c r="I229"/>
      <c r="J229"/>
    </row>
    <row r="230" spans="1:10" x14ac:dyDescent="0.3">
      <c r="A230"/>
      <c r="B230"/>
      <c r="C230"/>
      <c r="D230"/>
      <c r="E230"/>
      <c r="F230"/>
      <c r="G230"/>
      <c r="H230"/>
      <c r="I230"/>
      <c r="J230"/>
    </row>
    <row r="231" spans="1:10" x14ac:dyDescent="0.3">
      <c r="A231"/>
      <c r="B231"/>
      <c r="C231"/>
      <c r="D231"/>
      <c r="E231"/>
      <c r="F231"/>
      <c r="G231"/>
      <c r="H231"/>
      <c r="I231"/>
      <c r="J231"/>
    </row>
    <row r="232" spans="1:10" x14ac:dyDescent="0.3">
      <c r="A232"/>
      <c r="B232"/>
      <c r="C232"/>
      <c r="D232"/>
      <c r="E232"/>
      <c r="F232"/>
      <c r="G232"/>
      <c r="H232"/>
      <c r="I232"/>
      <c r="J232"/>
    </row>
    <row r="233" spans="1:10" x14ac:dyDescent="0.3">
      <c r="A233"/>
      <c r="B233"/>
      <c r="C233"/>
      <c r="D233"/>
      <c r="E233"/>
      <c r="F233"/>
      <c r="G233"/>
      <c r="H233"/>
      <c r="I233"/>
      <c r="J233"/>
    </row>
    <row r="234" spans="1:10" x14ac:dyDescent="0.3">
      <c r="A234"/>
      <c r="B234"/>
      <c r="C234"/>
      <c r="D234"/>
      <c r="E234"/>
      <c r="F234"/>
      <c r="G234"/>
      <c r="H234"/>
      <c r="I234"/>
      <c r="J234"/>
    </row>
    <row r="235" spans="1:10" x14ac:dyDescent="0.3">
      <c r="A235"/>
      <c r="B235"/>
      <c r="C235"/>
      <c r="D235"/>
      <c r="E235"/>
      <c r="F235"/>
      <c r="G235"/>
      <c r="H235"/>
      <c r="I235"/>
      <c r="J235"/>
    </row>
  </sheetData>
  <mergeCells count="6">
    <mergeCell ref="C38:J38"/>
    <mergeCell ref="A3:M3"/>
    <mergeCell ref="A4:M4"/>
    <mergeCell ref="C6:J6"/>
    <mergeCell ref="B23:M23"/>
    <mergeCell ref="C26:J26"/>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00DF-3779-4CF2-AFD1-54903BBF2CCD}">
  <dimension ref="A1:AN80"/>
  <sheetViews>
    <sheetView zoomScaleNormal="100" workbookViewId="0"/>
  </sheetViews>
  <sheetFormatPr defaultColWidth="9.109375" defaultRowHeight="15.6" x14ac:dyDescent="0.3"/>
  <cols>
    <col min="1" max="7" width="14.6640625" style="4" customWidth="1"/>
    <col min="8" max="8" width="13.6640625" style="4" bestFit="1" customWidth="1"/>
    <col min="9" max="10" width="14.6640625" style="4" bestFit="1" customWidth="1"/>
    <col min="11" max="13" width="13.44140625" style="4" bestFit="1" customWidth="1"/>
    <col min="14" max="14" width="13.6640625" style="4" bestFit="1" customWidth="1"/>
    <col min="15" max="17" width="12.33203125" style="4" bestFit="1" customWidth="1"/>
    <col min="18" max="18" width="13.6640625" style="4" bestFit="1" customWidth="1"/>
    <col min="19" max="20" width="12.33203125" style="4" bestFit="1" customWidth="1"/>
    <col min="21" max="23" width="9.109375" style="4"/>
    <col min="24" max="24" width="12.44140625" style="4" bestFit="1" customWidth="1"/>
    <col min="25" max="26" width="12.33203125" style="4" bestFit="1" customWidth="1"/>
    <col min="27" max="16384" width="9.109375" style="4"/>
  </cols>
  <sheetData>
    <row r="1" spans="1:13" ht="15.75" customHeight="1" x14ac:dyDescent="0.35">
      <c r="A1" s="1" t="s">
        <v>41</v>
      </c>
      <c r="B1" s="2"/>
      <c r="C1" s="9" t="s">
        <v>0</v>
      </c>
      <c r="D1" s="2"/>
      <c r="E1" s="2"/>
      <c r="F1" s="2"/>
      <c r="G1" s="2"/>
      <c r="H1" s="2"/>
      <c r="I1" s="2"/>
      <c r="J1" s="2"/>
      <c r="K1" s="2"/>
      <c r="L1" s="3"/>
      <c r="M1" s="6"/>
    </row>
    <row r="2" spans="1:13" ht="15.75" customHeight="1" x14ac:dyDescent="0.3">
      <c r="A2" s="5"/>
      <c r="B2" s="5"/>
      <c r="C2" s="5"/>
      <c r="D2" s="5"/>
      <c r="E2" s="5"/>
      <c r="F2" s="5"/>
      <c r="G2" s="5"/>
      <c r="H2" s="5"/>
      <c r="I2" s="5"/>
      <c r="J2" s="5"/>
      <c r="K2" s="5"/>
      <c r="L2" s="8"/>
      <c r="M2" s="6"/>
    </row>
    <row r="3" spans="1:13" x14ac:dyDescent="0.3">
      <c r="A3" s="242" t="s">
        <v>237</v>
      </c>
      <c r="B3" s="242"/>
      <c r="C3" s="242"/>
      <c r="D3" s="242"/>
      <c r="E3" s="242"/>
      <c r="F3" s="242"/>
      <c r="G3" s="242"/>
      <c r="H3" s="242"/>
      <c r="I3" s="242"/>
      <c r="J3" s="242"/>
      <c r="K3" s="242"/>
      <c r="L3" s="242"/>
      <c r="M3" s="6"/>
    </row>
    <row r="4" spans="1:13" x14ac:dyDescent="0.3">
      <c r="A4" s="21"/>
      <c r="B4" s="21"/>
      <c r="C4" s="21"/>
      <c r="D4" s="21"/>
      <c r="E4" s="21"/>
      <c r="F4" s="21"/>
      <c r="G4" s="21"/>
      <c r="H4" s="21"/>
      <c r="I4" s="21"/>
      <c r="J4" s="21"/>
      <c r="K4" s="21"/>
      <c r="L4" s="21"/>
      <c r="M4" s="6"/>
    </row>
    <row r="5" spans="1:13" x14ac:dyDescent="0.3">
      <c r="A5" s="12" t="s">
        <v>61</v>
      </c>
      <c r="B5" s="21"/>
      <c r="C5" s="21"/>
      <c r="D5" s="21"/>
      <c r="E5" s="21"/>
      <c r="F5" s="21"/>
      <c r="G5" s="21"/>
      <c r="H5" s="21"/>
      <c r="I5" s="21"/>
      <c r="J5" s="21"/>
      <c r="K5" s="21"/>
      <c r="L5" s="21"/>
      <c r="M5" s="6"/>
    </row>
    <row r="6" spans="1:13" x14ac:dyDescent="0.3">
      <c r="A6" s="5"/>
      <c r="B6" s="6"/>
      <c r="C6" s="6"/>
      <c r="D6" s="6"/>
      <c r="E6" s="6"/>
      <c r="F6" s="6"/>
      <c r="G6" s="6"/>
      <c r="H6" s="6"/>
      <c r="I6" s="6"/>
      <c r="J6" s="6"/>
      <c r="K6" s="6"/>
      <c r="L6" s="6"/>
      <c r="M6" s="6"/>
    </row>
    <row r="7" spans="1:13" x14ac:dyDescent="0.3">
      <c r="A7" s="243" t="s">
        <v>94</v>
      </c>
      <c r="B7" s="244"/>
      <c r="C7" s="55" t="s">
        <v>37</v>
      </c>
      <c r="D7" s="55" t="s">
        <v>38</v>
      </c>
      <c r="E7" s="55" t="s">
        <v>39</v>
      </c>
      <c r="F7" s="6"/>
      <c r="G7" s="6"/>
      <c r="H7" s="6"/>
      <c r="I7" s="6"/>
      <c r="J7" s="6"/>
      <c r="K7" s="6"/>
      <c r="L7" s="6"/>
      <c r="M7" s="6"/>
    </row>
    <row r="8" spans="1:13" x14ac:dyDescent="0.3">
      <c r="A8" s="245" t="s">
        <v>95</v>
      </c>
      <c r="B8" s="246"/>
      <c r="C8" s="78">
        <v>5000</v>
      </c>
      <c r="D8" s="78">
        <v>4000</v>
      </c>
      <c r="E8" s="78">
        <v>2500</v>
      </c>
      <c r="F8" s="6"/>
      <c r="G8" s="6"/>
      <c r="H8" s="6"/>
      <c r="I8" s="6"/>
      <c r="J8" s="6"/>
      <c r="K8" s="6"/>
      <c r="L8" s="6"/>
      <c r="M8" s="6"/>
    </row>
    <row r="9" spans="1:13" x14ac:dyDescent="0.3">
      <c r="A9" s="245" t="s">
        <v>40</v>
      </c>
      <c r="B9" s="246"/>
      <c r="C9" s="79">
        <v>0.45</v>
      </c>
      <c r="D9" s="79">
        <v>0.25</v>
      </c>
      <c r="E9" s="79">
        <v>0.3</v>
      </c>
      <c r="F9" s="6"/>
      <c r="G9" s="6"/>
      <c r="H9" s="6"/>
      <c r="I9" s="6"/>
      <c r="J9" s="6"/>
      <c r="K9" s="6"/>
      <c r="L9" s="6"/>
      <c r="M9" s="6"/>
    </row>
    <row r="10" spans="1:13" x14ac:dyDescent="0.3">
      <c r="A10" s="25"/>
      <c r="B10" s="25"/>
      <c r="C10" s="77"/>
      <c r="D10" s="77"/>
      <c r="E10" s="77"/>
      <c r="F10" s="6"/>
      <c r="G10" s="6"/>
      <c r="H10" s="6"/>
      <c r="I10" s="6"/>
      <c r="J10" s="6"/>
      <c r="K10" s="6"/>
      <c r="L10" s="6"/>
      <c r="M10" s="6"/>
    </row>
    <row r="11" spans="1:13" ht="15.6" customHeight="1" x14ac:dyDescent="0.3">
      <c r="A11" s="25"/>
      <c r="B11" s="247" t="s">
        <v>96</v>
      </c>
      <c r="C11" s="248"/>
      <c r="D11" s="248"/>
      <c r="E11" s="249"/>
      <c r="F11" s="6"/>
      <c r="G11" s="6"/>
      <c r="H11" s="6"/>
      <c r="I11" s="6"/>
      <c r="J11" s="6"/>
      <c r="K11" s="6"/>
      <c r="L11" s="6"/>
      <c r="M11" s="6"/>
    </row>
    <row r="12" spans="1:13" x14ac:dyDescent="0.3">
      <c r="A12" s="25"/>
      <c r="B12" s="80"/>
      <c r="C12" s="55" t="s">
        <v>37</v>
      </c>
      <c r="D12" s="55" t="s">
        <v>38</v>
      </c>
      <c r="E12" s="55" t="s">
        <v>39</v>
      </c>
      <c r="F12" s="6"/>
      <c r="G12" s="6"/>
      <c r="H12" s="6"/>
      <c r="I12" s="6"/>
      <c r="J12" s="6"/>
      <c r="K12" s="6"/>
      <c r="L12" s="6"/>
      <c r="M12" s="6"/>
    </row>
    <row r="13" spans="1:13" x14ac:dyDescent="0.3">
      <c r="A13" s="25"/>
      <c r="B13" s="55" t="s">
        <v>37</v>
      </c>
      <c r="C13" s="81">
        <v>1</v>
      </c>
      <c r="D13" s="81">
        <v>0.4</v>
      </c>
      <c r="E13" s="81">
        <v>0.7</v>
      </c>
      <c r="F13" s="6"/>
      <c r="G13" s="6"/>
      <c r="H13" s="6"/>
      <c r="I13" s="6"/>
      <c r="J13" s="6"/>
      <c r="K13" s="6"/>
      <c r="L13" s="6"/>
      <c r="M13" s="6"/>
    </row>
    <row r="14" spans="1:13" x14ac:dyDescent="0.3">
      <c r="A14" s="25"/>
      <c r="B14" s="55" t="s">
        <v>38</v>
      </c>
      <c r="C14" s="81">
        <v>0.4</v>
      </c>
      <c r="D14" s="81">
        <v>1</v>
      </c>
      <c r="E14" s="81">
        <v>0.2</v>
      </c>
      <c r="F14" s="6"/>
      <c r="G14" s="6"/>
      <c r="H14" s="6"/>
      <c r="I14" s="6"/>
      <c r="J14" s="6"/>
      <c r="K14" s="6"/>
      <c r="L14" s="6"/>
      <c r="M14" s="6"/>
    </row>
    <row r="15" spans="1:13" x14ac:dyDescent="0.3">
      <c r="A15" s="25"/>
      <c r="B15" s="55" t="s">
        <v>39</v>
      </c>
      <c r="C15" s="81">
        <v>0.7</v>
      </c>
      <c r="D15" s="81">
        <v>0.2</v>
      </c>
      <c r="E15" s="81">
        <v>1</v>
      </c>
      <c r="F15" s="6"/>
      <c r="G15" s="6"/>
      <c r="H15" s="6"/>
      <c r="I15" s="6"/>
      <c r="J15" s="6"/>
      <c r="K15" s="6"/>
      <c r="L15" s="6"/>
      <c r="M15" s="6"/>
    </row>
    <row r="16" spans="1:13" x14ac:dyDescent="0.3">
      <c r="A16" s="6"/>
      <c r="B16" s="6"/>
      <c r="C16" s="6"/>
      <c r="D16" s="6"/>
      <c r="E16" s="6"/>
      <c r="F16" s="6"/>
      <c r="G16" s="6"/>
      <c r="H16" s="6"/>
      <c r="I16" s="6"/>
      <c r="J16" s="6"/>
      <c r="K16" s="6"/>
      <c r="L16" s="6"/>
      <c r="M16" s="6"/>
    </row>
    <row r="17" spans="1:40" x14ac:dyDescent="0.3">
      <c r="A17" s="13" t="s">
        <v>97</v>
      </c>
      <c r="B17" s="6"/>
      <c r="C17" s="6"/>
      <c r="D17" s="6"/>
      <c r="E17" s="6"/>
      <c r="F17" s="6"/>
      <c r="G17" s="6"/>
      <c r="H17" s="6"/>
      <c r="I17" s="6"/>
      <c r="J17" s="82" t="s">
        <v>219</v>
      </c>
      <c r="K17" s="83"/>
      <c r="L17" s="22">
        <v>0.1</v>
      </c>
      <c r="M17" s="6"/>
    </row>
    <row r="18" spans="1:40" x14ac:dyDescent="0.3">
      <c r="A18" s="13" t="s">
        <v>217</v>
      </c>
      <c r="B18" s="6"/>
      <c r="C18" s="6"/>
      <c r="D18" s="6"/>
      <c r="E18" s="6"/>
      <c r="F18" s="6"/>
      <c r="G18" s="6"/>
      <c r="H18" s="6"/>
      <c r="I18" s="6"/>
      <c r="J18" s="82" t="s">
        <v>218</v>
      </c>
      <c r="K18" s="83"/>
      <c r="L18" s="14">
        <v>1.5</v>
      </c>
      <c r="M18" s="6"/>
    </row>
    <row r="19" spans="1:40" x14ac:dyDescent="0.3">
      <c r="A19" s="5"/>
      <c r="B19" s="5"/>
      <c r="C19" s="5"/>
      <c r="D19" s="5"/>
      <c r="E19" s="5"/>
      <c r="F19" s="5"/>
      <c r="G19" s="5"/>
      <c r="H19" s="5"/>
      <c r="I19" s="5"/>
      <c r="J19" s="5"/>
      <c r="K19" s="5"/>
      <c r="L19" s="8"/>
      <c r="M19" s="8"/>
    </row>
    <row r="20" spans="1:40" x14ac:dyDescent="0.3">
      <c r="A20" s="12" t="s">
        <v>3</v>
      </c>
      <c r="B20" s="242" t="s">
        <v>98</v>
      </c>
      <c r="C20" s="242"/>
      <c r="D20" s="242"/>
      <c r="E20" s="242"/>
      <c r="F20" s="242"/>
      <c r="G20" s="242"/>
      <c r="H20" s="242"/>
      <c r="I20" s="242"/>
      <c r="J20" s="242"/>
      <c r="K20" s="242"/>
      <c r="L20" s="242"/>
      <c r="M20" s="8"/>
    </row>
    <row r="21" spans="1:40" ht="16.2" x14ac:dyDescent="0.35">
      <c r="A21" s="9"/>
      <c r="B21" s="9" t="s">
        <v>1</v>
      </c>
      <c r="C21" s="9"/>
      <c r="D21" s="11"/>
      <c r="E21" s="11"/>
      <c r="F21" s="7"/>
      <c r="G21" s="7"/>
      <c r="H21" s="7"/>
      <c r="I21" s="8"/>
      <c r="J21" s="8"/>
      <c r="K21" s="8"/>
      <c r="L21" s="8"/>
      <c r="M21" s="8"/>
    </row>
    <row r="22" spans="1:40" x14ac:dyDescent="0.3">
      <c r="N22"/>
      <c r="O22"/>
      <c r="P22"/>
      <c r="Q22"/>
      <c r="R22"/>
      <c r="S22"/>
      <c r="T22"/>
      <c r="U22"/>
      <c r="V22"/>
      <c r="W22"/>
      <c r="X22"/>
      <c r="Y22"/>
      <c r="Z22"/>
      <c r="AA22"/>
      <c r="AB22"/>
      <c r="AC22"/>
      <c r="AD22"/>
      <c r="AE22"/>
      <c r="AF22"/>
      <c r="AG22"/>
      <c r="AH22"/>
      <c r="AI22"/>
      <c r="AJ22"/>
      <c r="AK22"/>
      <c r="AL22"/>
      <c r="AM22"/>
      <c r="AN22"/>
    </row>
    <row r="23" spans="1:40" x14ac:dyDescent="0.3">
      <c r="B23" s="4" t="s">
        <v>309</v>
      </c>
      <c r="E23" s="127">
        <f>L17*L18/(1+L17)</f>
        <v>0.13636363636363638</v>
      </c>
      <c r="N23"/>
      <c r="O23"/>
      <c r="P23"/>
      <c r="Q23"/>
      <c r="R23"/>
      <c r="S23"/>
      <c r="T23"/>
      <c r="U23"/>
      <c r="V23"/>
      <c r="W23"/>
      <c r="X23"/>
      <c r="Y23"/>
      <c r="Z23"/>
      <c r="AA23"/>
      <c r="AB23"/>
      <c r="AC23"/>
      <c r="AD23"/>
      <c r="AE23"/>
      <c r="AF23"/>
      <c r="AG23"/>
      <c r="AH23"/>
      <c r="AI23"/>
      <c r="AJ23"/>
      <c r="AK23"/>
      <c r="AL23"/>
      <c r="AM23"/>
      <c r="AN23"/>
    </row>
    <row r="24" spans="1:40" x14ac:dyDescent="0.3">
      <c r="E24" s="127"/>
      <c r="N24"/>
      <c r="O24"/>
      <c r="P24"/>
      <c r="Q24"/>
      <c r="R24"/>
      <c r="S24"/>
      <c r="T24"/>
      <c r="U24"/>
      <c r="V24"/>
      <c r="W24"/>
      <c r="X24"/>
      <c r="Y24"/>
      <c r="Z24"/>
      <c r="AA24"/>
      <c r="AB24"/>
      <c r="AC24"/>
      <c r="AD24"/>
      <c r="AE24"/>
      <c r="AF24"/>
      <c r="AG24"/>
      <c r="AH24"/>
      <c r="AI24"/>
      <c r="AJ24"/>
      <c r="AK24"/>
      <c r="AL24"/>
      <c r="AM24"/>
      <c r="AN24"/>
    </row>
    <row r="25" spans="1:40" x14ac:dyDescent="0.3">
      <c r="B25" s="138" t="s">
        <v>312</v>
      </c>
      <c r="C25" s="137" t="s">
        <v>37</v>
      </c>
      <c r="D25" s="137" t="s">
        <v>38</v>
      </c>
      <c r="E25" s="170" t="s">
        <v>39</v>
      </c>
      <c r="F25" s="137" t="s">
        <v>316</v>
      </c>
      <c r="N25"/>
      <c r="O25"/>
      <c r="P25"/>
      <c r="Q25"/>
      <c r="R25"/>
      <c r="S25"/>
      <c r="T25"/>
      <c r="U25"/>
      <c r="V25"/>
      <c r="W25"/>
      <c r="X25"/>
      <c r="Y25"/>
      <c r="Z25"/>
      <c r="AA25"/>
      <c r="AB25"/>
      <c r="AC25"/>
      <c r="AD25"/>
      <c r="AE25"/>
      <c r="AF25"/>
      <c r="AG25"/>
      <c r="AH25"/>
      <c r="AI25"/>
      <c r="AJ25"/>
      <c r="AK25"/>
      <c r="AL25"/>
      <c r="AM25"/>
      <c r="AN25"/>
    </row>
    <row r="26" spans="1:40" x14ac:dyDescent="0.3">
      <c r="B26" s="167" t="s">
        <v>311</v>
      </c>
      <c r="C26" s="168">
        <f t="shared" ref="C26:E27" si="0">C8</f>
        <v>5000</v>
      </c>
      <c r="D26" s="168">
        <f t="shared" si="0"/>
        <v>4000</v>
      </c>
      <c r="E26" s="168">
        <f t="shared" si="0"/>
        <v>2500</v>
      </c>
      <c r="F26" s="171">
        <f>SUM(C26:E26)</f>
        <v>11500</v>
      </c>
      <c r="N26"/>
      <c r="O26"/>
      <c r="P26"/>
      <c r="Q26"/>
      <c r="R26"/>
      <c r="S26"/>
      <c r="T26"/>
      <c r="U26"/>
      <c r="V26"/>
      <c r="W26"/>
      <c r="X26"/>
      <c r="Y26"/>
      <c r="Z26"/>
      <c r="AA26"/>
      <c r="AB26"/>
      <c r="AC26"/>
      <c r="AD26"/>
      <c r="AE26"/>
      <c r="AF26"/>
      <c r="AG26"/>
      <c r="AH26"/>
      <c r="AI26"/>
      <c r="AJ26"/>
      <c r="AK26"/>
      <c r="AL26"/>
      <c r="AM26"/>
      <c r="AN26"/>
    </row>
    <row r="27" spans="1:40" x14ac:dyDescent="0.3">
      <c r="B27" s="167" t="s">
        <v>310</v>
      </c>
      <c r="C27" s="169">
        <f t="shared" si="0"/>
        <v>0.45</v>
      </c>
      <c r="D27" s="169">
        <f t="shared" si="0"/>
        <v>0.25</v>
      </c>
      <c r="E27" s="169">
        <f t="shared" si="0"/>
        <v>0.3</v>
      </c>
      <c r="F27" s="137"/>
      <c r="N27"/>
      <c r="O27"/>
      <c r="P27"/>
      <c r="Q27"/>
      <c r="R27"/>
      <c r="S27"/>
      <c r="T27"/>
      <c r="U27"/>
      <c r="V27"/>
      <c r="W27"/>
      <c r="X27"/>
      <c r="Y27"/>
      <c r="Z27"/>
      <c r="AA27"/>
      <c r="AB27"/>
      <c r="AC27"/>
      <c r="AD27"/>
      <c r="AE27"/>
      <c r="AF27"/>
      <c r="AG27"/>
      <c r="AH27"/>
      <c r="AI27"/>
      <c r="AJ27"/>
      <c r="AK27"/>
      <c r="AL27"/>
      <c r="AM27"/>
      <c r="AN27"/>
    </row>
    <row r="28" spans="1:40" x14ac:dyDescent="0.3">
      <c r="B28" s="138" t="s">
        <v>313</v>
      </c>
      <c r="C28" s="168">
        <f>C26*C27</f>
        <v>2250</v>
      </c>
      <c r="D28" s="168">
        <f t="shared" ref="D28:E28" si="1">D26*D27</f>
        <v>1000</v>
      </c>
      <c r="E28" s="168">
        <f t="shared" si="1"/>
        <v>750</v>
      </c>
      <c r="F28" s="171">
        <f>(SUMPRODUCT(C28:E28,C28:E28)+2*D13*C28*D28+2*E13*C28*E28+2*E14*D28*E28)^0.5</f>
        <v>3329.789783154486</v>
      </c>
      <c r="G28" s="125"/>
      <c r="N28"/>
      <c r="O28"/>
      <c r="P28"/>
      <c r="Q28"/>
      <c r="R28"/>
      <c r="S28"/>
      <c r="T28"/>
      <c r="U28"/>
      <c r="V28"/>
      <c r="W28"/>
      <c r="X28"/>
      <c r="Y28"/>
      <c r="Z28"/>
      <c r="AA28"/>
      <c r="AB28"/>
      <c r="AC28"/>
      <c r="AD28"/>
      <c r="AE28"/>
      <c r="AF28"/>
      <c r="AG28"/>
      <c r="AH28"/>
      <c r="AI28"/>
      <c r="AJ28"/>
      <c r="AK28"/>
      <c r="AL28"/>
      <c r="AM28"/>
      <c r="AN28"/>
    </row>
    <row r="29" spans="1:40" x14ac:dyDescent="0.3">
      <c r="B29" s="138" t="s">
        <v>314</v>
      </c>
      <c r="C29" s="168">
        <f>$F28-(D28^2+E28^2+2*E14*D28*E28)^0.5</f>
        <v>1965.0553767588681</v>
      </c>
      <c r="D29" s="168">
        <f>$F28-(C28^2+E28^2+2*E13*C28*E28)^0.5</f>
        <v>503.57323094197045</v>
      </c>
      <c r="E29" s="168">
        <f>$F28-(C28^2+D28^2+2*D13*C28*D28)^0.5</f>
        <v>525.77480459249546</v>
      </c>
      <c r="F29" s="137"/>
      <c r="N29"/>
      <c r="O29"/>
      <c r="P29"/>
      <c r="Q29"/>
      <c r="R29"/>
      <c r="S29"/>
      <c r="T29"/>
      <c r="U29"/>
      <c r="V29"/>
      <c r="W29"/>
      <c r="X29"/>
      <c r="Y29"/>
      <c r="Z29"/>
      <c r="AA29"/>
      <c r="AB29"/>
      <c r="AC29"/>
      <c r="AD29"/>
      <c r="AE29"/>
      <c r="AF29"/>
      <c r="AG29"/>
      <c r="AH29"/>
      <c r="AI29"/>
      <c r="AJ29"/>
      <c r="AK29"/>
      <c r="AL29"/>
      <c r="AM29"/>
      <c r="AN29"/>
    </row>
    <row r="30" spans="1:40" x14ac:dyDescent="0.3">
      <c r="B30" s="138" t="s">
        <v>326</v>
      </c>
      <c r="C30" s="168">
        <f>C29*$E$23</f>
        <v>267.96209683075477</v>
      </c>
      <c r="D30" s="168">
        <f t="shared" ref="D30:E30" si="2">D29*$E$23</f>
        <v>68.669076946632345</v>
      </c>
      <c r="E30" s="168">
        <f t="shared" si="2"/>
        <v>71.696564262613023</v>
      </c>
      <c r="F30" s="137"/>
      <c r="N30"/>
      <c r="O30"/>
      <c r="P30"/>
      <c r="Q30"/>
      <c r="R30"/>
      <c r="S30"/>
      <c r="T30"/>
      <c r="U30"/>
      <c r="V30"/>
      <c r="W30"/>
      <c r="X30"/>
      <c r="Y30"/>
      <c r="Z30"/>
      <c r="AA30"/>
      <c r="AB30"/>
      <c r="AC30"/>
      <c r="AD30"/>
      <c r="AE30"/>
      <c r="AF30"/>
      <c r="AG30"/>
      <c r="AH30"/>
      <c r="AI30"/>
      <c r="AJ30"/>
      <c r="AK30"/>
      <c r="AL30"/>
      <c r="AM30"/>
      <c r="AN30"/>
    </row>
    <row r="31" spans="1:40" x14ac:dyDescent="0.3">
      <c r="E31" s="127"/>
      <c r="N31"/>
      <c r="O31"/>
      <c r="P31"/>
      <c r="Q31"/>
      <c r="R31"/>
      <c r="S31"/>
      <c r="T31"/>
      <c r="U31"/>
      <c r="V31"/>
      <c r="W31"/>
      <c r="X31"/>
      <c r="Y31"/>
      <c r="Z31"/>
      <c r="AA31"/>
      <c r="AB31"/>
      <c r="AC31"/>
      <c r="AD31"/>
      <c r="AE31"/>
      <c r="AF31"/>
      <c r="AG31"/>
      <c r="AH31"/>
      <c r="AI31"/>
      <c r="AJ31"/>
      <c r="AK31"/>
      <c r="AL31"/>
      <c r="AM31"/>
      <c r="AN31"/>
    </row>
    <row r="32" spans="1:40" x14ac:dyDescent="0.3">
      <c r="A32" s="231" t="s">
        <v>238</v>
      </c>
      <c r="B32" s="231"/>
      <c r="C32" s="231"/>
      <c r="D32" s="231"/>
      <c r="E32" s="231"/>
      <c r="F32" s="231"/>
      <c r="G32" s="231"/>
      <c r="H32" s="231"/>
      <c r="I32" s="231"/>
      <c r="J32" s="231"/>
      <c r="K32" s="231"/>
      <c r="L32" s="231"/>
      <c r="M32" s="231"/>
      <c r="N32"/>
      <c r="O32"/>
      <c r="P32"/>
      <c r="Q32"/>
      <c r="R32"/>
      <c r="S32"/>
      <c r="T32"/>
      <c r="U32"/>
      <c r="V32"/>
      <c r="W32"/>
      <c r="X32"/>
      <c r="Y32"/>
      <c r="Z32"/>
      <c r="AA32"/>
      <c r="AB32"/>
      <c r="AC32"/>
      <c r="AD32"/>
      <c r="AE32"/>
      <c r="AF32"/>
      <c r="AG32"/>
      <c r="AH32"/>
      <c r="AI32"/>
      <c r="AJ32"/>
      <c r="AK32"/>
      <c r="AL32"/>
      <c r="AM32"/>
      <c r="AN32"/>
    </row>
    <row r="33" spans="1:40" x14ac:dyDescent="0.3">
      <c r="A33" s="7"/>
      <c r="B33" s="7"/>
      <c r="C33" s="7"/>
      <c r="D33" s="7"/>
      <c r="E33" s="7"/>
      <c r="F33" s="7"/>
      <c r="G33" s="7"/>
      <c r="H33" s="7"/>
      <c r="I33" s="7"/>
      <c r="J33" s="7"/>
      <c r="K33" s="7"/>
      <c r="L33" s="7"/>
      <c r="M33" s="7"/>
      <c r="N33"/>
      <c r="O33"/>
      <c r="P33"/>
      <c r="Q33"/>
      <c r="R33"/>
      <c r="S33"/>
      <c r="T33"/>
      <c r="U33"/>
      <c r="V33"/>
      <c r="W33"/>
      <c r="X33"/>
      <c r="Y33"/>
      <c r="Z33"/>
      <c r="AA33"/>
      <c r="AB33"/>
      <c r="AC33"/>
      <c r="AD33"/>
      <c r="AE33"/>
      <c r="AF33"/>
      <c r="AG33"/>
      <c r="AH33"/>
      <c r="AI33"/>
      <c r="AJ33"/>
      <c r="AK33"/>
      <c r="AL33"/>
      <c r="AM33"/>
      <c r="AN33"/>
    </row>
    <row r="34" spans="1:40" x14ac:dyDescent="0.3">
      <c r="A34" s="12" t="s">
        <v>2</v>
      </c>
      <c r="B34" s="242" t="s">
        <v>210</v>
      </c>
      <c r="C34" s="242"/>
      <c r="D34" s="242"/>
      <c r="E34" s="242"/>
      <c r="F34" s="242"/>
      <c r="G34" s="242"/>
      <c r="H34" s="242"/>
      <c r="I34" s="242"/>
      <c r="J34" s="242"/>
      <c r="K34" s="242"/>
      <c r="L34" s="242"/>
      <c r="M34" s="8"/>
    </row>
    <row r="35" spans="1:40" ht="16.2" x14ac:dyDescent="0.35">
      <c r="A35" s="9"/>
      <c r="B35" s="9" t="s">
        <v>1</v>
      </c>
      <c r="C35" s="9"/>
      <c r="D35" s="11"/>
      <c r="E35" s="11"/>
      <c r="F35" s="11"/>
      <c r="G35" s="11"/>
      <c r="H35" s="7"/>
      <c r="I35" s="7"/>
      <c r="J35" s="8"/>
      <c r="K35" s="7"/>
      <c r="L35" s="8"/>
      <c r="M35" s="8"/>
    </row>
    <row r="37" spans="1:40" x14ac:dyDescent="0.3">
      <c r="B37" s="4" t="s">
        <v>317</v>
      </c>
      <c r="E37" s="127">
        <f>E23/F28</f>
        <v>4.0952626214875314E-5</v>
      </c>
      <c r="K37" s="125"/>
    </row>
    <row r="38" spans="1:40" x14ac:dyDescent="0.3">
      <c r="E38" s="127"/>
      <c r="K38" s="125"/>
    </row>
    <row r="39" spans="1:40" x14ac:dyDescent="0.3">
      <c r="B39" s="138" t="s">
        <v>312</v>
      </c>
      <c r="C39" s="137" t="s">
        <v>37</v>
      </c>
      <c r="D39" s="137" t="s">
        <v>38</v>
      </c>
      <c r="E39" s="170" t="s">
        <v>39</v>
      </c>
      <c r="F39" s="137" t="s">
        <v>316</v>
      </c>
    </row>
    <row r="40" spans="1:40" x14ac:dyDescent="0.3">
      <c r="B40" s="167" t="s">
        <v>318</v>
      </c>
      <c r="C40" s="168">
        <f>C28^2</f>
        <v>5062500</v>
      </c>
      <c r="D40" s="168">
        <f t="shared" ref="D40:F40" si="3">D28^2</f>
        <v>1000000</v>
      </c>
      <c r="E40" s="168">
        <f t="shared" si="3"/>
        <v>562500</v>
      </c>
      <c r="F40" s="168">
        <f t="shared" si="3"/>
        <v>11087500</v>
      </c>
      <c r="H40" s="172"/>
      <c r="I40" s="173"/>
    </row>
    <row r="41" spans="1:40" x14ac:dyDescent="0.3">
      <c r="B41" s="167" t="s">
        <v>319</v>
      </c>
      <c r="C41" s="168">
        <f>$F40-(D40+E40+2*E14*D28*E28)</f>
        <v>9225000</v>
      </c>
      <c r="D41" s="168">
        <f>$F40-(C40+E40+2*E13*C28*E28)</f>
        <v>3100000</v>
      </c>
      <c r="E41" s="168">
        <f>$F40-(C40+D40+2*D13*C28*D28)</f>
        <v>3225000</v>
      </c>
      <c r="F41" s="137"/>
    </row>
    <row r="42" spans="1:40" x14ac:dyDescent="0.3">
      <c r="B42" s="138" t="s">
        <v>327</v>
      </c>
      <c r="C42" s="168">
        <f>C41*$E$37</f>
        <v>377.78797683222479</v>
      </c>
      <c r="D42" s="168">
        <f t="shared" ref="D42:E42" si="4">D41*$E$37</f>
        <v>126.95314126611348</v>
      </c>
      <c r="E42" s="168">
        <f t="shared" si="4"/>
        <v>132.07221954297287</v>
      </c>
      <c r="F42" s="137"/>
    </row>
    <row r="44" spans="1:40" x14ac:dyDescent="0.3">
      <c r="A44" s="12" t="s">
        <v>4</v>
      </c>
      <c r="B44" s="242" t="s">
        <v>247</v>
      </c>
      <c r="C44" s="242"/>
      <c r="D44" s="242"/>
      <c r="E44" s="242"/>
      <c r="F44" s="242"/>
      <c r="G44" s="242"/>
      <c r="H44" s="242"/>
      <c r="I44" s="242"/>
      <c r="J44" s="242"/>
      <c r="K44" s="242"/>
      <c r="L44" s="242"/>
      <c r="M44" s="8"/>
    </row>
    <row r="45" spans="1:40" ht="16.2" x14ac:dyDescent="0.35">
      <c r="A45" s="9"/>
      <c r="B45" s="9" t="s">
        <v>1</v>
      </c>
      <c r="C45" s="9"/>
      <c r="D45" s="11"/>
      <c r="E45" s="11"/>
      <c r="F45" s="11"/>
      <c r="G45" s="11"/>
      <c r="H45" s="7"/>
      <c r="I45" s="7"/>
      <c r="J45" s="8"/>
      <c r="K45" s="7"/>
      <c r="L45" s="8"/>
      <c r="M45" s="8"/>
    </row>
    <row r="46" spans="1:40" x14ac:dyDescent="0.3">
      <c r="C46" s="126" t="s">
        <v>315</v>
      </c>
      <c r="D46" s="126" t="s">
        <v>315</v>
      </c>
    </row>
    <row r="47" spans="1:40" x14ac:dyDescent="0.3">
      <c r="B47" s="4" t="s">
        <v>321</v>
      </c>
      <c r="C47" s="126" t="s">
        <v>322</v>
      </c>
      <c r="D47" s="126" t="s">
        <v>323</v>
      </c>
    </row>
    <row r="48" spans="1:40" x14ac:dyDescent="0.3">
      <c r="A48" s="174" t="s">
        <v>324</v>
      </c>
      <c r="B48" s="4" t="s">
        <v>320</v>
      </c>
      <c r="C48" s="130">
        <f>SUM(C30:E30)</f>
        <v>408.32773804000016</v>
      </c>
      <c r="D48" s="130">
        <f>F28*E23</f>
        <v>454.06224315742998</v>
      </c>
    </row>
    <row r="49" spans="1:12" x14ac:dyDescent="0.3">
      <c r="A49" s="174" t="s">
        <v>325</v>
      </c>
      <c r="B49" s="4" t="s">
        <v>319</v>
      </c>
      <c r="C49" s="130">
        <f>SUM(C42:E42)</f>
        <v>636.81333764131114</v>
      </c>
      <c r="D49" s="130">
        <f>F40*E37</f>
        <v>454.06224315743003</v>
      </c>
    </row>
    <row r="50" spans="1:12" x14ac:dyDescent="0.3">
      <c r="A50" s="174"/>
      <c r="C50" s="130"/>
      <c r="D50" s="130"/>
    </row>
    <row r="51" spans="1:12" x14ac:dyDescent="0.3">
      <c r="B51" s="4" t="s">
        <v>428</v>
      </c>
    </row>
    <row r="52" spans="1:12" x14ac:dyDescent="0.3">
      <c r="B52" s="4" t="s">
        <v>414</v>
      </c>
    </row>
    <row r="53" spans="1:12" x14ac:dyDescent="0.3">
      <c r="B53" s="4" t="s">
        <v>415</v>
      </c>
    </row>
    <row r="54" spans="1:12" x14ac:dyDescent="0.3">
      <c r="A54" s="23"/>
      <c r="B54" s="4" t="s">
        <v>413</v>
      </c>
      <c r="C54" s="23"/>
      <c r="D54" s="23"/>
      <c r="E54" s="23"/>
      <c r="F54" s="23"/>
      <c r="G54" s="23"/>
      <c r="H54" s="23"/>
      <c r="I54" s="23"/>
      <c r="J54" s="23"/>
      <c r="K54" s="23"/>
      <c r="L54" s="23"/>
    </row>
    <row r="55" spans="1:12" x14ac:dyDescent="0.3">
      <c r="A55" s="23"/>
      <c r="B55" s="23"/>
      <c r="C55" s="23"/>
      <c r="D55" s="23"/>
      <c r="E55" s="23"/>
      <c r="F55" s="23"/>
      <c r="G55" s="23"/>
      <c r="H55" s="23"/>
      <c r="I55" s="23"/>
      <c r="J55" s="23"/>
      <c r="K55" s="23"/>
      <c r="L55" s="23"/>
    </row>
    <row r="56" spans="1:12" x14ac:dyDescent="0.3">
      <c r="A56" s="23"/>
      <c r="B56" s="23"/>
      <c r="C56" s="23"/>
      <c r="D56" s="23"/>
      <c r="E56" s="23"/>
      <c r="F56" s="23"/>
      <c r="G56" s="23"/>
      <c r="H56" s="23"/>
      <c r="I56" s="23"/>
      <c r="J56" s="23"/>
      <c r="K56" s="23"/>
      <c r="L56" s="23"/>
    </row>
    <row r="57" spans="1:12" x14ac:dyDescent="0.3">
      <c r="A57" s="23"/>
      <c r="B57" s="23"/>
      <c r="C57" s="23"/>
      <c r="D57" s="23"/>
      <c r="E57" s="23"/>
      <c r="F57" s="23"/>
      <c r="G57" s="23"/>
      <c r="H57" s="23"/>
      <c r="I57" s="23"/>
      <c r="J57" s="23"/>
      <c r="K57" s="23"/>
      <c r="L57" s="23"/>
    </row>
    <row r="58" spans="1:12" x14ac:dyDescent="0.3">
      <c r="A58" s="23"/>
      <c r="B58" s="23"/>
      <c r="C58" s="23"/>
      <c r="D58" s="23"/>
      <c r="E58" s="23"/>
      <c r="F58" s="23"/>
      <c r="G58" s="23"/>
      <c r="H58" s="23"/>
      <c r="I58" s="23"/>
      <c r="J58" s="23"/>
      <c r="K58" s="23"/>
      <c r="L58" s="23"/>
    </row>
    <row r="59" spans="1:12" x14ac:dyDescent="0.3">
      <c r="A59" s="56"/>
      <c r="B59" s="23"/>
      <c r="C59" s="23"/>
      <c r="D59" s="23"/>
      <c r="E59" s="23"/>
      <c r="F59" s="23"/>
      <c r="G59" s="23"/>
      <c r="H59" s="23"/>
      <c r="I59" s="23"/>
      <c r="J59" s="23"/>
      <c r="K59" s="23"/>
      <c r="L59" s="23"/>
    </row>
    <row r="60" spans="1:12" x14ac:dyDescent="0.3">
      <c r="A60" s="56"/>
      <c r="B60" s="23"/>
      <c r="C60" s="23"/>
      <c r="D60" s="23"/>
      <c r="E60" s="23"/>
      <c r="F60" s="23"/>
      <c r="G60" s="23"/>
      <c r="H60" s="23"/>
      <c r="I60" s="23"/>
      <c r="J60" s="23"/>
      <c r="K60" s="23"/>
      <c r="L60" s="23"/>
    </row>
    <row r="61" spans="1:12" x14ac:dyDescent="0.3">
      <c r="A61" s="23"/>
      <c r="B61" s="23"/>
      <c r="C61" s="23"/>
      <c r="D61" s="23"/>
      <c r="E61" s="23"/>
      <c r="F61" s="23"/>
      <c r="G61" s="23"/>
      <c r="H61" s="23"/>
      <c r="I61" s="23"/>
      <c r="J61" s="23"/>
      <c r="K61" s="23"/>
      <c r="L61" s="23"/>
    </row>
    <row r="62" spans="1:12" ht="15.75" customHeight="1" x14ac:dyDescent="0.3">
      <c r="A62" s="23"/>
      <c r="B62" s="23"/>
      <c r="C62" s="23"/>
      <c r="D62" s="23"/>
      <c r="E62" s="23"/>
      <c r="F62" s="23"/>
      <c r="G62" s="23"/>
      <c r="H62" s="23"/>
      <c r="I62" s="23"/>
      <c r="J62" s="23"/>
      <c r="K62" s="23"/>
      <c r="L62" s="23"/>
    </row>
    <row r="63" spans="1:12" ht="15.75" customHeight="1" x14ac:dyDescent="0.3">
      <c r="A63" s="23"/>
      <c r="B63" s="23"/>
      <c r="C63" s="23"/>
      <c r="D63" s="23"/>
      <c r="E63" s="23"/>
      <c r="F63" s="23"/>
      <c r="G63" s="23"/>
      <c r="H63" s="23"/>
      <c r="I63" s="23"/>
      <c r="J63" s="23"/>
      <c r="K63" s="23"/>
      <c r="L63" s="23"/>
    </row>
    <row r="64" spans="1:12" ht="15.75" customHeight="1" x14ac:dyDescent="0.3">
      <c r="A64" s="23"/>
      <c r="B64" s="23"/>
      <c r="C64" s="23"/>
      <c r="D64" s="23"/>
      <c r="E64" s="23"/>
      <c r="F64" s="23"/>
      <c r="G64" s="23"/>
      <c r="H64" s="23"/>
      <c r="I64" s="23"/>
      <c r="J64" s="23"/>
      <c r="K64" s="23"/>
      <c r="L64" s="23"/>
    </row>
    <row r="65" spans="1:12" ht="15.75" customHeight="1" x14ac:dyDescent="0.3">
      <c r="A65" s="23"/>
      <c r="B65" s="23"/>
      <c r="C65" s="23"/>
      <c r="D65" s="23"/>
      <c r="E65" s="23"/>
      <c r="F65" s="23"/>
      <c r="G65" s="23"/>
      <c r="H65" s="23"/>
      <c r="I65" s="23"/>
      <c r="J65" s="23"/>
      <c r="K65" s="23"/>
      <c r="L65" s="23"/>
    </row>
    <row r="66" spans="1:12" ht="15.75" customHeight="1" x14ac:dyDescent="0.3">
      <c r="A66" s="23"/>
      <c r="B66" s="23"/>
      <c r="C66" s="23"/>
      <c r="D66" s="23"/>
      <c r="E66" s="23"/>
      <c r="F66" s="23"/>
      <c r="G66" s="23"/>
      <c r="H66" s="23"/>
      <c r="I66" s="23"/>
      <c r="J66" s="23"/>
      <c r="K66" s="23"/>
      <c r="L66" s="23"/>
    </row>
    <row r="67" spans="1:12" ht="15.75" customHeight="1" x14ac:dyDescent="0.3">
      <c r="A67" s="23"/>
      <c r="B67" s="23"/>
      <c r="C67" s="23"/>
      <c r="D67" s="23"/>
      <c r="E67" s="23"/>
      <c r="F67" s="23"/>
      <c r="G67" s="23"/>
      <c r="H67" s="23"/>
      <c r="I67" s="23"/>
      <c r="J67" s="23"/>
      <c r="K67" s="23"/>
      <c r="L67" s="23"/>
    </row>
    <row r="68" spans="1:12" ht="15.75" customHeight="1" x14ac:dyDescent="0.3"/>
    <row r="69" spans="1:12" ht="15.75" customHeight="1" x14ac:dyDescent="0.3"/>
    <row r="70" spans="1:12" ht="15.75" customHeight="1" x14ac:dyDescent="0.3"/>
    <row r="71" spans="1:12" ht="15.75" customHeight="1" x14ac:dyDescent="0.3"/>
    <row r="72" spans="1:12" ht="15.75" customHeight="1" x14ac:dyDescent="0.3"/>
    <row r="73" spans="1:12" ht="15.75" customHeight="1" x14ac:dyDescent="0.3"/>
    <row r="74" spans="1:12" ht="15.75" customHeight="1" x14ac:dyDescent="0.3"/>
    <row r="75" spans="1:12" ht="15.75" customHeight="1" x14ac:dyDescent="0.3"/>
    <row r="76" spans="1:12" ht="15.75" customHeight="1" x14ac:dyDescent="0.3"/>
    <row r="77" spans="1:12" ht="15.75" customHeight="1" x14ac:dyDescent="0.3"/>
    <row r="78" spans="1:12" ht="15.75" customHeight="1" x14ac:dyDescent="0.3"/>
    <row r="79" spans="1:12" ht="15.75" customHeight="1" x14ac:dyDescent="0.3"/>
    <row r="80" spans="1:12" ht="15.75" customHeight="1" x14ac:dyDescent="0.3"/>
  </sheetData>
  <mergeCells count="9">
    <mergeCell ref="B20:L20"/>
    <mergeCell ref="B34:L34"/>
    <mergeCell ref="B44:L44"/>
    <mergeCell ref="A3:L3"/>
    <mergeCell ref="A7:B7"/>
    <mergeCell ref="A8:B8"/>
    <mergeCell ref="A9:B9"/>
    <mergeCell ref="B11:E11"/>
    <mergeCell ref="A32:M3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6F8D-FD04-4D9B-8655-77E5F5D045BC}">
  <dimension ref="A1:M1"/>
  <sheetViews>
    <sheetView zoomScaleNormal="100" workbookViewId="0"/>
  </sheetViews>
  <sheetFormatPr defaultColWidth="8.88671875" defaultRowHeight="15.6" x14ac:dyDescent="0.3"/>
  <cols>
    <col min="1" max="1" width="10.5546875" style="4" customWidth="1"/>
    <col min="2" max="16384" width="8.88671875" style="4"/>
  </cols>
  <sheetData>
    <row r="1" spans="1:13" ht="18" x14ac:dyDescent="0.35">
      <c r="A1" s="1" t="s">
        <v>58</v>
      </c>
      <c r="B1" s="2"/>
      <c r="C1" s="10" t="s">
        <v>47</v>
      </c>
      <c r="D1" s="67"/>
      <c r="E1" s="67"/>
      <c r="F1" s="67"/>
      <c r="G1" s="67"/>
      <c r="H1" s="67"/>
      <c r="I1" s="67"/>
      <c r="J1" s="67"/>
      <c r="K1" s="67"/>
      <c r="L1" s="45"/>
      <c r="M1" s="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979F6-83FD-49A6-B6FD-E8FD3F52CFFC}">
  <dimension ref="A1:X66"/>
  <sheetViews>
    <sheetView zoomScaleNormal="100" workbookViewId="0"/>
  </sheetViews>
  <sheetFormatPr defaultColWidth="9.109375" defaultRowHeight="15.6" x14ac:dyDescent="0.3"/>
  <cols>
    <col min="1" max="1" width="10.33203125" style="4" customWidth="1"/>
    <col min="2" max="7" width="17.6640625" style="4" customWidth="1"/>
    <col min="8" max="12" width="9.109375" style="4"/>
    <col min="13" max="13" width="8.88671875" bestFit="1" customWidth="1"/>
    <col min="25" max="16384" width="9.109375" style="4"/>
  </cols>
  <sheetData>
    <row r="1" spans="1:13" ht="15.75" customHeight="1" x14ac:dyDescent="0.35">
      <c r="A1" s="1" t="s">
        <v>42</v>
      </c>
      <c r="B1" s="2"/>
      <c r="C1" s="9" t="s">
        <v>0</v>
      </c>
      <c r="D1" s="2"/>
      <c r="E1" s="2"/>
      <c r="F1" s="2"/>
      <c r="G1" s="2"/>
      <c r="H1" s="2"/>
      <c r="I1" s="2"/>
      <c r="J1" s="2"/>
      <c r="K1" s="2"/>
      <c r="L1" s="3"/>
      <c r="M1" s="3"/>
    </row>
    <row r="2" spans="1:13" ht="15.75" customHeight="1" x14ac:dyDescent="0.3">
      <c r="A2" s="5"/>
      <c r="B2" s="5"/>
      <c r="C2" s="5"/>
      <c r="D2" s="5"/>
      <c r="E2" s="5"/>
      <c r="F2" s="5"/>
      <c r="G2" s="5"/>
      <c r="H2" s="5"/>
      <c r="I2" s="5"/>
      <c r="J2" s="5"/>
      <c r="K2" s="5"/>
      <c r="L2" s="8"/>
      <c r="M2" s="3"/>
    </row>
    <row r="3" spans="1:13" x14ac:dyDescent="0.3">
      <c r="A3" s="242" t="s">
        <v>220</v>
      </c>
      <c r="B3" s="250"/>
      <c r="C3" s="250"/>
      <c r="D3" s="250"/>
      <c r="E3" s="250"/>
      <c r="F3" s="250"/>
      <c r="G3" s="250"/>
      <c r="H3" s="250"/>
      <c r="I3" s="250"/>
      <c r="J3" s="250"/>
      <c r="K3" s="250"/>
      <c r="L3" s="250"/>
      <c r="M3" s="3"/>
    </row>
    <row r="4" spans="1:13" x14ac:dyDescent="0.3">
      <c r="A4" s="21"/>
      <c r="B4" s="13"/>
      <c r="C4" s="12"/>
      <c r="D4" s="12"/>
      <c r="E4" s="12"/>
      <c r="F4" s="12"/>
      <c r="G4" s="12"/>
      <c r="H4" s="12"/>
      <c r="I4" s="12"/>
      <c r="J4" s="12"/>
      <c r="K4" s="12"/>
      <c r="L4" s="12"/>
      <c r="M4" s="3"/>
    </row>
    <row r="5" spans="1:13" x14ac:dyDescent="0.3">
      <c r="A5" s="251" t="s">
        <v>99</v>
      </c>
      <c r="B5" s="251"/>
      <c r="C5" s="251"/>
      <c r="D5" s="251"/>
      <c r="E5" s="12"/>
      <c r="F5" s="12"/>
      <c r="G5" s="12"/>
      <c r="H5" s="12"/>
      <c r="I5" s="12"/>
      <c r="J5" s="12"/>
      <c r="K5" s="12"/>
      <c r="L5" s="12"/>
      <c r="M5" s="3"/>
    </row>
    <row r="6" spans="1:13" x14ac:dyDescent="0.3">
      <c r="A6" s="252" t="s">
        <v>100</v>
      </c>
      <c r="B6" s="252"/>
      <c r="C6" s="252"/>
      <c r="D6" s="57">
        <v>0.22500000000000001</v>
      </c>
      <c r="E6" s="12"/>
      <c r="F6" s="12"/>
      <c r="G6" s="12"/>
      <c r="H6" s="12"/>
      <c r="I6" s="12"/>
      <c r="J6" s="12"/>
      <c r="K6" s="12"/>
      <c r="L6" s="12"/>
      <c r="M6" s="3"/>
    </row>
    <row r="7" spans="1:13" ht="31.2" customHeight="1" x14ac:dyDescent="0.3">
      <c r="A7" s="253" t="s">
        <v>101</v>
      </c>
      <c r="B7" s="253"/>
      <c r="C7" s="253"/>
      <c r="D7" s="84">
        <v>0.65</v>
      </c>
      <c r="E7" s="12"/>
      <c r="F7" s="12"/>
      <c r="G7" s="12"/>
      <c r="H7" s="12"/>
      <c r="I7" s="12"/>
      <c r="J7" s="12"/>
      <c r="K7" s="12"/>
      <c r="L7" s="12"/>
      <c r="M7" s="3"/>
    </row>
    <row r="8" spans="1:13" x14ac:dyDescent="0.3">
      <c r="A8" s="252" t="s">
        <v>102</v>
      </c>
      <c r="B8" s="252"/>
      <c r="C8" s="252"/>
      <c r="D8" s="57">
        <v>1.2549999999999999</v>
      </c>
      <c r="E8" s="12"/>
      <c r="F8" s="12"/>
      <c r="G8" s="12"/>
      <c r="H8" s="12"/>
      <c r="I8" s="12"/>
      <c r="J8" s="12"/>
      <c r="K8" s="12"/>
      <c r="L8" s="12"/>
      <c r="M8" s="3"/>
    </row>
    <row r="9" spans="1:13" x14ac:dyDescent="0.3">
      <c r="A9" s="252" t="s">
        <v>103</v>
      </c>
      <c r="B9" s="252"/>
      <c r="C9" s="252"/>
      <c r="D9" s="57">
        <v>1.0349999999999999</v>
      </c>
      <c r="E9" s="12"/>
      <c r="F9" s="12"/>
      <c r="G9" s="12"/>
      <c r="H9" s="12"/>
      <c r="I9" s="12"/>
      <c r="J9" s="12"/>
      <c r="K9" s="12"/>
      <c r="L9" s="12"/>
      <c r="M9" s="3"/>
    </row>
    <row r="10" spans="1:13" x14ac:dyDescent="0.3">
      <c r="A10" s="21"/>
      <c r="B10" s="13"/>
      <c r="C10" s="12"/>
      <c r="D10" s="12"/>
      <c r="E10" s="12"/>
      <c r="F10" s="12"/>
      <c r="G10" s="12"/>
      <c r="H10" s="12"/>
      <c r="I10" s="12"/>
      <c r="J10" s="12"/>
      <c r="K10" s="12"/>
      <c r="L10" s="12"/>
      <c r="M10" s="3"/>
    </row>
    <row r="11" spans="1:13" ht="62.4" x14ac:dyDescent="0.3">
      <c r="A11" s="21"/>
      <c r="B11" s="16" t="s">
        <v>104</v>
      </c>
      <c r="C11" s="16" t="s">
        <v>221</v>
      </c>
      <c r="D11" s="16" t="s">
        <v>222</v>
      </c>
      <c r="E11" s="12"/>
      <c r="F11" s="12"/>
      <c r="G11" s="12"/>
      <c r="H11" s="12"/>
      <c r="I11" s="12"/>
      <c r="J11" s="12"/>
      <c r="K11" s="12"/>
      <c r="L11" s="12"/>
      <c r="M11" s="3"/>
    </row>
    <row r="12" spans="1:13" x14ac:dyDescent="0.3">
      <c r="A12" s="21"/>
      <c r="B12" s="14" t="s">
        <v>5</v>
      </c>
      <c r="C12" s="85">
        <v>0.79</v>
      </c>
      <c r="D12" s="19">
        <v>0.875</v>
      </c>
      <c r="E12" s="12"/>
      <c r="F12" s="12"/>
      <c r="G12" s="12"/>
      <c r="H12" s="12"/>
      <c r="I12" s="12"/>
      <c r="J12" s="12"/>
      <c r="K12" s="12"/>
      <c r="L12" s="12"/>
      <c r="M12" s="3"/>
    </row>
    <row r="13" spans="1:13" x14ac:dyDescent="0.3">
      <c r="A13" s="21"/>
      <c r="B13" s="14" t="s">
        <v>6</v>
      </c>
      <c r="C13" s="85">
        <v>0.92</v>
      </c>
      <c r="D13" s="19">
        <v>0.61399999999999999</v>
      </c>
      <c r="E13" s="12"/>
      <c r="F13" s="12"/>
      <c r="G13" s="12"/>
      <c r="H13" s="12"/>
      <c r="I13" s="12"/>
      <c r="J13" s="12"/>
      <c r="K13" s="12"/>
      <c r="L13" s="12"/>
      <c r="M13" s="3"/>
    </row>
    <row r="14" spans="1:13" x14ac:dyDescent="0.3">
      <c r="A14" s="21"/>
      <c r="B14" s="14" t="s">
        <v>7</v>
      </c>
      <c r="C14" s="85">
        <v>0.98</v>
      </c>
      <c r="D14" s="19">
        <v>0.20200000000000001</v>
      </c>
      <c r="E14" s="12"/>
      <c r="F14" s="12"/>
      <c r="G14" s="12"/>
      <c r="H14" s="12"/>
      <c r="I14" s="12"/>
      <c r="J14" s="12"/>
      <c r="K14" s="12"/>
      <c r="L14" s="12"/>
      <c r="M14" s="3"/>
    </row>
    <row r="15" spans="1:13" x14ac:dyDescent="0.3">
      <c r="A15" s="21"/>
      <c r="B15" s="14" t="s">
        <v>8</v>
      </c>
      <c r="C15" s="85">
        <v>1</v>
      </c>
      <c r="D15" s="19">
        <v>0.188</v>
      </c>
      <c r="E15" s="12"/>
      <c r="F15" s="12"/>
      <c r="G15" s="12"/>
      <c r="H15" s="12"/>
      <c r="I15" s="12"/>
      <c r="J15" s="12"/>
      <c r="K15" s="12"/>
      <c r="L15" s="12"/>
      <c r="M15" s="3"/>
    </row>
    <row r="16" spans="1:13" x14ac:dyDescent="0.3">
      <c r="A16" s="21"/>
      <c r="B16" s="13"/>
      <c r="C16" s="12"/>
      <c r="D16" s="12"/>
      <c r="E16" s="12"/>
      <c r="F16" s="12"/>
      <c r="G16" s="12"/>
      <c r="H16" s="12"/>
      <c r="I16" s="12"/>
      <c r="J16" s="12"/>
      <c r="K16" s="12"/>
      <c r="L16" s="12"/>
      <c r="M16" s="3"/>
    </row>
    <row r="17" spans="1:13" ht="62.4" x14ac:dyDescent="0.3">
      <c r="A17" s="21"/>
      <c r="B17" s="20" t="s">
        <v>57</v>
      </c>
      <c r="C17" s="20" t="s">
        <v>105</v>
      </c>
      <c r="D17" s="20" t="s">
        <v>241</v>
      </c>
      <c r="E17" s="20" t="s">
        <v>240</v>
      </c>
      <c r="F17" s="20" t="s">
        <v>248</v>
      </c>
      <c r="G17" s="20" t="s">
        <v>239</v>
      </c>
      <c r="H17" s="12"/>
      <c r="I17" s="12"/>
      <c r="J17" s="12"/>
      <c r="K17" s="12"/>
      <c r="L17" s="12"/>
      <c r="M17" s="3"/>
    </row>
    <row r="18" spans="1:13" x14ac:dyDescent="0.3">
      <c r="A18" s="21"/>
      <c r="B18" s="86">
        <v>2019</v>
      </c>
      <c r="C18" s="87">
        <v>234150</v>
      </c>
      <c r="D18" s="120">
        <v>199950</v>
      </c>
      <c r="E18" s="120">
        <v>345790</v>
      </c>
      <c r="F18" s="123">
        <v>351120</v>
      </c>
      <c r="G18" s="86">
        <v>2</v>
      </c>
      <c r="H18" s="12"/>
      <c r="I18" s="12"/>
      <c r="J18" s="12"/>
      <c r="K18" s="12"/>
      <c r="L18" s="12"/>
      <c r="M18" s="3"/>
    </row>
    <row r="19" spans="1:13" x14ac:dyDescent="0.3">
      <c r="A19" s="21"/>
      <c r="B19" s="14">
        <v>2020</v>
      </c>
      <c r="C19" s="15">
        <v>228660</v>
      </c>
      <c r="D19" s="121">
        <v>172530</v>
      </c>
      <c r="E19" s="121">
        <v>339570</v>
      </c>
      <c r="F19" s="124">
        <v>345680</v>
      </c>
      <c r="G19" s="14">
        <v>1</v>
      </c>
      <c r="H19" s="12"/>
      <c r="I19" s="12"/>
      <c r="J19" s="12"/>
      <c r="K19" s="12"/>
      <c r="L19" s="12"/>
      <c r="M19" s="3"/>
    </row>
    <row r="20" spans="1:13" x14ac:dyDescent="0.3">
      <c r="A20" s="21"/>
      <c r="B20" s="14">
        <v>2021</v>
      </c>
      <c r="C20" s="15">
        <v>289800</v>
      </c>
      <c r="D20" s="122">
        <v>0</v>
      </c>
      <c r="E20" s="121">
        <v>0</v>
      </c>
      <c r="F20" s="124">
        <v>385644</v>
      </c>
      <c r="G20" s="14">
        <v>0</v>
      </c>
      <c r="H20" s="12"/>
      <c r="I20" s="12"/>
      <c r="J20" s="12"/>
      <c r="K20" s="12"/>
      <c r="L20" s="12"/>
      <c r="M20" s="3"/>
    </row>
    <row r="21" spans="1:13" x14ac:dyDescent="0.3">
      <c r="A21" s="21"/>
      <c r="B21" s="13"/>
      <c r="C21" s="12"/>
      <c r="D21" s="12"/>
      <c r="E21" s="12"/>
      <c r="F21" s="12"/>
      <c r="G21" s="12"/>
      <c r="H21" s="12"/>
      <c r="I21" s="12"/>
      <c r="J21" s="12"/>
      <c r="K21" s="12"/>
      <c r="L21" s="12"/>
      <c r="M21" s="3"/>
    </row>
    <row r="22" spans="1:13" ht="31.2" customHeight="1" x14ac:dyDescent="0.3">
      <c r="A22" s="12" t="s">
        <v>3</v>
      </c>
      <c r="B22" s="242" t="s">
        <v>106</v>
      </c>
      <c r="C22" s="242"/>
      <c r="D22" s="242"/>
      <c r="E22" s="242"/>
      <c r="F22" s="242"/>
      <c r="G22" s="242"/>
      <c r="H22" s="242"/>
      <c r="I22" s="242"/>
      <c r="J22" s="242"/>
      <c r="K22" s="242"/>
      <c r="L22" s="242"/>
      <c r="M22" s="3"/>
    </row>
    <row r="23" spans="1:13" ht="16.2" x14ac:dyDescent="0.35">
      <c r="A23" s="9"/>
      <c r="B23" s="9" t="s">
        <v>1</v>
      </c>
      <c r="C23" s="9"/>
      <c r="D23" s="11"/>
      <c r="E23" s="11"/>
      <c r="F23" s="7"/>
      <c r="G23" s="7"/>
      <c r="H23" s="7"/>
      <c r="I23" s="8"/>
      <c r="J23" s="8"/>
      <c r="K23" s="8"/>
      <c r="L23" s="8"/>
      <c r="M23" s="8"/>
    </row>
    <row r="24" spans="1:13" ht="16.2" x14ac:dyDescent="0.35">
      <c r="A24" s="218"/>
      <c r="B24" s="180"/>
      <c r="C24" s="180"/>
      <c r="D24" s="181"/>
      <c r="E24" s="181"/>
      <c r="F24" s="62"/>
      <c r="G24"/>
      <c r="H24"/>
      <c r="I24"/>
      <c r="J24"/>
      <c r="M24" s="4"/>
    </row>
    <row r="25" spans="1:13" x14ac:dyDescent="0.3">
      <c r="E25" s="137" t="s">
        <v>343</v>
      </c>
      <c r="F25" s="137" t="s">
        <v>328</v>
      </c>
      <c r="G25"/>
      <c r="H25"/>
      <c r="I25"/>
      <c r="J25"/>
      <c r="M25" s="4"/>
    </row>
    <row r="26" spans="1:13" x14ac:dyDescent="0.3">
      <c r="B26" s="145" t="s">
        <v>330</v>
      </c>
      <c r="C26" s="176">
        <f>(D6*D9/(D7*C12))+(D9*D8*D12)</f>
        <v>1.5900647304040894</v>
      </c>
      <c r="E26" s="137">
        <v>1</v>
      </c>
      <c r="F26" s="179">
        <f>C12</f>
        <v>0.79</v>
      </c>
      <c r="G26"/>
      <c r="H26"/>
      <c r="I26"/>
      <c r="J26"/>
      <c r="M26" s="4"/>
    </row>
    <row r="27" spans="1:13" x14ac:dyDescent="0.3">
      <c r="B27" s="145" t="s">
        <v>331</v>
      </c>
      <c r="C27" s="176">
        <f>D$9*D$8*D13</f>
        <v>0.79753994999999989</v>
      </c>
      <c r="E27" s="137">
        <v>2</v>
      </c>
      <c r="F27" s="179">
        <f>C13-C12</f>
        <v>0.13</v>
      </c>
      <c r="G27"/>
      <c r="H27"/>
      <c r="I27"/>
      <c r="J27"/>
      <c r="M27" s="4"/>
    </row>
    <row r="28" spans="1:13" x14ac:dyDescent="0.3">
      <c r="B28" s="145" t="s">
        <v>332</v>
      </c>
      <c r="C28" s="176">
        <f t="shared" ref="C28:C29" si="0">D$9*D$8*D14</f>
        <v>0.26238285</v>
      </c>
      <c r="E28" s="137">
        <v>3</v>
      </c>
      <c r="F28" s="179">
        <f>C14-C13</f>
        <v>5.9999999999999942E-2</v>
      </c>
      <c r="G28"/>
      <c r="H28"/>
      <c r="I28"/>
      <c r="J28"/>
      <c r="M28" s="4"/>
    </row>
    <row r="29" spans="1:13" x14ac:dyDescent="0.3">
      <c r="B29" s="175" t="s">
        <v>333</v>
      </c>
      <c r="C29" s="176">
        <f t="shared" si="0"/>
        <v>0.24419789999999997</v>
      </c>
      <c r="E29" s="137">
        <v>4</v>
      </c>
      <c r="F29" s="179">
        <f>C15-C14</f>
        <v>2.0000000000000018E-2</v>
      </c>
      <c r="G29"/>
      <c r="H29"/>
      <c r="I29"/>
      <c r="J29"/>
      <c r="M29" s="4"/>
    </row>
    <row r="30" spans="1:13" x14ac:dyDescent="0.3">
      <c r="G30"/>
      <c r="H30"/>
      <c r="I30"/>
      <c r="J30"/>
      <c r="M30" s="4"/>
    </row>
    <row r="31" spans="1:13" x14ac:dyDescent="0.3">
      <c r="B31" s="145" t="s">
        <v>334</v>
      </c>
      <c r="C31" s="176" cm="1">
        <f t="array" ref="C31">SUMPRODUCT(C26:C$29*F26:F$29)/SUM(F26:F$29)</f>
        <v>1.3804582595192305</v>
      </c>
      <c r="E31" s="177" t="s">
        <v>329</v>
      </c>
      <c r="G31"/>
      <c r="H31"/>
      <c r="I31"/>
      <c r="J31"/>
      <c r="M31" s="4"/>
    </row>
    <row r="32" spans="1:13" x14ac:dyDescent="0.3">
      <c r="B32" s="145" t="s">
        <v>335</v>
      </c>
      <c r="C32" s="176" cm="1">
        <f t="array" ref="C32">SUMPRODUCT(C27:C$29*F27:F$29)/SUM(F27:F$29)</f>
        <v>0.59193867857142857</v>
      </c>
      <c r="G32"/>
      <c r="H32"/>
      <c r="I32"/>
      <c r="J32"/>
      <c r="M32" s="4"/>
    </row>
    <row r="33" spans="1:24" x14ac:dyDescent="0.3">
      <c r="B33" s="145" t="s">
        <v>336</v>
      </c>
      <c r="C33" s="176" cm="1">
        <f t="array" ref="C33">SUMPRODUCT(C28:C$29*F28:F$29)/SUM(F28:F$29)</f>
        <v>0.25783661250000001</v>
      </c>
      <c r="G33"/>
      <c r="H33"/>
      <c r="I33"/>
      <c r="J33"/>
      <c r="M33" s="4"/>
    </row>
    <row r="34" spans="1:24" x14ac:dyDescent="0.3">
      <c r="B34" s="145" t="s">
        <v>337</v>
      </c>
      <c r="C34" s="176" cm="1">
        <f t="array" ref="C34">SUMPRODUCT(C29:C$29*F29:F$29)/SUM(F29:F$29)</f>
        <v>0.24419789999999994</v>
      </c>
      <c r="G34"/>
      <c r="H34"/>
      <c r="I34"/>
      <c r="J34"/>
      <c r="M34" s="4"/>
    </row>
    <row r="35" spans="1:24" x14ac:dyDescent="0.3">
      <c r="M35" s="4"/>
    </row>
    <row r="36" spans="1:24" ht="31.2" customHeight="1" x14ac:dyDescent="0.3">
      <c r="A36" s="12" t="s">
        <v>2</v>
      </c>
      <c r="B36" s="242" t="s">
        <v>107</v>
      </c>
      <c r="C36" s="242"/>
      <c r="D36" s="242"/>
      <c r="E36" s="242"/>
      <c r="F36" s="242"/>
      <c r="G36" s="242"/>
      <c r="H36" s="242"/>
      <c r="I36" s="242"/>
      <c r="J36" s="242"/>
      <c r="K36" s="242"/>
      <c r="L36" s="242"/>
      <c r="M36" s="3"/>
    </row>
    <row r="37" spans="1:24" ht="16.2" x14ac:dyDescent="0.35">
      <c r="A37" s="9"/>
      <c r="B37" s="9" t="s">
        <v>1</v>
      </c>
      <c r="C37" s="9"/>
      <c r="D37" s="11"/>
      <c r="E37" s="11"/>
      <c r="F37" s="7"/>
      <c r="G37" s="7"/>
      <c r="H37" s="7"/>
      <c r="I37" s="8"/>
      <c r="J37" s="8"/>
      <c r="K37" s="8"/>
      <c r="L37" s="8"/>
      <c r="M37" s="8"/>
    </row>
    <row r="38" spans="1:24" x14ac:dyDescent="0.3">
      <c r="A38" s="217"/>
      <c r="B38" s="235" t="s">
        <v>434</v>
      </c>
      <c r="C38" s="229"/>
      <c r="D38" s="229"/>
      <c r="E38" s="229"/>
      <c r="F38" s="229"/>
      <c r="G38" s="229"/>
      <c r="H38" s="229"/>
      <c r="I38" s="229"/>
      <c r="J38" s="229"/>
      <c r="K38" s="229"/>
      <c r="L38" s="229"/>
      <c r="M38" s="229"/>
    </row>
    <row r="39" spans="1:24" x14ac:dyDescent="0.3">
      <c r="B39" s="229"/>
      <c r="C39" s="229"/>
      <c r="D39" s="229"/>
      <c r="E39" s="229"/>
      <c r="F39" s="229"/>
      <c r="G39" s="229"/>
      <c r="H39" s="229"/>
      <c r="I39" s="229"/>
      <c r="J39" s="229"/>
      <c r="K39" s="229"/>
      <c r="L39" s="229"/>
      <c r="M39" s="229"/>
    </row>
    <row r="40" spans="1:24" x14ac:dyDescent="0.3">
      <c r="B40" s="229"/>
      <c r="C40" s="229"/>
      <c r="D40" s="229"/>
      <c r="E40" s="229"/>
      <c r="F40" s="229"/>
      <c r="G40" s="229"/>
      <c r="H40" s="229"/>
      <c r="I40" s="229"/>
      <c r="J40" s="229"/>
      <c r="K40" s="229"/>
      <c r="L40" s="229"/>
      <c r="M40" s="229"/>
    </row>
    <row r="41" spans="1:24" x14ac:dyDescent="0.3">
      <c r="A41" s="12" t="s">
        <v>4</v>
      </c>
      <c r="B41" s="242" t="s">
        <v>108</v>
      </c>
      <c r="C41" s="242"/>
      <c r="D41" s="242"/>
      <c r="E41" s="242"/>
      <c r="F41" s="242"/>
      <c r="G41" s="242"/>
      <c r="H41" s="242"/>
      <c r="I41" s="242"/>
      <c r="J41" s="242"/>
      <c r="K41" s="242"/>
      <c r="L41" s="242"/>
      <c r="M41" s="3"/>
    </row>
    <row r="42" spans="1:24" ht="16.2" x14ac:dyDescent="0.35">
      <c r="A42" s="9"/>
      <c r="B42" s="9" t="s">
        <v>1</v>
      </c>
      <c r="C42" s="9"/>
      <c r="D42" s="11"/>
      <c r="E42" s="11"/>
      <c r="F42" s="7"/>
      <c r="G42" s="7"/>
      <c r="H42" s="7"/>
      <c r="I42" s="8"/>
      <c r="J42" s="8"/>
      <c r="K42" s="8"/>
      <c r="L42" s="8"/>
      <c r="M42" s="8"/>
    </row>
    <row r="43" spans="1:24" x14ac:dyDescent="0.3">
      <c r="H43"/>
      <c r="I43"/>
      <c r="J43"/>
      <c r="K43"/>
      <c r="L43"/>
      <c r="M43" s="4"/>
    </row>
    <row r="44" spans="1:24" ht="31.2" x14ac:dyDescent="0.3">
      <c r="B44" s="137" t="s">
        <v>338</v>
      </c>
      <c r="C44" s="140" t="s">
        <v>339</v>
      </c>
      <c r="D44" s="140" t="s">
        <v>340</v>
      </c>
      <c r="E44" s="140" t="s">
        <v>341</v>
      </c>
      <c r="F44" s="137" t="s">
        <v>342</v>
      </c>
      <c r="H44"/>
      <c r="I44"/>
      <c r="J44"/>
      <c r="K44"/>
      <c r="L44"/>
      <c r="M44" s="4"/>
    </row>
    <row r="45" spans="1:24" x14ac:dyDescent="0.3">
      <c r="B45" s="137">
        <f>B18</f>
        <v>2019</v>
      </c>
      <c r="C45" s="166">
        <f>C18-D18</f>
        <v>34200</v>
      </c>
      <c r="D45" s="166">
        <f>C45*C33</f>
        <v>8818.0121474999996</v>
      </c>
      <c r="E45" s="166">
        <f>E18+D45</f>
        <v>354608.01214750001</v>
      </c>
      <c r="F45" s="166">
        <f>E45-F18</f>
        <v>3488.0121475000051</v>
      </c>
      <c r="H45"/>
      <c r="I45"/>
      <c r="J45"/>
      <c r="K45"/>
      <c r="L45"/>
      <c r="M45" s="4"/>
    </row>
    <row r="46" spans="1:24" x14ac:dyDescent="0.3">
      <c r="B46" s="137">
        <f>B19</f>
        <v>2020</v>
      </c>
      <c r="C46" s="166">
        <f>C19-D19</f>
        <v>56130</v>
      </c>
      <c r="D46" s="166">
        <f>C46*C32</f>
        <v>33225.518028214283</v>
      </c>
      <c r="E46" s="166">
        <f>E19+D46</f>
        <v>372795.51802821428</v>
      </c>
      <c r="F46" s="166">
        <f>E46-F19</f>
        <v>27115.518028214283</v>
      </c>
      <c r="H46"/>
      <c r="I46"/>
      <c r="J46"/>
      <c r="K46"/>
      <c r="L46"/>
      <c r="M46" s="4"/>
      <c r="N46" s="4"/>
      <c r="O46" s="4"/>
      <c r="P46" s="4"/>
      <c r="Q46" s="4"/>
      <c r="R46" s="4"/>
      <c r="S46" s="4"/>
      <c r="T46" s="4"/>
      <c r="U46" s="4"/>
      <c r="V46" s="4"/>
      <c r="W46" s="4"/>
      <c r="X46" s="4"/>
    </row>
    <row r="47" spans="1:24" x14ac:dyDescent="0.3">
      <c r="B47" s="137">
        <f>B20</f>
        <v>2021</v>
      </c>
      <c r="C47" s="166">
        <f>C20-D20</f>
        <v>289800</v>
      </c>
      <c r="D47" s="166">
        <f>C47*C31</f>
        <v>400056.80360867298</v>
      </c>
      <c r="E47" s="166">
        <f>E20+D47</f>
        <v>400056.80360867298</v>
      </c>
      <c r="F47" s="166">
        <f>E47-F20</f>
        <v>14412.803608672984</v>
      </c>
      <c r="H47"/>
      <c r="I47"/>
      <c r="J47"/>
      <c r="K47"/>
      <c r="L47"/>
      <c r="M47" s="4"/>
      <c r="N47" s="4"/>
      <c r="O47" s="4"/>
      <c r="P47" s="4"/>
      <c r="Q47" s="4"/>
      <c r="R47" s="4"/>
      <c r="S47" s="4"/>
      <c r="T47" s="4"/>
      <c r="U47" s="4"/>
      <c r="V47" s="4"/>
      <c r="W47" s="4"/>
      <c r="X47" s="4"/>
    </row>
    <row r="48" spans="1:24" ht="15.75" customHeight="1" x14ac:dyDescent="0.3">
      <c r="B48" s="138"/>
      <c r="C48" s="182"/>
      <c r="D48" s="182"/>
      <c r="E48" s="182"/>
      <c r="F48" s="188">
        <f>SUM(F45:F47)</f>
        <v>45016.333784387272</v>
      </c>
      <c r="H48"/>
      <c r="I48"/>
      <c r="J48"/>
      <c r="K48"/>
      <c r="L48"/>
      <c r="M48" s="4"/>
      <c r="N48" s="4"/>
      <c r="O48" s="4"/>
      <c r="P48" s="4"/>
      <c r="Q48" s="4"/>
      <c r="R48" s="4"/>
      <c r="S48" s="4"/>
      <c r="T48" s="4"/>
      <c r="U48" s="4"/>
      <c r="V48" s="4"/>
      <c r="W48" s="4"/>
      <c r="X48" s="4"/>
    </row>
    <row r="49" spans="8:24" ht="15.75" customHeight="1" x14ac:dyDescent="0.3">
      <c r="H49"/>
      <c r="I49"/>
      <c r="J49"/>
      <c r="K49"/>
      <c r="L49"/>
      <c r="M49" s="4"/>
      <c r="N49" s="4"/>
      <c r="O49" s="4"/>
      <c r="P49" s="4"/>
      <c r="Q49" s="4"/>
      <c r="R49" s="4"/>
      <c r="S49" s="4"/>
      <c r="T49" s="4"/>
      <c r="U49" s="4"/>
      <c r="V49" s="4"/>
      <c r="W49" s="4"/>
      <c r="X49" s="4"/>
    </row>
    <row r="50" spans="8:24" ht="15.75" customHeight="1" x14ac:dyDescent="0.3">
      <c r="H50"/>
      <c r="I50"/>
      <c r="J50"/>
      <c r="K50"/>
      <c r="L50"/>
      <c r="M50" s="4"/>
      <c r="N50" s="4"/>
      <c r="O50" s="4"/>
      <c r="P50" s="4"/>
      <c r="Q50" s="4"/>
      <c r="R50" s="4"/>
      <c r="S50" s="4"/>
      <c r="T50" s="4"/>
      <c r="U50" s="4"/>
      <c r="V50" s="4"/>
      <c r="W50" s="4"/>
      <c r="X50" s="4"/>
    </row>
    <row r="51" spans="8:24" ht="15.75" customHeight="1" x14ac:dyDescent="0.3">
      <c r="M51" s="4"/>
      <c r="N51" s="4"/>
      <c r="O51" s="4"/>
      <c r="P51" s="4"/>
      <c r="Q51" s="4"/>
      <c r="R51" s="4"/>
      <c r="S51" s="4"/>
      <c r="T51" s="4"/>
      <c r="U51" s="4"/>
      <c r="V51" s="4"/>
      <c r="W51" s="4"/>
      <c r="X51" s="4"/>
    </row>
    <row r="52" spans="8:24" ht="15.75" customHeight="1" x14ac:dyDescent="0.3">
      <c r="M52" s="4"/>
      <c r="N52" s="4"/>
      <c r="O52" s="4"/>
      <c r="P52" s="4"/>
      <c r="Q52" s="4"/>
      <c r="R52" s="4"/>
      <c r="S52" s="4"/>
      <c r="T52" s="4"/>
      <c r="U52" s="4"/>
      <c r="V52" s="4"/>
      <c r="W52" s="4"/>
      <c r="X52" s="4"/>
    </row>
    <row r="53" spans="8:24" ht="15.75" customHeight="1" x14ac:dyDescent="0.3">
      <c r="M53" s="4"/>
      <c r="N53" s="4"/>
      <c r="O53" s="4"/>
      <c r="P53" s="4"/>
      <c r="Q53" s="4"/>
      <c r="R53" s="4"/>
      <c r="S53" s="4"/>
      <c r="T53" s="4"/>
      <c r="U53" s="4"/>
      <c r="V53" s="4"/>
      <c r="W53" s="4"/>
      <c r="X53" s="4"/>
    </row>
    <row r="54" spans="8:24" ht="15.75" customHeight="1" x14ac:dyDescent="0.3">
      <c r="M54" s="4"/>
      <c r="N54" s="4"/>
      <c r="O54" s="4"/>
      <c r="P54" s="4"/>
      <c r="Q54" s="4"/>
      <c r="R54" s="4"/>
      <c r="S54" s="4"/>
      <c r="T54" s="4"/>
      <c r="U54" s="4"/>
      <c r="V54" s="4"/>
      <c r="W54" s="4"/>
      <c r="X54" s="4"/>
    </row>
    <row r="55" spans="8:24" ht="15.75" customHeight="1" x14ac:dyDescent="0.3">
      <c r="M55" s="4"/>
      <c r="N55" s="4"/>
      <c r="O55" s="4"/>
      <c r="P55" s="4"/>
      <c r="Q55" s="4"/>
      <c r="R55" s="4"/>
      <c r="S55" s="4"/>
      <c r="T55" s="4"/>
      <c r="U55" s="4"/>
      <c r="V55" s="4"/>
      <c r="W55" s="4"/>
      <c r="X55" s="4"/>
    </row>
    <row r="56" spans="8:24" ht="15.75" customHeight="1" x14ac:dyDescent="0.3">
      <c r="M56" s="4"/>
      <c r="N56" s="4"/>
      <c r="O56" s="4"/>
      <c r="P56" s="4"/>
      <c r="Q56" s="4"/>
      <c r="R56" s="4"/>
      <c r="S56" s="4"/>
      <c r="T56" s="4"/>
      <c r="U56" s="4"/>
      <c r="V56" s="4"/>
      <c r="W56" s="4"/>
      <c r="X56" s="4"/>
    </row>
    <row r="57" spans="8:24" ht="15.75" customHeight="1" x14ac:dyDescent="0.3">
      <c r="M57" s="4"/>
      <c r="N57" s="4"/>
      <c r="O57" s="4"/>
      <c r="P57" s="4"/>
      <c r="Q57" s="4"/>
      <c r="R57" s="4"/>
      <c r="S57" s="4"/>
      <c r="T57" s="4"/>
      <c r="U57" s="4"/>
      <c r="V57" s="4"/>
      <c r="W57" s="4"/>
      <c r="X57" s="4"/>
    </row>
    <row r="58" spans="8:24" ht="15.75" customHeight="1" x14ac:dyDescent="0.3">
      <c r="M58" s="4"/>
      <c r="N58" s="4"/>
      <c r="O58" s="4"/>
      <c r="P58" s="4"/>
      <c r="Q58" s="4"/>
      <c r="R58" s="4"/>
      <c r="S58" s="4"/>
      <c r="T58" s="4"/>
      <c r="U58" s="4"/>
      <c r="V58" s="4"/>
      <c r="W58" s="4"/>
      <c r="X58" s="4"/>
    </row>
    <row r="59" spans="8:24" ht="15.75" customHeight="1" x14ac:dyDescent="0.3">
      <c r="M59" s="4"/>
      <c r="N59" s="4"/>
      <c r="O59" s="4"/>
      <c r="P59" s="4"/>
      <c r="Q59" s="4"/>
      <c r="R59" s="4"/>
      <c r="S59" s="4"/>
      <c r="T59" s="4"/>
      <c r="U59" s="4"/>
      <c r="V59" s="4"/>
      <c r="W59" s="4"/>
      <c r="X59" s="4"/>
    </row>
    <row r="60" spans="8:24" ht="15.75" customHeight="1" x14ac:dyDescent="0.3"/>
    <row r="61" spans="8:24" ht="15.75" customHeight="1" x14ac:dyDescent="0.3"/>
    <row r="62" spans="8:24" ht="15.75" customHeight="1" x14ac:dyDescent="0.3"/>
    <row r="63" spans="8:24" ht="15.75" customHeight="1" x14ac:dyDescent="0.3"/>
    <row r="64" spans="8:24" ht="15.75" customHeight="1" x14ac:dyDescent="0.3"/>
    <row r="65" ht="15.75" customHeight="1" x14ac:dyDescent="0.3"/>
    <row r="66" ht="15.75" customHeight="1" x14ac:dyDescent="0.3"/>
  </sheetData>
  <mergeCells count="10">
    <mergeCell ref="B22:L22"/>
    <mergeCell ref="B36:L36"/>
    <mergeCell ref="B41:L41"/>
    <mergeCell ref="A3:L3"/>
    <mergeCell ref="A5:D5"/>
    <mergeCell ref="A6:C6"/>
    <mergeCell ref="A7:C7"/>
    <mergeCell ref="A8:C8"/>
    <mergeCell ref="A9:C9"/>
    <mergeCell ref="B38:M40"/>
  </mergeCells>
  <phoneticPr fontId="1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D511-AB4F-4D4A-9338-8A96E4B80BBE}">
  <dimension ref="A1:AA158"/>
  <sheetViews>
    <sheetView zoomScaleNormal="100" workbookViewId="0"/>
  </sheetViews>
  <sheetFormatPr defaultColWidth="9.109375" defaultRowHeight="15.6" x14ac:dyDescent="0.3"/>
  <cols>
    <col min="1" max="1" width="11.6640625" style="4" customWidth="1"/>
    <col min="2" max="2" width="13.6640625" style="4" customWidth="1"/>
    <col min="3" max="5" width="15.6640625" style="4" customWidth="1"/>
    <col min="6" max="6" width="13.6640625" style="4" customWidth="1"/>
    <col min="7" max="10" width="15.6640625" style="4" customWidth="1"/>
    <col min="11" max="11" width="9.33203125" style="4" customWidth="1"/>
    <col min="12" max="12" width="10.6640625" style="4" customWidth="1"/>
    <col min="13" max="18" width="8.88671875" style="4" customWidth="1"/>
    <col min="19" max="19" width="10.5546875" style="4" customWidth="1"/>
    <col min="20" max="20" width="10.6640625" style="4" customWidth="1"/>
    <col min="21" max="22" width="8.88671875" style="4" customWidth="1"/>
    <col min="23" max="24" width="9.109375" style="4" bestFit="1" customWidth="1"/>
    <col min="25" max="26" width="11.5546875" style="4" bestFit="1" customWidth="1"/>
    <col min="27" max="16384" width="9.109375" style="4"/>
  </cols>
  <sheetData>
    <row r="1" spans="1:26" ht="15.75" customHeight="1" x14ac:dyDescent="0.35">
      <c r="A1" s="1" t="s">
        <v>43</v>
      </c>
      <c r="B1" s="2"/>
      <c r="C1" s="9" t="s">
        <v>0</v>
      </c>
      <c r="D1" s="2"/>
      <c r="E1" s="2"/>
      <c r="F1" s="2"/>
      <c r="G1" s="2"/>
      <c r="H1" s="2"/>
      <c r="I1" s="2"/>
      <c r="J1" s="2"/>
      <c r="K1" s="3"/>
      <c r="L1" s="3"/>
      <c r="M1" s="3"/>
      <c r="N1"/>
      <c r="O1"/>
      <c r="P1"/>
      <c r="Q1"/>
      <c r="R1"/>
      <c r="S1"/>
      <c r="T1"/>
      <c r="U1"/>
      <c r="V1"/>
      <c r="W1"/>
      <c r="X1"/>
      <c r="Y1"/>
      <c r="Z1"/>
    </row>
    <row r="2" spans="1:26" ht="15.75" customHeight="1" x14ac:dyDescent="0.35">
      <c r="A2" s="5"/>
      <c r="B2" s="7"/>
      <c r="C2" s="7"/>
      <c r="D2" s="7"/>
      <c r="E2" s="7"/>
      <c r="F2" s="7"/>
      <c r="G2" s="7"/>
      <c r="H2" s="46"/>
      <c r="I2" s="46"/>
      <c r="J2" s="11"/>
      <c r="K2" s="11"/>
      <c r="L2" s="11"/>
      <c r="M2" s="11"/>
      <c r="N2"/>
      <c r="O2"/>
      <c r="P2"/>
      <c r="Q2"/>
      <c r="R2"/>
      <c r="S2"/>
      <c r="T2"/>
      <c r="U2"/>
      <c r="V2"/>
      <c r="W2"/>
      <c r="X2"/>
      <c r="Y2"/>
      <c r="Z2"/>
    </row>
    <row r="3" spans="1:26" x14ac:dyDescent="0.3">
      <c r="A3" s="233" t="s">
        <v>109</v>
      </c>
      <c r="B3" s="233"/>
      <c r="C3" s="233"/>
      <c r="D3" s="233"/>
      <c r="E3" s="233"/>
      <c r="F3" s="233"/>
      <c r="G3" s="233"/>
      <c r="H3" s="233"/>
      <c r="I3" s="233"/>
      <c r="J3" s="233"/>
      <c r="K3" s="233"/>
      <c r="L3" s="233"/>
      <c r="M3" s="11"/>
      <c r="W3"/>
      <c r="X3"/>
      <c r="Y3"/>
      <c r="Z3"/>
    </row>
    <row r="4" spans="1:26" x14ac:dyDescent="0.3">
      <c r="A4" s="7"/>
      <c r="B4" s="53"/>
      <c r="C4" s="8"/>
      <c r="D4" s="8"/>
      <c r="E4" s="8"/>
      <c r="F4" s="8"/>
      <c r="G4" s="8"/>
      <c r="H4" s="8"/>
      <c r="I4" s="8"/>
      <c r="J4" s="8"/>
      <c r="K4" s="8"/>
      <c r="L4" s="8"/>
      <c r="M4" s="11"/>
      <c r="N4"/>
      <c r="O4"/>
      <c r="P4"/>
      <c r="Q4"/>
      <c r="R4"/>
      <c r="S4"/>
      <c r="T4"/>
      <c r="U4"/>
      <c r="V4"/>
      <c r="W4"/>
      <c r="X4"/>
      <c r="Y4"/>
      <c r="Z4"/>
    </row>
    <row r="5" spans="1:26" x14ac:dyDescent="0.3">
      <c r="A5" s="7" t="s">
        <v>3</v>
      </c>
      <c r="B5" s="7" t="s">
        <v>110</v>
      </c>
      <c r="C5" s="7"/>
      <c r="D5" s="7"/>
      <c r="E5" s="7"/>
      <c r="F5" s="7"/>
      <c r="G5" s="7"/>
      <c r="H5" s="7"/>
      <c r="I5" s="8"/>
      <c r="J5" s="8"/>
      <c r="K5" s="8"/>
      <c r="L5" s="8"/>
      <c r="M5" s="11"/>
      <c r="N5"/>
      <c r="O5"/>
      <c r="P5"/>
      <c r="Q5"/>
      <c r="R5"/>
      <c r="S5"/>
      <c r="T5"/>
      <c r="U5"/>
      <c r="V5"/>
      <c r="W5"/>
      <c r="X5"/>
      <c r="Y5"/>
      <c r="Z5"/>
    </row>
    <row r="6" spans="1:26" ht="16.2" x14ac:dyDescent="0.35">
      <c r="A6" s="9"/>
      <c r="B6" s="9" t="s">
        <v>1</v>
      </c>
      <c r="C6" s="9"/>
      <c r="D6" s="11"/>
      <c r="E6" s="11"/>
      <c r="F6" s="7"/>
      <c r="G6" s="7"/>
      <c r="H6" s="7"/>
      <c r="I6" s="8"/>
      <c r="J6" s="8"/>
      <c r="K6" s="8"/>
      <c r="L6" s="8"/>
      <c r="M6" s="8"/>
      <c r="N6"/>
      <c r="O6"/>
      <c r="P6"/>
      <c r="Q6"/>
      <c r="R6"/>
      <c r="S6"/>
      <c r="T6"/>
      <c r="U6"/>
      <c r="V6"/>
      <c r="W6"/>
      <c r="X6"/>
      <c r="Y6"/>
      <c r="Z6"/>
    </row>
    <row r="7" spans="1:26" x14ac:dyDescent="0.3">
      <c r="B7" s="235" t="s">
        <v>344</v>
      </c>
      <c r="C7" s="229"/>
      <c r="D7" s="229"/>
      <c r="E7" s="229"/>
      <c r="F7" s="229"/>
      <c r="G7" s="229"/>
      <c r="H7" s="229"/>
      <c r="I7" s="229"/>
      <c r="J7" s="229"/>
      <c r="K7" s="229"/>
      <c r="L7" s="229"/>
      <c r="M7" s="229"/>
      <c r="N7"/>
      <c r="O7"/>
      <c r="P7"/>
      <c r="Q7"/>
      <c r="R7"/>
      <c r="S7"/>
      <c r="T7"/>
      <c r="U7"/>
      <c r="V7"/>
      <c r="W7"/>
      <c r="X7"/>
      <c r="Y7"/>
      <c r="Z7"/>
    </row>
    <row r="8" spans="1:26" x14ac:dyDescent="0.3">
      <c r="B8" s="229"/>
      <c r="C8" s="229"/>
      <c r="D8" s="229"/>
      <c r="E8" s="229"/>
      <c r="F8" s="229"/>
      <c r="G8" s="229"/>
      <c r="H8" s="229"/>
      <c r="I8" s="229"/>
      <c r="J8" s="229"/>
      <c r="K8" s="229"/>
      <c r="L8" s="229"/>
      <c r="M8" s="229"/>
      <c r="N8"/>
      <c r="O8"/>
      <c r="P8"/>
      <c r="Q8"/>
      <c r="R8"/>
      <c r="S8"/>
      <c r="T8"/>
      <c r="U8"/>
      <c r="V8"/>
      <c r="W8"/>
      <c r="X8"/>
      <c r="Y8"/>
      <c r="Z8"/>
    </row>
    <row r="9" spans="1:26" x14ac:dyDescent="0.3">
      <c r="B9" s="229"/>
      <c r="C9" s="229"/>
      <c r="D9" s="229"/>
      <c r="E9" s="229"/>
      <c r="F9" s="229"/>
      <c r="G9" s="229"/>
      <c r="H9" s="229"/>
      <c r="I9" s="229"/>
      <c r="J9" s="229"/>
      <c r="K9" s="229"/>
      <c r="L9" s="229"/>
      <c r="M9" s="229"/>
      <c r="N9"/>
      <c r="O9"/>
      <c r="P9"/>
      <c r="Q9"/>
      <c r="R9"/>
      <c r="S9"/>
      <c r="T9"/>
      <c r="U9"/>
      <c r="V9"/>
      <c r="W9"/>
      <c r="X9"/>
      <c r="Y9"/>
      <c r="Z9"/>
    </row>
    <row r="10" spans="1:26" x14ac:dyDescent="0.3">
      <c r="A10" s="7" t="s">
        <v>111</v>
      </c>
      <c r="B10" s="47"/>
      <c r="C10" s="47"/>
      <c r="D10" s="47"/>
      <c r="E10" s="47"/>
      <c r="F10" s="47"/>
      <c r="G10" s="47"/>
      <c r="H10" s="47"/>
      <c r="I10" s="47"/>
      <c r="J10" s="47"/>
      <c r="K10" s="47"/>
      <c r="L10" s="47"/>
      <c r="M10" s="11"/>
      <c r="N10"/>
      <c r="O10"/>
      <c r="P10"/>
      <c r="Q10"/>
      <c r="R10"/>
      <c r="S10"/>
      <c r="T10"/>
      <c r="U10"/>
      <c r="V10"/>
      <c r="W10"/>
      <c r="X10"/>
      <c r="Y10"/>
      <c r="Z10"/>
    </row>
    <row r="11" spans="1:26" x14ac:dyDescent="0.3">
      <c r="A11" s="7" t="s">
        <v>112</v>
      </c>
      <c r="B11" s="47"/>
      <c r="C11" s="47"/>
      <c r="D11" s="47"/>
      <c r="E11" s="47"/>
      <c r="F11" s="47"/>
      <c r="G11" s="47"/>
      <c r="H11" s="47"/>
      <c r="I11" s="47"/>
      <c r="J11" s="47"/>
      <c r="K11" s="47"/>
      <c r="L11" s="47"/>
      <c r="M11" s="11"/>
      <c r="N11"/>
      <c r="O11"/>
      <c r="P11"/>
      <c r="Q11"/>
      <c r="R11"/>
      <c r="S11"/>
      <c r="T11"/>
      <c r="U11"/>
      <c r="V11"/>
      <c r="W11"/>
      <c r="X11"/>
      <c r="Y11"/>
      <c r="Z11"/>
    </row>
    <row r="12" spans="1:26" x14ac:dyDescent="0.3">
      <c r="A12" s="7"/>
      <c r="B12" s="47"/>
      <c r="C12" s="47"/>
      <c r="D12" s="47"/>
      <c r="E12" s="47"/>
      <c r="F12" s="47"/>
      <c r="G12" s="47"/>
      <c r="H12" s="47"/>
      <c r="I12" s="47"/>
      <c r="J12" s="47"/>
      <c r="K12" s="47"/>
      <c r="L12" s="47"/>
      <c r="M12" s="11"/>
      <c r="N12"/>
      <c r="O12"/>
      <c r="P12"/>
      <c r="Q12"/>
      <c r="R12"/>
      <c r="S12"/>
      <c r="T12"/>
      <c r="U12"/>
      <c r="V12"/>
      <c r="W12"/>
      <c r="X12"/>
      <c r="Y12"/>
      <c r="Z12"/>
    </row>
    <row r="13" spans="1:26" x14ac:dyDescent="0.3">
      <c r="A13" s="7" t="s">
        <v>113</v>
      </c>
      <c r="B13" s="47"/>
      <c r="C13" s="47"/>
      <c r="D13" s="47"/>
      <c r="E13" s="47"/>
      <c r="F13" s="47"/>
      <c r="G13" s="47"/>
      <c r="H13" s="47"/>
      <c r="I13" s="47"/>
      <c r="J13" s="47"/>
      <c r="K13" s="47"/>
      <c r="L13" s="47"/>
      <c r="M13" s="11"/>
      <c r="N13"/>
      <c r="O13"/>
      <c r="P13"/>
      <c r="Q13"/>
      <c r="R13"/>
      <c r="S13"/>
      <c r="T13"/>
      <c r="U13"/>
      <c r="V13"/>
      <c r="W13"/>
      <c r="X13"/>
      <c r="Y13"/>
      <c r="Z13"/>
    </row>
    <row r="14" spans="1:26" x14ac:dyDescent="0.3">
      <c r="A14" s="7"/>
      <c r="B14" s="47"/>
      <c r="C14" s="47"/>
      <c r="D14" s="47"/>
      <c r="E14" s="47"/>
      <c r="F14" s="47"/>
      <c r="G14" s="47"/>
      <c r="H14" s="47"/>
      <c r="I14" s="47"/>
      <c r="J14" s="47"/>
      <c r="K14" s="47"/>
      <c r="L14" s="47"/>
      <c r="M14" s="11"/>
      <c r="N14"/>
      <c r="O14"/>
      <c r="P14"/>
      <c r="Q14"/>
      <c r="R14"/>
      <c r="S14"/>
      <c r="T14"/>
      <c r="U14"/>
      <c r="V14"/>
      <c r="W14"/>
      <c r="X14"/>
      <c r="Y14"/>
      <c r="Z14"/>
    </row>
    <row r="15" spans="1:26" x14ac:dyDescent="0.3">
      <c r="A15" s="13" t="s">
        <v>114</v>
      </c>
      <c r="B15" s="47"/>
      <c r="C15" s="47"/>
      <c r="D15" s="47"/>
      <c r="E15" s="47"/>
      <c r="F15" s="47"/>
      <c r="G15" s="47"/>
      <c r="H15" s="47"/>
      <c r="I15" s="47"/>
      <c r="J15" s="47"/>
      <c r="K15" s="47"/>
      <c r="L15" s="47"/>
      <c r="M15" s="11"/>
      <c r="N15"/>
      <c r="O15"/>
      <c r="P15"/>
      <c r="Q15"/>
      <c r="R15"/>
      <c r="S15"/>
      <c r="T15"/>
      <c r="U15"/>
      <c r="V15"/>
      <c r="W15"/>
      <c r="X15"/>
      <c r="Y15"/>
      <c r="Z15"/>
    </row>
    <row r="16" spans="1:26" x14ac:dyDescent="0.3">
      <c r="A16" s="13" t="s">
        <v>115</v>
      </c>
      <c r="B16" s="47"/>
      <c r="C16" s="47"/>
      <c r="D16" s="47"/>
      <c r="E16" s="47"/>
      <c r="F16" s="47"/>
      <c r="G16" s="47"/>
      <c r="H16" s="47"/>
      <c r="I16" s="47"/>
      <c r="J16" s="47"/>
      <c r="K16" s="47"/>
      <c r="L16" s="47"/>
      <c r="M16" s="11"/>
      <c r="N16"/>
      <c r="O16"/>
      <c r="P16"/>
      <c r="Q16"/>
      <c r="R16"/>
      <c r="S16"/>
      <c r="T16"/>
      <c r="U16"/>
      <c r="V16"/>
      <c r="W16"/>
      <c r="X16"/>
      <c r="Y16"/>
      <c r="Z16"/>
    </row>
    <row r="17" spans="1:27" x14ac:dyDescent="0.3">
      <c r="A17" s="13" t="s">
        <v>223</v>
      </c>
      <c r="B17" s="47"/>
      <c r="C17" s="47"/>
      <c r="D17" s="47"/>
      <c r="E17" s="47"/>
      <c r="F17" s="47"/>
      <c r="G17" s="47"/>
      <c r="H17" s="47"/>
      <c r="I17" s="47"/>
      <c r="J17" s="47"/>
      <c r="K17" s="47"/>
      <c r="L17" s="47"/>
      <c r="M17" s="11"/>
      <c r="N17"/>
      <c r="O17"/>
      <c r="P17"/>
      <c r="Q17"/>
      <c r="R17"/>
      <c r="S17"/>
      <c r="T17"/>
      <c r="U17"/>
      <c r="V17"/>
      <c r="W17"/>
      <c r="X17"/>
      <c r="Y17"/>
      <c r="Z17"/>
    </row>
    <row r="18" spans="1:27" x14ac:dyDescent="0.3">
      <c r="A18" s="7"/>
      <c r="B18" s="47"/>
      <c r="C18" s="47"/>
      <c r="D18" s="47"/>
      <c r="E18" s="47"/>
      <c r="F18" s="47"/>
      <c r="G18" s="47"/>
      <c r="H18" s="47"/>
      <c r="I18" s="47"/>
      <c r="J18" s="47"/>
      <c r="K18" s="47"/>
      <c r="L18" s="47"/>
      <c r="M18" s="11"/>
      <c r="N18"/>
      <c r="O18"/>
      <c r="P18"/>
      <c r="Q18"/>
      <c r="R18"/>
      <c r="S18"/>
      <c r="T18"/>
      <c r="U18"/>
      <c r="V18"/>
      <c r="W18"/>
      <c r="X18"/>
      <c r="Y18"/>
      <c r="Z18"/>
    </row>
    <row r="19" spans="1:27" x14ac:dyDescent="0.3">
      <c r="A19" s="7" t="s">
        <v>116</v>
      </c>
      <c r="B19" s="47"/>
      <c r="C19" s="47"/>
      <c r="D19" s="47"/>
      <c r="E19" s="47"/>
      <c r="F19" s="47"/>
      <c r="G19" s="47"/>
      <c r="H19" s="47"/>
      <c r="I19" s="47"/>
      <c r="J19" s="47"/>
      <c r="K19" s="47"/>
      <c r="L19" s="47"/>
      <c r="M19" s="11"/>
      <c r="N19"/>
      <c r="O19"/>
      <c r="P19"/>
      <c r="Q19"/>
      <c r="R19"/>
      <c r="S19"/>
      <c r="T19"/>
      <c r="U19"/>
      <c r="V19"/>
      <c r="W19"/>
      <c r="X19"/>
      <c r="Y19"/>
      <c r="Z19"/>
    </row>
    <row r="20" spans="1:27" x14ac:dyDescent="0.3">
      <c r="A20" s="7"/>
      <c r="B20" s="47"/>
      <c r="C20" s="47"/>
      <c r="D20" s="47"/>
      <c r="E20" s="47"/>
      <c r="F20" s="47"/>
      <c r="G20" s="47"/>
      <c r="H20" s="47"/>
      <c r="I20" s="47"/>
      <c r="J20" s="47"/>
      <c r="K20" s="47"/>
      <c r="L20" s="47"/>
      <c r="M20" s="11"/>
      <c r="N20"/>
      <c r="O20"/>
      <c r="P20"/>
      <c r="Q20"/>
      <c r="R20"/>
      <c r="S20"/>
      <c r="T20"/>
      <c r="U20"/>
      <c r="V20"/>
      <c r="W20"/>
      <c r="X20"/>
      <c r="Y20"/>
      <c r="Z20"/>
    </row>
    <row r="21" spans="1:27" x14ac:dyDescent="0.3">
      <c r="A21" s="13" t="s">
        <v>117</v>
      </c>
      <c r="B21" s="47"/>
      <c r="C21" s="47"/>
      <c r="D21" s="47"/>
      <c r="E21" s="47"/>
      <c r="F21" s="47"/>
      <c r="G21" s="47"/>
      <c r="H21" s="47"/>
      <c r="I21" s="47"/>
      <c r="J21" s="47"/>
      <c r="K21" s="47"/>
      <c r="L21" s="47"/>
      <c r="M21" s="11"/>
      <c r="N21"/>
      <c r="O21"/>
      <c r="P21"/>
      <c r="Q21"/>
      <c r="R21"/>
      <c r="S21"/>
      <c r="T21"/>
      <c r="U21"/>
      <c r="V21"/>
      <c r="W21"/>
      <c r="X21"/>
      <c r="Y21"/>
      <c r="Z21"/>
    </row>
    <row r="22" spans="1:27" x14ac:dyDescent="0.3">
      <c r="A22" s="13" t="s">
        <v>224</v>
      </c>
      <c r="B22" s="47"/>
      <c r="C22" s="47"/>
      <c r="D22" s="47"/>
      <c r="E22" s="47"/>
      <c r="F22" s="47"/>
      <c r="G22" s="47"/>
      <c r="H22" s="47"/>
      <c r="I22" s="47"/>
      <c r="J22" s="47"/>
      <c r="K22" s="47"/>
      <c r="L22" s="47"/>
      <c r="M22" s="11"/>
      <c r="N22"/>
      <c r="O22"/>
      <c r="P22"/>
      <c r="Q22"/>
      <c r="R22"/>
      <c r="S22"/>
      <c r="T22"/>
      <c r="U22"/>
      <c r="V22"/>
      <c r="W22"/>
      <c r="X22"/>
      <c r="Y22"/>
      <c r="Z22"/>
    </row>
    <row r="23" spans="1:27" x14ac:dyDescent="0.3">
      <c r="A23" s="13" t="s">
        <v>118</v>
      </c>
      <c r="B23" s="47"/>
      <c r="C23" s="47"/>
      <c r="D23" s="47"/>
      <c r="E23" s="47"/>
      <c r="F23" s="47"/>
      <c r="G23" s="47"/>
      <c r="H23" s="47"/>
      <c r="I23" s="47"/>
      <c r="J23" s="47"/>
      <c r="K23" s="47"/>
      <c r="L23" s="47"/>
      <c r="M23" s="11"/>
      <c r="N23"/>
      <c r="O23"/>
      <c r="P23"/>
      <c r="Q23"/>
      <c r="R23"/>
      <c r="S23"/>
      <c r="T23"/>
      <c r="U23"/>
      <c r="V23"/>
      <c r="W23"/>
      <c r="X23"/>
      <c r="Y23"/>
      <c r="Z23"/>
    </row>
    <row r="24" spans="1:27" x14ac:dyDescent="0.3">
      <c r="A24" s="13" t="s">
        <v>225</v>
      </c>
      <c r="B24" s="47"/>
      <c r="C24" s="47"/>
      <c r="D24" s="47"/>
      <c r="E24" s="47"/>
      <c r="F24" s="47"/>
      <c r="G24" s="47"/>
      <c r="H24" s="47"/>
      <c r="I24" s="47"/>
      <c r="J24" s="47"/>
      <c r="K24" s="47"/>
      <c r="L24" s="47"/>
      <c r="M24" s="11"/>
      <c r="N24"/>
      <c r="O24"/>
      <c r="P24"/>
      <c r="Q24"/>
      <c r="R24"/>
      <c r="S24"/>
      <c r="T24"/>
      <c r="U24"/>
      <c r="V24"/>
      <c r="W24"/>
      <c r="X24"/>
      <c r="Y24"/>
      <c r="Z24"/>
    </row>
    <row r="25" spans="1:27" x14ac:dyDescent="0.3">
      <c r="A25" s="47"/>
      <c r="B25" s="47"/>
      <c r="C25" s="47"/>
      <c r="D25" s="47"/>
      <c r="E25" s="47"/>
      <c r="F25" s="47"/>
      <c r="G25" s="47"/>
      <c r="H25" s="47"/>
      <c r="I25" s="47"/>
      <c r="J25" s="47"/>
      <c r="K25" s="47"/>
      <c r="L25" s="47"/>
      <c r="M25" s="11"/>
      <c r="N25"/>
      <c r="O25"/>
      <c r="P25"/>
      <c r="Q25"/>
      <c r="R25"/>
      <c r="S25"/>
      <c r="T25"/>
      <c r="U25"/>
      <c r="V25"/>
      <c r="W25"/>
      <c r="X25"/>
      <c r="Y25"/>
      <c r="Z25"/>
    </row>
    <row r="26" spans="1:27" x14ac:dyDescent="0.3">
      <c r="A26" s="7" t="s">
        <v>2</v>
      </c>
      <c r="B26" s="7" t="s">
        <v>226</v>
      </c>
      <c r="C26" s="7"/>
      <c r="D26" s="7"/>
      <c r="E26" s="7"/>
      <c r="F26" s="7"/>
      <c r="G26" s="7"/>
      <c r="H26" s="7"/>
      <c r="I26" s="8"/>
      <c r="J26" s="8"/>
      <c r="K26" s="8"/>
      <c r="L26" s="8"/>
      <c r="M26" s="11"/>
      <c r="N26"/>
      <c r="O26"/>
      <c r="P26"/>
      <c r="Q26"/>
      <c r="R26"/>
      <c r="S26"/>
      <c r="T26"/>
      <c r="U26"/>
      <c r="V26"/>
      <c r="W26"/>
      <c r="X26"/>
      <c r="Y26"/>
      <c r="Z26"/>
    </row>
    <row r="27" spans="1:27" ht="16.2" x14ac:dyDescent="0.35">
      <c r="A27" s="9"/>
      <c r="B27" s="89" t="s">
        <v>127</v>
      </c>
      <c r="C27" s="89"/>
      <c r="D27" s="90"/>
      <c r="E27" s="90"/>
      <c r="F27" s="91"/>
      <c r="G27" s="91"/>
      <c r="H27" s="7"/>
      <c r="I27" s="8"/>
      <c r="J27" s="8"/>
      <c r="K27" s="8"/>
      <c r="L27" s="8"/>
      <c r="M27" s="11"/>
      <c r="N27"/>
      <c r="O27"/>
      <c r="P27"/>
      <c r="Q27"/>
      <c r="R27"/>
      <c r="S27"/>
      <c r="T27"/>
      <c r="U27"/>
      <c r="V27"/>
      <c r="W27"/>
      <c r="X27"/>
      <c r="Y27"/>
      <c r="Z27"/>
      <c r="AA27"/>
    </row>
    <row r="28" spans="1:27" x14ac:dyDescent="0.3">
      <c r="M28"/>
      <c r="N28"/>
      <c r="O28"/>
      <c r="P28"/>
      <c r="Q28"/>
      <c r="R28"/>
      <c r="S28"/>
      <c r="T28"/>
      <c r="U28"/>
      <c r="V28"/>
      <c r="W28"/>
      <c r="X28"/>
      <c r="Y28"/>
      <c r="Z28"/>
      <c r="AA28"/>
    </row>
    <row r="29" spans="1:27" ht="46.95" customHeight="1" x14ac:dyDescent="0.3">
      <c r="B29" s="92" t="s">
        <v>119</v>
      </c>
      <c r="C29" s="258" t="s">
        <v>120</v>
      </c>
      <c r="D29" s="258"/>
      <c r="E29" s="258"/>
      <c r="F29" s="94" t="s">
        <v>121</v>
      </c>
      <c r="G29" s="254" t="s">
        <v>122</v>
      </c>
      <c r="H29" s="254"/>
      <c r="I29" s="254"/>
      <c r="J29" s="254"/>
      <c r="K29" s="92" t="s">
        <v>123</v>
      </c>
      <c r="M29"/>
      <c r="N29"/>
      <c r="O29"/>
      <c r="P29"/>
      <c r="Q29"/>
      <c r="R29"/>
      <c r="S29"/>
      <c r="T29"/>
      <c r="U29"/>
      <c r="V29"/>
      <c r="W29"/>
      <c r="X29"/>
      <c r="Y29"/>
      <c r="Z29"/>
    </row>
    <row r="30" spans="1:27" ht="15.6" customHeight="1" x14ac:dyDescent="0.3">
      <c r="B30" s="260" t="s">
        <v>124</v>
      </c>
      <c r="C30" s="262" t="s">
        <v>214</v>
      </c>
      <c r="D30" s="262"/>
      <c r="E30" s="262"/>
      <c r="F30" s="93">
        <v>5</v>
      </c>
      <c r="G30" s="257"/>
      <c r="H30" s="257"/>
      <c r="I30" s="257"/>
      <c r="J30" s="257"/>
      <c r="K30" s="255">
        <v>0.3</v>
      </c>
      <c r="M30"/>
      <c r="N30"/>
      <c r="O30"/>
      <c r="P30"/>
      <c r="Q30"/>
      <c r="R30"/>
      <c r="S30"/>
      <c r="T30"/>
      <c r="U30"/>
      <c r="V30"/>
      <c r="W30"/>
      <c r="X30"/>
      <c r="Y30"/>
      <c r="Z30"/>
    </row>
    <row r="31" spans="1:27" x14ac:dyDescent="0.3">
      <c r="B31" s="260"/>
      <c r="C31" s="262" t="s">
        <v>215</v>
      </c>
      <c r="D31" s="262"/>
      <c r="E31" s="262"/>
      <c r="F31" s="93">
        <v>1</v>
      </c>
      <c r="G31" s="257"/>
      <c r="H31" s="257"/>
      <c r="I31" s="257"/>
      <c r="J31" s="257"/>
      <c r="K31" s="256"/>
      <c r="M31"/>
      <c r="N31"/>
      <c r="O31"/>
      <c r="P31"/>
      <c r="Q31"/>
      <c r="R31"/>
      <c r="S31"/>
      <c r="T31"/>
      <c r="U31"/>
      <c r="V31"/>
      <c r="W31"/>
      <c r="X31"/>
      <c r="Y31"/>
      <c r="Z31"/>
    </row>
    <row r="32" spans="1:27" ht="48" customHeight="1" x14ac:dyDescent="0.3">
      <c r="B32" s="260" t="s">
        <v>125</v>
      </c>
      <c r="C32" s="259" t="s">
        <v>345</v>
      </c>
      <c r="D32" s="259"/>
      <c r="E32" s="259"/>
      <c r="F32" s="88">
        <v>1</v>
      </c>
      <c r="G32" s="259" t="s">
        <v>349</v>
      </c>
      <c r="H32" s="259"/>
      <c r="I32" s="259"/>
      <c r="J32" s="259"/>
      <c r="K32" s="255">
        <v>0.4</v>
      </c>
      <c r="M32"/>
      <c r="N32"/>
      <c r="O32"/>
      <c r="P32"/>
      <c r="Q32"/>
      <c r="R32"/>
      <c r="S32"/>
      <c r="T32"/>
      <c r="U32"/>
      <c r="V32"/>
      <c r="W32"/>
      <c r="X32"/>
      <c r="Y32"/>
      <c r="Z32"/>
    </row>
    <row r="33" spans="1:26" ht="33.6" customHeight="1" x14ac:dyDescent="0.3">
      <c r="B33" s="261"/>
      <c r="C33" s="259" t="s">
        <v>346</v>
      </c>
      <c r="D33" s="259"/>
      <c r="E33" s="259"/>
      <c r="F33" s="88">
        <v>5</v>
      </c>
      <c r="G33" s="259" t="s">
        <v>350</v>
      </c>
      <c r="H33" s="259"/>
      <c r="I33" s="259"/>
      <c r="J33" s="259"/>
      <c r="K33" s="256"/>
      <c r="M33"/>
      <c r="N33"/>
      <c r="O33"/>
      <c r="P33"/>
      <c r="Q33"/>
      <c r="R33"/>
      <c r="S33"/>
      <c r="T33"/>
      <c r="U33"/>
      <c r="V33"/>
      <c r="W33"/>
      <c r="X33"/>
      <c r="Y33"/>
      <c r="Z33"/>
    </row>
    <row r="34" spans="1:26" ht="32.4" customHeight="1" x14ac:dyDescent="0.3">
      <c r="B34" s="261" t="s">
        <v>126</v>
      </c>
      <c r="C34" s="259" t="s">
        <v>347</v>
      </c>
      <c r="D34" s="259"/>
      <c r="E34" s="259"/>
      <c r="F34" s="88">
        <v>5</v>
      </c>
      <c r="G34" s="259" t="s">
        <v>351</v>
      </c>
      <c r="H34" s="259"/>
      <c r="I34" s="259"/>
      <c r="J34" s="259"/>
      <c r="K34" s="255">
        <v>0.3</v>
      </c>
      <c r="M34"/>
      <c r="N34"/>
      <c r="O34"/>
      <c r="P34"/>
      <c r="Q34"/>
      <c r="R34"/>
      <c r="S34"/>
      <c r="T34"/>
      <c r="U34"/>
      <c r="V34"/>
      <c r="W34"/>
      <c r="X34"/>
      <c r="Y34"/>
      <c r="Z34"/>
    </row>
    <row r="35" spans="1:26" ht="31.2" customHeight="1" x14ac:dyDescent="0.3">
      <c r="B35" s="261"/>
      <c r="C35" s="259" t="s">
        <v>348</v>
      </c>
      <c r="D35" s="259"/>
      <c r="E35" s="259"/>
      <c r="F35" s="88">
        <v>5</v>
      </c>
      <c r="G35" s="259" t="s">
        <v>352</v>
      </c>
      <c r="H35" s="259"/>
      <c r="I35" s="259"/>
      <c r="J35" s="259"/>
      <c r="K35" s="256"/>
      <c r="M35"/>
      <c r="N35"/>
      <c r="O35"/>
      <c r="P35"/>
      <c r="Q35"/>
      <c r="R35"/>
      <c r="S35"/>
      <c r="T35"/>
      <c r="U35"/>
      <c r="V35"/>
      <c r="W35"/>
      <c r="X35"/>
      <c r="Y35"/>
      <c r="Z35"/>
    </row>
    <row r="36" spans="1:26" x14ac:dyDescent="0.3">
      <c r="M36"/>
      <c r="N36"/>
      <c r="O36"/>
      <c r="P36"/>
      <c r="Q36"/>
      <c r="R36"/>
      <c r="S36"/>
      <c r="T36"/>
      <c r="U36"/>
      <c r="V36"/>
      <c r="W36"/>
      <c r="X36"/>
      <c r="Y36"/>
      <c r="Z36"/>
    </row>
    <row r="37" spans="1:26" x14ac:dyDescent="0.3">
      <c r="A37" s="7" t="s">
        <v>128</v>
      </c>
      <c r="B37" s="47"/>
      <c r="C37" s="47"/>
      <c r="D37" s="47"/>
      <c r="E37" s="47"/>
      <c r="F37" s="47"/>
      <c r="G37" s="47"/>
      <c r="H37" s="47"/>
      <c r="I37" s="47"/>
      <c r="J37" s="47"/>
      <c r="K37" s="47"/>
      <c r="L37" s="47"/>
      <c r="M37" s="11"/>
      <c r="N37"/>
      <c r="O37"/>
      <c r="P37"/>
      <c r="Q37"/>
      <c r="R37"/>
      <c r="S37"/>
      <c r="T37"/>
      <c r="U37"/>
      <c r="V37"/>
      <c r="W37"/>
      <c r="X37"/>
      <c r="Y37"/>
      <c r="Z37"/>
    </row>
    <row r="38" spans="1:26" x14ac:dyDescent="0.3">
      <c r="A38" s="7"/>
      <c r="B38" s="47"/>
      <c r="C38" s="47"/>
      <c r="D38" s="47"/>
      <c r="E38" s="47"/>
      <c r="F38" s="47"/>
      <c r="G38" s="47"/>
      <c r="H38" s="47"/>
      <c r="I38" s="47"/>
      <c r="J38" s="47"/>
      <c r="K38" s="47"/>
      <c r="L38" s="47"/>
      <c r="M38" s="11"/>
      <c r="N38"/>
      <c r="O38"/>
      <c r="P38"/>
      <c r="Q38"/>
      <c r="R38"/>
      <c r="S38"/>
      <c r="T38"/>
      <c r="U38"/>
      <c r="V38"/>
      <c r="W38"/>
      <c r="X38"/>
      <c r="Y38"/>
      <c r="Z38"/>
    </row>
    <row r="39" spans="1:26" ht="43.2" customHeight="1" x14ac:dyDescent="0.3">
      <c r="A39" s="7"/>
      <c r="B39" s="234" t="s">
        <v>129</v>
      </c>
      <c r="C39" s="234"/>
      <c r="D39" s="234" t="s">
        <v>134</v>
      </c>
      <c r="E39" s="234"/>
      <c r="F39" s="47"/>
      <c r="G39" s="47"/>
      <c r="H39" s="47"/>
      <c r="I39" s="47"/>
      <c r="J39" s="47"/>
      <c r="K39" s="47"/>
      <c r="L39" s="47"/>
      <c r="M39" s="11"/>
      <c r="N39"/>
      <c r="O39"/>
      <c r="P39"/>
      <c r="Q39"/>
      <c r="R39"/>
      <c r="S39"/>
      <c r="T39"/>
      <c r="U39"/>
      <c r="V39"/>
      <c r="W39"/>
      <c r="X39"/>
      <c r="Y39"/>
      <c r="Z39"/>
    </row>
    <row r="40" spans="1:26" x14ac:dyDescent="0.3">
      <c r="A40" s="7"/>
      <c r="B40" s="264" t="s">
        <v>130</v>
      </c>
      <c r="C40" s="264"/>
      <c r="D40" s="263">
        <v>0.125</v>
      </c>
      <c r="E40" s="263"/>
      <c r="F40" s="47"/>
      <c r="G40" s="47"/>
      <c r="H40" s="47"/>
      <c r="I40" s="47"/>
      <c r="J40" s="47"/>
      <c r="K40" s="47"/>
      <c r="L40" s="47"/>
      <c r="M40" s="11"/>
      <c r="N40"/>
      <c r="O40"/>
      <c r="P40"/>
      <c r="Q40"/>
      <c r="R40"/>
      <c r="S40"/>
      <c r="T40"/>
      <c r="U40"/>
      <c r="V40"/>
      <c r="W40"/>
      <c r="X40"/>
      <c r="Y40"/>
      <c r="Z40"/>
    </row>
    <row r="41" spans="1:26" x14ac:dyDescent="0.3">
      <c r="A41" s="7"/>
      <c r="B41" s="264" t="s">
        <v>131</v>
      </c>
      <c r="C41" s="264"/>
      <c r="D41" s="263">
        <v>8.5000000000000006E-2</v>
      </c>
      <c r="E41" s="263"/>
      <c r="F41" s="47"/>
      <c r="G41" s="47"/>
      <c r="H41" s="47"/>
      <c r="I41" s="47"/>
      <c r="J41" s="47"/>
      <c r="K41" s="47"/>
      <c r="L41" s="47"/>
      <c r="M41" s="11"/>
      <c r="N41"/>
      <c r="O41"/>
      <c r="P41"/>
      <c r="Q41"/>
      <c r="R41"/>
      <c r="S41"/>
      <c r="T41"/>
      <c r="U41"/>
      <c r="V41"/>
      <c r="W41"/>
      <c r="X41"/>
      <c r="Y41"/>
      <c r="Z41"/>
    </row>
    <row r="42" spans="1:26" x14ac:dyDescent="0.3">
      <c r="A42" s="7"/>
      <c r="B42" s="264" t="s">
        <v>132</v>
      </c>
      <c r="C42" s="264"/>
      <c r="D42" s="263">
        <v>6.5000000000000002E-2</v>
      </c>
      <c r="E42" s="263"/>
      <c r="F42" s="47"/>
      <c r="G42" s="47"/>
      <c r="H42" s="47"/>
      <c r="I42" s="47"/>
      <c r="J42" s="47"/>
      <c r="K42" s="47"/>
      <c r="L42" s="47"/>
      <c r="M42" s="11"/>
      <c r="N42"/>
      <c r="O42"/>
      <c r="P42"/>
      <c r="Q42"/>
      <c r="R42"/>
      <c r="S42"/>
      <c r="T42"/>
      <c r="U42"/>
      <c r="V42"/>
      <c r="W42"/>
      <c r="X42"/>
      <c r="Y42"/>
      <c r="Z42"/>
    </row>
    <row r="43" spans="1:26" x14ac:dyDescent="0.3">
      <c r="A43" s="7"/>
      <c r="B43" s="264" t="s">
        <v>133</v>
      </c>
      <c r="C43" s="264"/>
      <c r="D43" s="263">
        <v>5.5E-2</v>
      </c>
      <c r="E43" s="263"/>
      <c r="F43" s="47"/>
      <c r="G43" s="47"/>
      <c r="H43" s="47"/>
      <c r="I43" s="47"/>
      <c r="J43" s="47"/>
      <c r="K43" s="47"/>
      <c r="L43" s="47"/>
      <c r="M43" s="11"/>
      <c r="N43"/>
      <c r="O43"/>
      <c r="P43"/>
      <c r="Q43"/>
      <c r="R43"/>
      <c r="S43"/>
      <c r="T43"/>
      <c r="U43"/>
      <c r="V43"/>
      <c r="W43"/>
      <c r="X43"/>
      <c r="Y43"/>
      <c r="Z43"/>
    </row>
    <row r="44" spans="1:26" x14ac:dyDescent="0.3">
      <c r="A44" s="7"/>
      <c r="B44" s="47"/>
      <c r="C44" s="47"/>
      <c r="D44" s="47"/>
      <c r="E44" s="47"/>
      <c r="F44" s="47"/>
      <c r="G44" s="47"/>
      <c r="H44" s="47"/>
      <c r="I44" s="47"/>
      <c r="J44" s="47"/>
      <c r="K44" s="47"/>
      <c r="L44" s="47"/>
      <c r="M44" s="11"/>
      <c r="N44"/>
      <c r="O44"/>
      <c r="P44"/>
      <c r="Q44"/>
      <c r="R44"/>
      <c r="S44"/>
      <c r="T44"/>
      <c r="U44"/>
      <c r="V44"/>
      <c r="W44"/>
      <c r="X44"/>
      <c r="Y44"/>
      <c r="Z44"/>
    </row>
    <row r="45" spans="1:26" x14ac:dyDescent="0.3">
      <c r="A45" s="12" t="s">
        <v>4</v>
      </c>
      <c r="B45" s="242" t="s">
        <v>135</v>
      </c>
      <c r="C45" s="242"/>
      <c r="D45" s="242"/>
      <c r="E45" s="242"/>
      <c r="F45" s="242"/>
      <c r="G45" s="242"/>
      <c r="H45" s="242"/>
      <c r="I45" s="242"/>
      <c r="J45" s="242"/>
      <c r="K45" s="242"/>
      <c r="L45" s="242"/>
      <c r="M45" s="3"/>
      <c r="N45"/>
      <c r="O45"/>
      <c r="P45"/>
      <c r="Q45"/>
      <c r="R45"/>
      <c r="S45"/>
      <c r="T45"/>
      <c r="U45"/>
      <c r="V45"/>
      <c r="W45"/>
      <c r="X45"/>
      <c r="Y45"/>
      <c r="Z45"/>
    </row>
    <row r="46" spans="1:26" ht="16.2" x14ac:dyDescent="0.35">
      <c r="A46" s="9"/>
      <c r="B46" s="9" t="s">
        <v>1</v>
      </c>
      <c r="C46" s="9"/>
      <c r="D46" s="11"/>
      <c r="E46" s="11"/>
      <c r="F46" s="7"/>
      <c r="G46" s="7"/>
      <c r="H46" s="7"/>
      <c r="I46" s="8"/>
      <c r="J46" s="8"/>
      <c r="K46" s="8"/>
      <c r="L46" s="8"/>
      <c r="M46" s="8"/>
      <c r="N46"/>
      <c r="O46"/>
      <c r="P46"/>
      <c r="Q46"/>
      <c r="R46"/>
      <c r="S46"/>
      <c r="T46"/>
      <c r="U46"/>
      <c r="V46"/>
      <c r="W46"/>
      <c r="X46"/>
      <c r="Y46"/>
      <c r="Z46"/>
    </row>
    <row r="47" spans="1:26" x14ac:dyDescent="0.3">
      <c r="N47"/>
      <c r="O47"/>
      <c r="P47"/>
      <c r="Q47"/>
      <c r="R47"/>
      <c r="S47"/>
      <c r="T47"/>
      <c r="U47"/>
      <c r="V47"/>
      <c r="W47"/>
      <c r="X47"/>
      <c r="Y47"/>
      <c r="Z47"/>
    </row>
    <row r="48" spans="1:26" x14ac:dyDescent="0.3">
      <c r="B48" s="4" t="s">
        <v>353</v>
      </c>
      <c r="D48" s="4">
        <f>K30*AVERAGE(F30:F31)+K32*AVERAGE(F32:F33)+K34*AVERAGE(F34:F35)</f>
        <v>3.6</v>
      </c>
      <c r="N48"/>
      <c r="O48"/>
      <c r="P48"/>
      <c r="Q48"/>
      <c r="R48"/>
      <c r="S48"/>
      <c r="T48"/>
      <c r="U48"/>
      <c r="V48"/>
      <c r="W48"/>
      <c r="X48"/>
      <c r="Y48"/>
      <c r="Z48"/>
    </row>
    <row r="49" spans="2:26" x14ac:dyDescent="0.3">
      <c r="B49" s="4" t="s">
        <v>134</v>
      </c>
      <c r="D49" s="183">
        <v>6.5000000000000002E-2</v>
      </c>
      <c r="E49" s="4" t="s">
        <v>354</v>
      </c>
      <c r="N49"/>
      <c r="O49"/>
      <c r="P49"/>
      <c r="Q49"/>
      <c r="R49"/>
      <c r="S49"/>
      <c r="T49"/>
      <c r="U49"/>
      <c r="V49"/>
      <c r="W49"/>
      <c r="X49"/>
      <c r="Y49"/>
      <c r="Z49"/>
    </row>
    <row r="50" spans="2:26" x14ac:dyDescent="0.3">
      <c r="M50"/>
      <c r="N50"/>
      <c r="O50"/>
      <c r="P50"/>
      <c r="Q50"/>
      <c r="R50"/>
      <c r="S50"/>
      <c r="T50"/>
      <c r="U50"/>
      <c r="V50"/>
      <c r="W50"/>
      <c r="X50"/>
      <c r="Y50"/>
      <c r="Z50"/>
    </row>
    <row r="51" spans="2:26" x14ac:dyDescent="0.3">
      <c r="M51"/>
      <c r="N51"/>
      <c r="O51"/>
      <c r="P51"/>
      <c r="Q51"/>
      <c r="R51"/>
      <c r="S51"/>
      <c r="T51"/>
      <c r="U51"/>
      <c r="V51"/>
      <c r="W51"/>
      <c r="X51"/>
      <c r="Y51"/>
      <c r="Z51"/>
    </row>
    <row r="52" spans="2:26" x14ac:dyDescent="0.3">
      <c r="M52"/>
      <c r="N52"/>
      <c r="O52"/>
      <c r="P52"/>
      <c r="Q52"/>
      <c r="R52"/>
      <c r="S52"/>
      <c r="T52"/>
      <c r="U52"/>
      <c r="V52"/>
      <c r="W52"/>
      <c r="X52"/>
      <c r="Y52"/>
      <c r="Z52"/>
    </row>
    <row r="53" spans="2:26" x14ac:dyDescent="0.3">
      <c r="M53"/>
      <c r="N53"/>
      <c r="O53"/>
      <c r="P53"/>
      <c r="Q53"/>
      <c r="R53"/>
      <c r="S53"/>
      <c r="T53"/>
      <c r="U53"/>
      <c r="V53"/>
      <c r="W53"/>
      <c r="X53"/>
      <c r="Y53"/>
      <c r="Z53"/>
    </row>
    <row r="54" spans="2:26" x14ac:dyDescent="0.3">
      <c r="M54"/>
      <c r="N54"/>
      <c r="O54"/>
      <c r="P54"/>
      <c r="Q54"/>
      <c r="R54"/>
      <c r="S54"/>
      <c r="T54"/>
      <c r="U54"/>
      <c r="V54"/>
      <c r="W54"/>
      <c r="X54"/>
      <c r="Y54"/>
      <c r="Z54"/>
    </row>
    <row r="55" spans="2:26" x14ac:dyDescent="0.3">
      <c r="M55"/>
      <c r="N55"/>
      <c r="O55"/>
      <c r="P55"/>
      <c r="Q55"/>
      <c r="R55"/>
      <c r="S55"/>
      <c r="T55"/>
      <c r="U55"/>
      <c r="V55"/>
      <c r="W55"/>
      <c r="X55"/>
      <c r="Y55"/>
      <c r="Z55"/>
    </row>
    <row r="56" spans="2:26" x14ac:dyDescent="0.3">
      <c r="M56"/>
      <c r="N56"/>
      <c r="O56"/>
      <c r="P56"/>
      <c r="Q56"/>
      <c r="R56"/>
      <c r="S56"/>
      <c r="T56"/>
      <c r="U56"/>
      <c r="V56"/>
      <c r="W56"/>
      <c r="X56"/>
      <c r="Y56"/>
      <c r="Z56"/>
    </row>
    <row r="57" spans="2:26" x14ac:dyDescent="0.3">
      <c r="M57"/>
      <c r="N57"/>
      <c r="O57"/>
      <c r="P57"/>
      <c r="Q57"/>
      <c r="R57"/>
      <c r="S57"/>
      <c r="T57"/>
      <c r="U57"/>
      <c r="V57"/>
      <c r="W57"/>
      <c r="X57"/>
      <c r="Y57"/>
      <c r="Z57"/>
    </row>
    <row r="58" spans="2:26" x14ac:dyDescent="0.3">
      <c r="M58"/>
      <c r="N58"/>
      <c r="O58"/>
      <c r="P58"/>
      <c r="Q58"/>
      <c r="R58"/>
      <c r="S58"/>
      <c r="T58"/>
      <c r="U58"/>
      <c r="V58"/>
      <c r="W58"/>
      <c r="X58"/>
      <c r="Y58"/>
      <c r="Z58"/>
    </row>
    <row r="59" spans="2:26" x14ac:dyDescent="0.3">
      <c r="M59"/>
      <c r="N59"/>
      <c r="O59"/>
      <c r="P59"/>
      <c r="Q59"/>
      <c r="R59"/>
      <c r="S59"/>
      <c r="T59"/>
      <c r="U59"/>
      <c r="V59"/>
      <c r="W59"/>
      <c r="X59"/>
      <c r="Y59"/>
      <c r="Z59"/>
    </row>
    <row r="60" spans="2:26" x14ac:dyDescent="0.3">
      <c r="M60"/>
      <c r="N60"/>
      <c r="O60"/>
      <c r="P60"/>
      <c r="Q60"/>
      <c r="R60"/>
      <c r="S60"/>
      <c r="T60"/>
      <c r="U60"/>
      <c r="V60"/>
      <c r="W60"/>
      <c r="X60"/>
      <c r="Y60"/>
      <c r="Z60"/>
    </row>
    <row r="61" spans="2:26" x14ac:dyDescent="0.3">
      <c r="M61"/>
      <c r="N61"/>
      <c r="O61"/>
      <c r="P61"/>
      <c r="Q61"/>
      <c r="R61"/>
      <c r="S61"/>
      <c r="T61"/>
      <c r="U61"/>
      <c r="V61"/>
      <c r="W61"/>
      <c r="X61"/>
      <c r="Y61"/>
      <c r="Z61"/>
    </row>
    <row r="62" spans="2:26" x14ac:dyDescent="0.3">
      <c r="M62"/>
      <c r="N62"/>
      <c r="O62"/>
      <c r="P62"/>
      <c r="Q62"/>
      <c r="R62"/>
      <c r="S62"/>
      <c r="T62"/>
      <c r="U62"/>
      <c r="V62"/>
      <c r="W62"/>
      <c r="X62"/>
      <c r="Y62"/>
      <c r="Z62"/>
    </row>
    <row r="63" spans="2:26" x14ac:dyDescent="0.3">
      <c r="M63"/>
      <c r="N63"/>
      <c r="O63"/>
      <c r="P63"/>
      <c r="Q63"/>
      <c r="R63"/>
      <c r="S63"/>
      <c r="T63"/>
      <c r="U63"/>
      <c r="V63"/>
      <c r="W63"/>
      <c r="X63"/>
      <c r="Y63"/>
      <c r="Z63"/>
    </row>
    <row r="64" spans="2:26" x14ac:dyDescent="0.3">
      <c r="M64"/>
      <c r="N64"/>
      <c r="O64"/>
      <c r="P64"/>
      <c r="Q64"/>
      <c r="R64"/>
      <c r="S64"/>
      <c r="T64"/>
      <c r="U64"/>
      <c r="V64"/>
      <c r="W64"/>
      <c r="X64"/>
      <c r="Y64"/>
      <c r="Z64"/>
    </row>
    <row r="65" spans="13:26" x14ac:dyDescent="0.3">
      <c r="M65"/>
      <c r="N65"/>
      <c r="O65"/>
      <c r="P65"/>
      <c r="Q65"/>
      <c r="R65"/>
      <c r="S65"/>
      <c r="T65"/>
      <c r="U65"/>
      <c r="V65"/>
      <c r="W65"/>
      <c r="X65"/>
      <c r="Y65"/>
      <c r="Z65"/>
    </row>
    <row r="66" spans="13:26" x14ac:dyDescent="0.3">
      <c r="M66"/>
      <c r="N66"/>
      <c r="O66"/>
      <c r="P66"/>
      <c r="Q66"/>
      <c r="R66"/>
      <c r="S66"/>
      <c r="T66"/>
      <c r="U66"/>
      <c r="V66"/>
      <c r="W66"/>
      <c r="X66"/>
      <c r="Y66"/>
      <c r="Z66"/>
    </row>
    <row r="67" spans="13:26" x14ac:dyDescent="0.3">
      <c r="M67"/>
      <c r="N67"/>
      <c r="O67"/>
      <c r="P67"/>
      <c r="Q67"/>
      <c r="R67"/>
      <c r="S67"/>
      <c r="T67"/>
      <c r="U67"/>
      <c r="V67"/>
      <c r="W67"/>
      <c r="X67"/>
      <c r="Y67"/>
      <c r="Z67"/>
    </row>
    <row r="68" spans="13:26" x14ac:dyDescent="0.3">
      <c r="M68"/>
      <c r="N68"/>
      <c r="O68"/>
      <c r="P68"/>
      <c r="Q68"/>
      <c r="R68"/>
      <c r="S68"/>
      <c r="T68"/>
      <c r="U68"/>
      <c r="V68"/>
      <c r="W68"/>
      <c r="X68"/>
      <c r="Y68"/>
      <c r="Z68"/>
    </row>
    <row r="69" spans="13:26" x14ac:dyDescent="0.3">
      <c r="M69"/>
      <c r="N69"/>
      <c r="O69"/>
      <c r="P69"/>
      <c r="Q69"/>
      <c r="R69"/>
      <c r="S69"/>
      <c r="T69"/>
      <c r="U69"/>
      <c r="V69"/>
      <c r="W69"/>
      <c r="X69"/>
      <c r="Y69"/>
      <c r="Z69"/>
    </row>
    <row r="70" spans="13:26" x14ac:dyDescent="0.3">
      <c r="M70"/>
      <c r="N70"/>
      <c r="O70"/>
      <c r="P70"/>
      <c r="Q70"/>
      <c r="R70"/>
      <c r="S70"/>
      <c r="T70"/>
      <c r="U70"/>
      <c r="V70"/>
      <c r="W70"/>
      <c r="X70"/>
      <c r="Y70"/>
      <c r="Z70"/>
    </row>
    <row r="71" spans="13:26" x14ac:dyDescent="0.3">
      <c r="M71"/>
      <c r="N71"/>
      <c r="O71"/>
      <c r="P71"/>
      <c r="Q71"/>
      <c r="R71"/>
      <c r="S71"/>
      <c r="T71"/>
      <c r="U71"/>
      <c r="V71"/>
      <c r="W71"/>
      <c r="X71"/>
      <c r="Y71"/>
      <c r="Z71"/>
    </row>
    <row r="72" spans="13:26" x14ac:dyDescent="0.3">
      <c r="M72"/>
      <c r="N72"/>
      <c r="O72"/>
      <c r="P72"/>
      <c r="Q72"/>
      <c r="R72"/>
      <c r="S72"/>
      <c r="T72"/>
      <c r="U72"/>
      <c r="V72"/>
      <c r="W72"/>
      <c r="X72"/>
      <c r="Y72"/>
      <c r="Z72"/>
    </row>
    <row r="73" spans="13:26" x14ac:dyDescent="0.3">
      <c r="M73"/>
      <c r="N73"/>
      <c r="O73"/>
      <c r="P73"/>
      <c r="Q73"/>
      <c r="R73"/>
      <c r="S73"/>
      <c r="T73"/>
      <c r="U73"/>
      <c r="V73"/>
      <c r="W73"/>
      <c r="X73"/>
      <c r="Y73"/>
      <c r="Z73"/>
    </row>
    <row r="74" spans="13:26" x14ac:dyDescent="0.3">
      <c r="M74"/>
      <c r="N74"/>
      <c r="O74"/>
      <c r="P74"/>
      <c r="Q74"/>
      <c r="R74"/>
      <c r="S74"/>
      <c r="T74"/>
      <c r="U74"/>
      <c r="V74"/>
      <c r="W74"/>
      <c r="X74"/>
      <c r="Y74"/>
      <c r="Z74"/>
    </row>
    <row r="75" spans="13:26" x14ac:dyDescent="0.3">
      <c r="M75"/>
      <c r="N75"/>
      <c r="O75"/>
      <c r="P75"/>
      <c r="Q75"/>
      <c r="R75"/>
      <c r="S75"/>
      <c r="T75"/>
      <c r="U75"/>
      <c r="V75"/>
      <c r="W75"/>
      <c r="X75"/>
      <c r="Y75"/>
      <c r="Z75"/>
    </row>
    <row r="76" spans="13:26" x14ac:dyDescent="0.3">
      <c r="M76"/>
      <c r="N76"/>
      <c r="O76"/>
      <c r="P76"/>
      <c r="Q76"/>
      <c r="R76"/>
      <c r="S76"/>
      <c r="T76"/>
      <c r="U76"/>
      <c r="V76"/>
      <c r="W76"/>
      <c r="X76"/>
      <c r="Y76"/>
      <c r="Z76"/>
    </row>
    <row r="77" spans="13:26" x14ac:dyDescent="0.3">
      <c r="M77"/>
      <c r="N77"/>
      <c r="O77"/>
      <c r="P77"/>
      <c r="Q77"/>
      <c r="R77"/>
      <c r="S77"/>
      <c r="T77"/>
      <c r="U77"/>
      <c r="V77"/>
      <c r="W77"/>
      <c r="X77"/>
      <c r="Y77"/>
      <c r="Z77"/>
    </row>
    <row r="78" spans="13:26" x14ac:dyDescent="0.3">
      <c r="M78"/>
      <c r="N78"/>
      <c r="O78"/>
      <c r="P78"/>
      <c r="Q78"/>
      <c r="R78"/>
      <c r="S78"/>
      <c r="T78"/>
      <c r="U78"/>
      <c r="V78"/>
      <c r="W78"/>
      <c r="X78"/>
      <c r="Y78"/>
      <c r="Z78"/>
    </row>
    <row r="79" spans="13:26" x14ac:dyDescent="0.3">
      <c r="M79"/>
      <c r="N79"/>
      <c r="O79"/>
      <c r="P79"/>
      <c r="Q79"/>
      <c r="R79"/>
      <c r="S79"/>
      <c r="T79"/>
      <c r="U79"/>
      <c r="V79"/>
      <c r="W79"/>
      <c r="X79"/>
      <c r="Y79"/>
      <c r="Z79"/>
    </row>
    <row r="80" spans="13:26" x14ac:dyDescent="0.3">
      <c r="M80"/>
      <c r="N80"/>
      <c r="O80"/>
      <c r="P80"/>
      <c r="Q80"/>
      <c r="R80"/>
      <c r="S80"/>
      <c r="T80"/>
      <c r="U80"/>
      <c r="V80"/>
      <c r="W80"/>
      <c r="X80"/>
      <c r="Y80"/>
      <c r="Z80"/>
    </row>
    <row r="81" spans="13:26" x14ac:dyDescent="0.3">
      <c r="M81"/>
      <c r="N81"/>
      <c r="O81"/>
      <c r="P81"/>
      <c r="Q81"/>
      <c r="R81"/>
      <c r="S81"/>
      <c r="T81"/>
      <c r="U81"/>
      <c r="V81"/>
      <c r="W81"/>
      <c r="X81"/>
      <c r="Y81"/>
      <c r="Z81"/>
    </row>
    <row r="82" spans="13:26" x14ac:dyDescent="0.3">
      <c r="M82"/>
      <c r="N82"/>
      <c r="O82"/>
      <c r="P82"/>
      <c r="Q82"/>
      <c r="R82"/>
      <c r="S82"/>
      <c r="T82"/>
      <c r="U82"/>
      <c r="V82"/>
      <c r="W82"/>
      <c r="X82"/>
      <c r="Y82"/>
      <c r="Z82"/>
    </row>
    <row r="83" spans="13:26" x14ac:dyDescent="0.3">
      <c r="M83"/>
      <c r="N83"/>
      <c r="O83"/>
      <c r="P83"/>
      <c r="Q83"/>
      <c r="R83"/>
      <c r="S83"/>
      <c r="T83"/>
      <c r="U83"/>
      <c r="V83"/>
      <c r="W83"/>
      <c r="X83"/>
      <c r="Y83"/>
      <c r="Z83"/>
    </row>
    <row r="84" spans="13:26" x14ac:dyDescent="0.3">
      <c r="M84"/>
      <c r="N84"/>
      <c r="O84"/>
      <c r="P84"/>
      <c r="Q84"/>
      <c r="R84"/>
      <c r="S84"/>
      <c r="T84"/>
      <c r="U84"/>
      <c r="V84"/>
      <c r="W84"/>
      <c r="X84"/>
      <c r="Y84"/>
      <c r="Z84"/>
    </row>
    <row r="85" spans="13:26" x14ac:dyDescent="0.3">
      <c r="M85"/>
      <c r="N85"/>
      <c r="O85"/>
      <c r="P85"/>
      <c r="Q85"/>
      <c r="R85"/>
      <c r="S85"/>
      <c r="T85"/>
      <c r="U85"/>
      <c r="V85"/>
      <c r="W85"/>
      <c r="X85"/>
      <c r="Y85"/>
      <c r="Z85"/>
    </row>
    <row r="86" spans="13:26" x14ac:dyDescent="0.3">
      <c r="M86"/>
      <c r="N86"/>
      <c r="O86"/>
      <c r="P86"/>
      <c r="Q86"/>
      <c r="R86"/>
      <c r="S86"/>
      <c r="T86"/>
      <c r="U86"/>
      <c r="V86"/>
      <c r="W86"/>
      <c r="X86"/>
      <c r="Y86"/>
      <c r="Z86"/>
    </row>
    <row r="87" spans="13:26" x14ac:dyDescent="0.3">
      <c r="M87"/>
      <c r="N87"/>
      <c r="O87"/>
      <c r="P87"/>
      <c r="Q87"/>
      <c r="R87"/>
      <c r="S87"/>
      <c r="T87"/>
      <c r="U87"/>
      <c r="V87"/>
      <c r="W87"/>
      <c r="X87"/>
      <c r="Y87"/>
      <c r="Z87"/>
    </row>
    <row r="88" spans="13:26" x14ac:dyDescent="0.3">
      <c r="M88"/>
      <c r="N88"/>
      <c r="O88"/>
      <c r="P88"/>
      <c r="Q88"/>
      <c r="R88"/>
      <c r="S88"/>
      <c r="T88"/>
      <c r="U88"/>
      <c r="V88"/>
      <c r="W88"/>
      <c r="X88"/>
      <c r="Y88"/>
      <c r="Z88"/>
    </row>
    <row r="89" spans="13:26" x14ac:dyDescent="0.3">
      <c r="M89"/>
      <c r="N89"/>
      <c r="O89"/>
      <c r="P89"/>
      <c r="Q89"/>
      <c r="R89"/>
      <c r="S89"/>
      <c r="T89"/>
      <c r="U89"/>
      <c r="V89"/>
      <c r="W89"/>
      <c r="X89"/>
      <c r="Y89"/>
      <c r="Z89"/>
    </row>
    <row r="90" spans="13:26" x14ac:dyDescent="0.3">
      <c r="M90"/>
      <c r="N90"/>
      <c r="O90"/>
      <c r="P90"/>
      <c r="Q90"/>
      <c r="R90"/>
      <c r="S90"/>
      <c r="T90"/>
      <c r="U90"/>
      <c r="V90"/>
      <c r="W90"/>
      <c r="X90"/>
      <c r="Y90"/>
      <c r="Z90"/>
    </row>
    <row r="91" spans="13:26" x14ac:dyDescent="0.3">
      <c r="M91"/>
      <c r="N91"/>
      <c r="O91"/>
      <c r="P91"/>
      <c r="Q91"/>
      <c r="R91"/>
      <c r="S91"/>
      <c r="T91"/>
      <c r="U91"/>
      <c r="V91"/>
      <c r="W91"/>
      <c r="X91"/>
      <c r="Y91"/>
      <c r="Z91"/>
    </row>
    <row r="92" spans="13:26" x14ac:dyDescent="0.3">
      <c r="M92"/>
      <c r="N92"/>
      <c r="O92"/>
      <c r="P92"/>
      <c r="Q92"/>
      <c r="R92"/>
      <c r="S92"/>
      <c r="T92"/>
      <c r="U92"/>
      <c r="V92"/>
      <c r="W92"/>
      <c r="X92"/>
      <c r="Y92"/>
      <c r="Z92"/>
    </row>
    <row r="93" spans="13:26" x14ac:dyDescent="0.3">
      <c r="M93"/>
      <c r="N93"/>
      <c r="O93"/>
      <c r="P93"/>
      <c r="Q93"/>
      <c r="R93"/>
      <c r="S93"/>
      <c r="T93"/>
      <c r="U93"/>
      <c r="V93"/>
      <c r="W93"/>
      <c r="X93"/>
      <c r="Y93"/>
      <c r="Z93"/>
    </row>
    <row r="94" spans="13:26" x14ac:dyDescent="0.3">
      <c r="M94"/>
      <c r="N94"/>
      <c r="O94"/>
      <c r="P94"/>
      <c r="Q94"/>
      <c r="R94"/>
      <c r="S94"/>
      <c r="T94"/>
      <c r="U94"/>
      <c r="V94"/>
      <c r="W94"/>
      <c r="X94"/>
      <c r="Y94"/>
      <c r="Z94"/>
    </row>
    <row r="95" spans="13:26" x14ac:dyDescent="0.3">
      <c r="M95"/>
      <c r="N95"/>
      <c r="O95"/>
      <c r="P95"/>
      <c r="Q95"/>
      <c r="R95"/>
      <c r="S95"/>
      <c r="T95"/>
      <c r="U95"/>
      <c r="V95"/>
      <c r="W95"/>
      <c r="X95"/>
      <c r="Y95"/>
      <c r="Z95"/>
    </row>
    <row r="96" spans="13:26" x14ac:dyDescent="0.3">
      <c r="M96"/>
      <c r="N96"/>
      <c r="O96"/>
      <c r="P96"/>
      <c r="Q96"/>
      <c r="R96"/>
      <c r="S96"/>
      <c r="T96"/>
      <c r="U96"/>
      <c r="V96"/>
      <c r="W96"/>
      <c r="X96"/>
      <c r="Y96"/>
      <c r="Z96"/>
    </row>
    <row r="97" spans="1:26" x14ac:dyDescent="0.3">
      <c r="M97"/>
      <c r="N97"/>
      <c r="O97"/>
      <c r="P97"/>
      <c r="Q97"/>
      <c r="R97"/>
      <c r="S97"/>
      <c r="T97"/>
      <c r="U97"/>
      <c r="V97"/>
      <c r="W97"/>
      <c r="X97"/>
      <c r="Y97"/>
      <c r="Z97"/>
    </row>
    <row r="98" spans="1:26" x14ac:dyDescent="0.3">
      <c r="M98"/>
      <c r="N98"/>
      <c r="O98"/>
      <c r="P98"/>
      <c r="Q98"/>
      <c r="R98"/>
      <c r="S98"/>
      <c r="T98"/>
      <c r="U98"/>
      <c r="V98"/>
      <c r="W98"/>
      <c r="X98"/>
      <c r="Y98"/>
      <c r="Z98"/>
    </row>
    <row r="99" spans="1:26" x14ac:dyDescent="0.3">
      <c r="M99"/>
      <c r="N99"/>
      <c r="O99"/>
      <c r="P99"/>
      <c r="Q99"/>
      <c r="R99"/>
      <c r="S99"/>
      <c r="T99"/>
      <c r="U99"/>
      <c r="V99"/>
      <c r="W99"/>
      <c r="X99"/>
      <c r="Y99"/>
      <c r="Z99"/>
    </row>
    <row r="100" spans="1:26" x14ac:dyDescent="0.3">
      <c r="M100"/>
      <c r="N100"/>
      <c r="O100"/>
      <c r="P100"/>
      <c r="Q100"/>
      <c r="R100"/>
      <c r="S100"/>
      <c r="T100"/>
      <c r="U100"/>
      <c r="V100"/>
      <c r="W100"/>
      <c r="X100"/>
      <c r="Y100"/>
      <c r="Z100"/>
    </row>
    <row r="101" spans="1:26" x14ac:dyDescent="0.3">
      <c r="M101"/>
      <c r="N101"/>
      <c r="O101"/>
      <c r="P101"/>
      <c r="Q101"/>
      <c r="R101"/>
      <c r="S101"/>
      <c r="T101"/>
      <c r="U101"/>
      <c r="V101"/>
      <c r="W101"/>
      <c r="X101"/>
      <c r="Y101"/>
      <c r="Z101"/>
    </row>
    <row r="102" spans="1:26" x14ac:dyDescent="0.3">
      <c r="M102"/>
      <c r="N102"/>
      <c r="O102"/>
      <c r="P102"/>
      <c r="Q102"/>
      <c r="R102"/>
      <c r="S102"/>
      <c r="T102"/>
      <c r="U102"/>
      <c r="V102"/>
      <c r="W102"/>
      <c r="X102"/>
      <c r="Y102"/>
      <c r="Z102"/>
    </row>
    <row r="103" spans="1:26" x14ac:dyDescent="0.3">
      <c r="M103"/>
      <c r="N103"/>
      <c r="O103"/>
      <c r="P103"/>
      <c r="Q103"/>
      <c r="R103"/>
      <c r="S103"/>
      <c r="T103"/>
      <c r="U103"/>
      <c r="V103"/>
      <c r="W103"/>
      <c r="X103"/>
      <c r="Y103"/>
      <c r="Z103"/>
    </row>
    <row r="104" spans="1:26" x14ac:dyDescent="0.3">
      <c r="M104"/>
      <c r="N104"/>
      <c r="O104"/>
      <c r="P104"/>
      <c r="Q104"/>
      <c r="R104"/>
      <c r="S104"/>
      <c r="T104"/>
      <c r="U104"/>
      <c r="V104"/>
      <c r="W104"/>
      <c r="X104"/>
      <c r="Y104"/>
      <c r="Z104"/>
    </row>
    <row r="105" spans="1:26" x14ac:dyDescent="0.3">
      <c r="M105"/>
      <c r="N105"/>
      <c r="O105"/>
      <c r="P105"/>
      <c r="Q105"/>
      <c r="R105"/>
      <c r="S105"/>
      <c r="T105"/>
      <c r="U105"/>
      <c r="V105"/>
      <c r="W105"/>
      <c r="X105"/>
      <c r="Y105"/>
      <c r="Z105"/>
    </row>
    <row r="112" spans="1:26"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row>
    <row r="123" spans="1:12" x14ac:dyDescent="0.3">
      <c r="A123"/>
      <c r="B123"/>
      <c r="C123"/>
      <c r="D123"/>
      <c r="E123"/>
      <c r="F123"/>
      <c r="G123"/>
      <c r="H123"/>
      <c r="I123"/>
    </row>
    <row r="124" spans="1:12" x14ac:dyDescent="0.3">
      <c r="A124"/>
      <c r="B124"/>
      <c r="C124"/>
      <c r="D124"/>
      <c r="E124"/>
      <c r="F124"/>
      <c r="G124"/>
      <c r="H124"/>
      <c r="I124"/>
    </row>
    <row r="125" spans="1:12" x14ac:dyDescent="0.3">
      <c r="A125"/>
      <c r="B125"/>
      <c r="C125"/>
      <c r="D125"/>
      <c r="E125"/>
      <c r="F125"/>
      <c r="G125"/>
      <c r="H125"/>
      <c r="I125"/>
    </row>
    <row r="126" spans="1:12" x14ac:dyDescent="0.3">
      <c r="A126"/>
      <c r="B126"/>
      <c r="C126"/>
      <c r="D126"/>
      <c r="E126"/>
      <c r="F126"/>
      <c r="G126"/>
      <c r="H126"/>
      <c r="I126"/>
    </row>
    <row r="127" spans="1:12" x14ac:dyDescent="0.3">
      <c r="A127"/>
      <c r="B127"/>
      <c r="C127"/>
      <c r="D127"/>
      <c r="E127"/>
      <c r="F127"/>
      <c r="G127"/>
      <c r="H127"/>
      <c r="I127"/>
    </row>
    <row r="128" spans="1:12" x14ac:dyDescent="0.3">
      <c r="A128"/>
      <c r="B128"/>
      <c r="C128"/>
      <c r="D128"/>
      <c r="E128"/>
      <c r="F128"/>
      <c r="G128"/>
      <c r="H128"/>
      <c r="I128"/>
    </row>
    <row r="129" spans="1:9" x14ac:dyDescent="0.3">
      <c r="A129"/>
      <c r="B129"/>
      <c r="C129"/>
      <c r="D129"/>
      <c r="E129"/>
      <c r="F129"/>
      <c r="G129"/>
      <c r="H129"/>
      <c r="I129"/>
    </row>
    <row r="130" spans="1:9" x14ac:dyDescent="0.3">
      <c r="A130"/>
      <c r="B130"/>
      <c r="C130"/>
      <c r="D130"/>
      <c r="E130"/>
      <c r="F130"/>
      <c r="G130"/>
      <c r="H130"/>
      <c r="I130"/>
    </row>
    <row r="131" spans="1:9" x14ac:dyDescent="0.3">
      <c r="A131"/>
      <c r="B131"/>
      <c r="C131"/>
      <c r="D131"/>
      <c r="E131"/>
      <c r="F131"/>
      <c r="G131"/>
      <c r="H131"/>
      <c r="I131"/>
    </row>
    <row r="132" spans="1:9" x14ac:dyDescent="0.3">
      <c r="A132"/>
      <c r="B132"/>
      <c r="C132"/>
      <c r="D132"/>
      <c r="E132"/>
      <c r="F132"/>
      <c r="G132"/>
      <c r="H132"/>
      <c r="I132"/>
    </row>
    <row r="133" spans="1:9" x14ac:dyDescent="0.3">
      <c r="A133"/>
      <c r="B133"/>
      <c r="C133"/>
      <c r="D133"/>
      <c r="E133"/>
      <c r="F133"/>
      <c r="G133"/>
      <c r="H133"/>
      <c r="I133"/>
    </row>
    <row r="134" spans="1:9" x14ac:dyDescent="0.3">
      <c r="A134"/>
      <c r="B134"/>
      <c r="C134"/>
      <c r="D134"/>
      <c r="E134"/>
      <c r="F134"/>
      <c r="G134"/>
      <c r="H134"/>
      <c r="I134"/>
    </row>
    <row r="135" spans="1:9" x14ac:dyDescent="0.3">
      <c r="A135"/>
      <c r="B135"/>
      <c r="C135"/>
      <c r="D135"/>
      <c r="E135"/>
      <c r="F135"/>
      <c r="G135"/>
      <c r="H135"/>
      <c r="I135"/>
    </row>
    <row r="136" spans="1:9" x14ac:dyDescent="0.3">
      <c r="A136"/>
      <c r="B136"/>
      <c r="C136"/>
      <c r="D136"/>
      <c r="E136"/>
      <c r="F136"/>
      <c r="G136"/>
      <c r="H136"/>
      <c r="I136"/>
    </row>
    <row r="137" spans="1:9" x14ac:dyDescent="0.3">
      <c r="A137"/>
      <c r="B137"/>
      <c r="C137"/>
      <c r="D137"/>
      <c r="E137"/>
      <c r="F137"/>
      <c r="G137"/>
      <c r="H137"/>
      <c r="I137"/>
    </row>
    <row r="138" spans="1:9" x14ac:dyDescent="0.3">
      <c r="A138"/>
      <c r="B138"/>
      <c r="C138"/>
      <c r="D138"/>
      <c r="E138"/>
      <c r="F138"/>
      <c r="G138"/>
      <c r="H138"/>
      <c r="I138"/>
    </row>
    <row r="139" spans="1:9" x14ac:dyDescent="0.3">
      <c r="A139"/>
      <c r="B139"/>
      <c r="C139"/>
      <c r="D139"/>
      <c r="E139"/>
      <c r="F139"/>
      <c r="G139"/>
      <c r="H139"/>
      <c r="I139"/>
    </row>
    <row r="140" spans="1:9" x14ac:dyDescent="0.3">
      <c r="A140"/>
      <c r="B140"/>
      <c r="C140"/>
      <c r="D140"/>
      <c r="E140"/>
      <c r="F140"/>
      <c r="G140"/>
      <c r="H140"/>
      <c r="I140"/>
    </row>
    <row r="141" spans="1:9" x14ac:dyDescent="0.3">
      <c r="A141"/>
      <c r="B141"/>
      <c r="C141"/>
      <c r="D141"/>
      <c r="E141"/>
      <c r="F141"/>
      <c r="G141"/>
      <c r="H141"/>
      <c r="I141"/>
    </row>
    <row r="142" spans="1:9" x14ac:dyDescent="0.3">
      <c r="A142"/>
      <c r="B142"/>
      <c r="C142"/>
      <c r="D142"/>
      <c r="E142"/>
      <c r="F142"/>
      <c r="G142"/>
      <c r="H142"/>
      <c r="I142"/>
    </row>
    <row r="143" spans="1:9" x14ac:dyDescent="0.3">
      <c r="A143"/>
      <c r="B143"/>
      <c r="C143"/>
      <c r="D143"/>
      <c r="E143"/>
      <c r="F143"/>
      <c r="G143"/>
      <c r="H143"/>
      <c r="I143"/>
    </row>
    <row r="144" spans="1:9" x14ac:dyDescent="0.3">
      <c r="A144"/>
      <c r="B144"/>
      <c r="C144"/>
      <c r="D144"/>
      <c r="E144"/>
      <c r="F144"/>
      <c r="G144"/>
      <c r="H144"/>
      <c r="I144"/>
    </row>
    <row r="145" spans="1:9" x14ac:dyDescent="0.3">
      <c r="A145"/>
      <c r="B145"/>
      <c r="C145"/>
      <c r="D145"/>
      <c r="E145"/>
      <c r="F145"/>
      <c r="G145"/>
      <c r="H145"/>
      <c r="I145"/>
    </row>
    <row r="146" spans="1:9" x14ac:dyDescent="0.3">
      <c r="A146"/>
      <c r="B146"/>
      <c r="C146"/>
      <c r="D146"/>
      <c r="E146"/>
      <c r="F146"/>
      <c r="G146"/>
      <c r="H146"/>
      <c r="I146"/>
    </row>
    <row r="147" spans="1:9" x14ac:dyDescent="0.3">
      <c r="A147"/>
      <c r="B147"/>
      <c r="C147"/>
      <c r="D147"/>
      <c r="E147"/>
      <c r="F147"/>
      <c r="G147"/>
      <c r="H147"/>
      <c r="I147"/>
    </row>
    <row r="148" spans="1:9" x14ac:dyDescent="0.3">
      <c r="A148"/>
      <c r="B148"/>
      <c r="C148"/>
      <c r="D148"/>
      <c r="E148"/>
      <c r="F148"/>
      <c r="G148"/>
      <c r="H148"/>
      <c r="I148"/>
    </row>
    <row r="149" spans="1:9" x14ac:dyDescent="0.3">
      <c r="A149"/>
      <c r="B149"/>
      <c r="C149"/>
      <c r="D149"/>
      <c r="E149"/>
      <c r="F149"/>
      <c r="G149"/>
      <c r="H149"/>
      <c r="I149"/>
    </row>
    <row r="150" spans="1:9" x14ac:dyDescent="0.3">
      <c r="A150"/>
      <c r="B150"/>
      <c r="C150"/>
      <c r="D150"/>
      <c r="E150"/>
      <c r="F150"/>
      <c r="G150"/>
      <c r="H150"/>
      <c r="I150"/>
    </row>
    <row r="151" spans="1:9" x14ac:dyDescent="0.3">
      <c r="A151"/>
      <c r="B151"/>
      <c r="C151"/>
      <c r="D151"/>
      <c r="E151"/>
      <c r="F151"/>
      <c r="G151"/>
      <c r="H151"/>
      <c r="I151"/>
    </row>
    <row r="152" spans="1:9" x14ac:dyDescent="0.3">
      <c r="A152"/>
      <c r="B152"/>
      <c r="C152"/>
      <c r="D152"/>
      <c r="E152"/>
      <c r="F152"/>
      <c r="G152"/>
      <c r="H152"/>
      <c r="I152"/>
    </row>
    <row r="153" spans="1:9" x14ac:dyDescent="0.3">
      <c r="A153"/>
      <c r="B153"/>
      <c r="C153"/>
      <c r="D153"/>
      <c r="E153"/>
      <c r="F153"/>
      <c r="G153"/>
      <c r="H153"/>
      <c r="I153"/>
    </row>
    <row r="154" spans="1:9" x14ac:dyDescent="0.3">
      <c r="A154"/>
      <c r="B154"/>
      <c r="C154"/>
      <c r="D154"/>
      <c r="E154"/>
      <c r="F154"/>
      <c r="G154"/>
      <c r="H154"/>
      <c r="I154"/>
    </row>
    <row r="155" spans="1:9" x14ac:dyDescent="0.3">
      <c r="A155"/>
      <c r="B155"/>
      <c r="C155"/>
      <c r="D155"/>
      <c r="E155"/>
      <c r="F155"/>
      <c r="G155"/>
      <c r="H155"/>
      <c r="I155"/>
    </row>
    <row r="156" spans="1:9" x14ac:dyDescent="0.3">
      <c r="A156"/>
      <c r="B156"/>
      <c r="C156"/>
      <c r="D156"/>
      <c r="E156"/>
      <c r="F156"/>
      <c r="G156"/>
      <c r="H156"/>
      <c r="I156"/>
    </row>
    <row r="157" spans="1:9" x14ac:dyDescent="0.3">
      <c r="A157"/>
      <c r="B157"/>
      <c r="C157"/>
      <c r="D157"/>
      <c r="E157"/>
      <c r="F157"/>
      <c r="G157"/>
      <c r="H157"/>
      <c r="I157"/>
    </row>
    <row r="158" spans="1:9" x14ac:dyDescent="0.3">
      <c r="A158"/>
      <c r="B158"/>
      <c r="C158"/>
      <c r="D158"/>
      <c r="E158"/>
      <c r="F158"/>
      <c r="G158"/>
      <c r="H158"/>
      <c r="I158"/>
    </row>
  </sheetData>
  <mergeCells count="33">
    <mergeCell ref="D43:E43"/>
    <mergeCell ref="B45:L45"/>
    <mergeCell ref="B40:C40"/>
    <mergeCell ref="B41:C41"/>
    <mergeCell ref="B42:C42"/>
    <mergeCell ref="D40:E40"/>
    <mergeCell ref="D41:E41"/>
    <mergeCell ref="D42:E42"/>
    <mergeCell ref="B43:C43"/>
    <mergeCell ref="B39:C39"/>
    <mergeCell ref="D39:E39"/>
    <mergeCell ref="B30:B31"/>
    <mergeCell ref="B32:B33"/>
    <mergeCell ref="B34:B35"/>
    <mergeCell ref="C30:E30"/>
    <mergeCell ref="C31:E31"/>
    <mergeCell ref="C32:E32"/>
    <mergeCell ref="C33:E33"/>
    <mergeCell ref="C34:E34"/>
    <mergeCell ref="C35:E35"/>
    <mergeCell ref="G29:J29"/>
    <mergeCell ref="K30:K31"/>
    <mergeCell ref="G31:J31"/>
    <mergeCell ref="K34:K35"/>
    <mergeCell ref="A3:L3"/>
    <mergeCell ref="C29:E29"/>
    <mergeCell ref="K32:K33"/>
    <mergeCell ref="G30:J30"/>
    <mergeCell ref="B7:M9"/>
    <mergeCell ref="G32:J32"/>
    <mergeCell ref="G33:J33"/>
    <mergeCell ref="G34:J34"/>
    <mergeCell ref="G35:J35"/>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466C-DB91-4441-BC92-F855B7928E3A}">
  <dimension ref="A1:Y68"/>
  <sheetViews>
    <sheetView zoomScaleNormal="100" workbookViewId="0"/>
  </sheetViews>
  <sheetFormatPr defaultColWidth="9.109375" defaultRowHeight="15.6" x14ac:dyDescent="0.3"/>
  <cols>
    <col min="1" max="1" width="12.6640625" style="4" customWidth="1"/>
    <col min="2" max="2" width="10.6640625" style="4" customWidth="1"/>
    <col min="3" max="3" width="12.6640625" style="4" customWidth="1"/>
    <col min="4" max="4" width="14.109375" style="4" customWidth="1"/>
    <col min="5" max="5" width="16.44140625" style="4" customWidth="1"/>
    <col min="6" max="9" width="14.109375" style="4" customWidth="1"/>
    <col min="10" max="10" width="19.109375" style="4" customWidth="1"/>
    <col min="11" max="13" width="14.109375" style="4" customWidth="1"/>
    <col min="14" max="14" width="8.88671875" bestFit="1" customWidth="1"/>
    <col min="26" max="16384" width="9.109375" style="4"/>
  </cols>
  <sheetData>
    <row r="1" spans="1:25" ht="15.75" customHeight="1" x14ac:dyDescent="0.35">
      <c r="A1" s="1" t="s">
        <v>44</v>
      </c>
      <c r="B1" s="2"/>
      <c r="C1" s="9" t="s">
        <v>0</v>
      </c>
      <c r="D1" s="2"/>
      <c r="E1" s="2"/>
      <c r="F1" s="2"/>
      <c r="G1" s="2"/>
      <c r="H1" s="2"/>
      <c r="I1" s="2"/>
      <c r="J1" s="2"/>
      <c r="K1" s="2"/>
      <c r="L1" s="2"/>
      <c r="M1" s="3"/>
    </row>
    <row r="2" spans="1:25" customFormat="1" ht="15.75" customHeight="1" x14ac:dyDescent="0.35">
      <c r="A2" s="61"/>
      <c r="B2" s="5"/>
      <c r="C2" s="9"/>
      <c r="D2" s="5"/>
      <c r="E2" s="5"/>
      <c r="F2" s="5"/>
      <c r="G2" s="5"/>
      <c r="H2" s="5"/>
      <c r="I2" s="5"/>
      <c r="J2" s="5"/>
      <c r="K2" s="5"/>
      <c r="L2" s="5"/>
      <c r="M2" s="8"/>
    </row>
    <row r="3" spans="1:25" x14ac:dyDescent="0.3">
      <c r="A3" s="250" t="s">
        <v>136</v>
      </c>
      <c r="B3" s="250"/>
      <c r="C3" s="250"/>
      <c r="D3" s="250"/>
      <c r="E3" s="250"/>
      <c r="F3" s="250"/>
      <c r="G3" s="250"/>
      <c r="H3" s="250"/>
      <c r="I3" s="250"/>
      <c r="J3" s="250"/>
      <c r="K3" s="250"/>
      <c r="L3" s="250"/>
      <c r="M3" s="250"/>
    </row>
    <row r="4" spans="1:25" x14ac:dyDescent="0.3">
      <c r="A4" s="5"/>
      <c r="B4" s="25"/>
      <c r="C4" s="5"/>
      <c r="D4" s="5"/>
      <c r="E4" s="5"/>
      <c r="F4" s="5"/>
      <c r="G4" s="5"/>
      <c r="H4" s="5"/>
      <c r="I4" s="5"/>
      <c r="J4" s="5"/>
      <c r="K4" s="5"/>
      <c r="L4" s="5"/>
      <c r="M4" s="8"/>
    </row>
    <row r="5" spans="1:25" x14ac:dyDescent="0.3">
      <c r="A5" s="12" t="s">
        <v>3</v>
      </c>
      <c r="B5" s="242" t="s">
        <v>137</v>
      </c>
      <c r="C5" s="242"/>
      <c r="D5" s="242"/>
      <c r="E5" s="242"/>
      <c r="F5" s="242"/>
      <c r="G5" s="242"/>
      <c r="H5" s="242"/>
      <c r="I5" s="242"/>
      <c r="J5" s="242"/>
      <c r="K5" s="242"/>
      <c r="L5" s="242"/>
      <c r="M5" s="242"/>
    </row>
    <row r="6" spans="1:25" ht="16.2" x14ac:dyDescent="0.35">
      <c r="A6" s="9"/>
      <c r="B6" s="9" t="s">
        <v>1</v>
      </c>
      <c r="C6" s="9"/>
      <c r="D6" s="11"/>
      <c r="E6" s="11"/>
      <c r="F6" s="7"/>
      <c r="G6" s="7"/>
      <c r="H6" s="7"/>
      <c r="I6" s="8"/>
      <c r="J6" s="8"/>
      <c r="K6" s="8"/>
      <c r="L6" s="8"/>
      <c r="M6" s="8"/>
    </row>
    <row r="7" spans="1:25" x14ac:dyDescent="0.3">
      <c r="B7" s="229" t="s">
        <v>355</v>
      </c>
      <c r="C7" s="229"/>
      <c r="D7" s="229"/>
      <c r="E7" s="229"/>
      <c r="F7" s="229"/>
      <c r="G7" s="229"/>
      <c r="H7" s="229"/>
      <c r="I7" s="229"/>
      <c r="J7" s="229"/>
      <c r="K7" s="229"/>
      <c r="L7" s="229"/>
      <c r="M7" s="229"/>
    </row>
    <row r="8" spans="1:25" x14ac:dyDescent="0.3">
      <c r="B8" s="229"/>
      <c r="C8" s="229"/>
      <c r="D8" s="229"/>
      <c r="E8" s="229"/>
      <c r="F8" s="229"/>
      <c r="G8" s="229"/>
      <c r="H8" s="229"/>
      <c r="I8" s="229"/>
      <c r="J8" s="229"/>
      <c r="K8" s="229"/>
      <c r="L8" s="229"/>
      <c r="M8" s="229"/>
    </row>
    <row r="9" spans="1:25" s="23" customFormat="1" ht="15.6" customHeight="1" x14ac:dyDescent="0.3">
      <c r="A9" s="4"/>
      <c r="B9" s="229"/>
      <c r="C9" s="229"/>
      <c r="D9" s="229"/>
      <c r="E9" s="229"/>
      <c r="F9" s="229"/>
      <c r="G9" s="229"/>
      <c r="H9" s="229"/>
      <c r="I9" s="229"/>
      <c r="J9" s="229"/>
      <c r="K9" s="229"/>
      <c r="L9" s="229"/>
      <c r="M9" s="229"/>
      <c r="N9" s="24"/>
      <c r="O9" s="24"/>
      <c r="P9" s="24"/>
      <c r="Q9" s="24"/>
      <c r="R9" s="24"/>
      <c r="S9" s="24"/>
      <c r="T9" s="24"/>
      <c r="U9" s="24"/>
      <c r="V9" s="24"/>
      <c r="W9" s="24"/>
      <c r="X9" s="24"/>
      <c r="Y9" s="24"/>
    </row>
    <row r="10" spans="1:25" x14ac:dyDescent="0.3">
      <c r="A10" s="12" t="s">
        <v>2</v>
      </c>
      <c r="B10" s="242" t="s">
        <v>138</v>
      </c>
      <c r="C10" s="242"/>
      <c r="D10" s="242"/>
      <c r="E10" s="242"/>
      <c r="F10" s="242"/>
      <c r="G10" s="242"/>
      <c r="H10" s="242"/>
      <c r="I10" s="242"/>
      <c r="J10" s="242"/>
      <c r="K10" s="242"/>
      <c r="L10" s="21"/>
      <c r="M10" s="21"/>
    </row>
    <row r="11" spans="1:25" ht="16.2" x14ac:dyDescent="0.35">
      <c r="A11" s="9"/>
      <c r="B11" s="9" t="s">
        <v>1</v>
      </c>
      <c r="C11" s="9"/>
      <c r="D11" s="11"/>
      <c r="E11" s="11"/>
      <c r="F11" s="7"/>
      <c r="G11" s="7"/>
      <c r="H11" s="7"/>
      <c r="I11" s="8"/>
      <c r="J11" s="8"/>
      <c r="K11" s="8"/>
      <c r="L11" s="8"/>
      <c r="M11" s="8"/>
    </row>
    <row r="12" spans="1:25" s="23" customFormat="1" x14ac:dyDescent="0.3">
      <c r="A12" s="4"/>
      <c r="B12" s="235" t="s">
        <v>429</v>
      </c>
      <c r="C12" s="235"/>
      <c r="D12" s="235"/>
      <c r="E12" s="235"/>
      <c r="F12" s="235"/>
      <c r="G12" s="235"/>
      <c r="H12" s="235"/>
      <c r="I12" s="235"/>
      <c r="J12" s="235"/>
      <c r="K12" s="235"/>
      <c r="L12" s="235"/>
      <c r="M12" s="235"/>
      <c r="N12" s="24"/>
      <c r="O12" s="24"/>
      <c r="P12" s="24"/>
      <c r="Q12" s="24"/>
      <c r="R12" s="24"/>
      <c r="S12" s="24"/>
      <c r="T12" s="24"/>
      <c r="U12" s="24"/>
      <c r="V12" s="24"/>
      <c r="W12" s="24"/>
      <c r="X12" s="24"/>
      <c r="Y12" s="24"/>
    </row>
    <row r="13" spans="1:25" s="23" customFormat="1" x14ac:dyDescent="0.3">
      <c r="A13" s="4"/>
      <c r="B13" s="235"/>
      <c r="C13" s="235"/>
      <c r="D13" s="235"/>
      <c r="E13" s="235"/>
      <c r="F13" s="235"/>
      <c r="G13" s="235"/>
      <c r="H13" s="235"/>
      <c r="I13" s="235"/>
      <c r="J13" s="235"/>
      <c r="K13" s="235"/>
      <c r="L13" s="235"/>
      <c r="M13" s="235"/>
      <c r="N13" s="24"/>
      <c r="O13" s="24"/>
      <c r="P13" s="24"/>
      <c r="Q13" s="24"/>
      <c r="R13" s="24"/>
      <c r="S13" s="24"/>
      <c r="T13" s="24"/>
      <c r="U13" s="24"/>
      <c r="V13" s="24"/>
      <c r="W13" s="24"/>
      <c r="X13" s="24"/>
      <c r="Y13" s="24"/>
    </row>
    <row r="14" spans="1:25" customFormat="1" x14ac:dyDescent="0.3">
      <c r="A14" s="4"/>
      <c r="B14" s="235"/>
      <c r="C14" s="235"/>
      <c r="D14" s="235"/>
      <c r="E14" s="235"/>
      <c r="F14" s="235"/>
      <c r="G14" s="235"/>
      <c r="H14" s="235"/>
      <c r="I14" s="235"/>
      <c r="J14" s="235"/>
      <c r="K14" s="235"/>
      <c r="L14" s="235"/>
      <c r="M14" s="235"/>
    </row>
    <row r="15" spans="1:25" x14ac:dyDescent="0.3">
      <c r="A15" s="5" t="s">
        <v>139</v>
      </c>
      <c r="B15" s="17"/>
      <c r="C15" s="17"/>
      <c r="D15" s="17"/>
      <c r="E15" s="18"/>
      <c r="F15" s="18"/>
      <c r="G15" s="5"/>
      <c r="H15" s="5"/>
      <c r="I15" s="5"/>
      <c r="J15" s="5"/>
      <c r="K15" s="5"/>
      <c r="L15" s="5"/>
      <c r="M15" s="8"/>
    </row>
    <row r="16" spans="1:25" x14ac:dyDescent="0.3">
      <c r="A16" s="5"/>
      <c r="B16" s="17"/>
      <c r="C16" s="17"/>
      <c r="D16" s="17"/>
      <c r="E16" s="18"/>
      <c r="F16" s="18"/>
      <c r="G16" s="5"/>
      <c r="H16" s="5"/>
      <c r="I16" s="5"/>
      <c r="J16" s="5"/>
      <c r="K16" s="5"/>
      <c r="L16" s="5"/>
      <c r="M16" s="8"/>
    </row>
    <row r="17" spans="1:13" x14ac:dyDescent="0.3">
      <c r="A17" s="13" t="s">
        <v>140</v>
      </c>
      <c r="B17" s="17"/>
      <c r="C17" s="17"/>
      <c r="D17" s="17"/>
      <c r="E17" s="18"/>
      <c r="F17" s="18"/>
      <c r="G17" s="5"/>
      <c r="H17" s="5"/>
      <c r="I17" s="5"/>
      <c r="J17" s="59" t="s">
        <v>144</v>
      </c>
      <c r="K17" s="57">
        <v>800</v>
      </c>
      <c r="L17" s="57" t="s">
        <v>143</v>
      </c>
      <c r="M17" s="57">
        <v>200</v>
      </c>
    </row>
    <row r="18" spans="1:13" x14ac:dyDescent="0.3">
      <c r="A18" s="13" t="s">
        <v>141</v>
      </c>
      <c r="B18" s="17"/>
      <c r="C18" s="17"/>
      <c r="D18" s="17"/>
      <c r="E18" s="18"/>
      <c r="F18" s="18"/>
      <c r="G18" s="5"/>
      <c r="H18" s="5"/>
      <c r="I18" s="5"/>
      <c r="J18" s="59" t="s">
        <v>145</v>
      </c>
      <c r="K18" s="113">
        <v>3.5000000000000003E-2</v>
      </c>
      <c r="L18" s="5"/>
      <c r="M18" s="8"/>
    </row>
    <row r="19" spans="1:13" x14ac:dyDescent="0.3">
      <c r="A19" s="13" t="s">
        <v>242</v>
      </c>
      <c r="B19" s="17"/>
      <c r="C19" s="17"/>
      <c r="D19" s="17"/>
      <c r="E19" s="18"/>
      <c r="F19" s="18"/>
      <c r="G19" s="5"/>
      <c r="H19" s="5"/>
      <c r="I19" s="5"/>
      <c r="J19" s="96" t="s">
        <v>243</v>
      </c>
      <c r="K19" s="97">
        <v>0.15</v>
      </c>
      <c r="L19" s="5"/>
      <c r="M19" s="8"/>
    </row>
    <row r="20" spans="1:13" x14ac:dyDescent="0.3">
      <c r="A20" s="115" t="s">
        <v>142</v>
      </c>
      <c r="B20" s="17"/>
      <c r="C20" s="17"/>
      <c r="D20" s="17"/>
      <c r="E20" s="18"/>
      <c r="F20" s="18"/>
      <c r="G20" s="5"/>
      <c r="H20" s="5"/>
      <c r="I20" s="5"/>
      <c r="J20" s="267" t="s">
        <v>146</v>
      </c>
      <c r="K20" s="269">
        <v>2</v>
      </c>
      <c r="L20" s="271" t="s">
        <v>211</v>
      </c>
      <c r="M20" s="272"/>
    </row>
    <row r="21" spans="1:13" x14ac:dyDescent="0.3">
      <c r="A21" s="5"/>
      <c r="B21" s="17"/>
      <c r="C21" s="17"/>
      <c r="D21" s="17"/>
      <c r="E21" s="18"/>
      <c r="F21" s="18"/>
      <c r="G21" s="5"/>
      <c r="H21" s="5"/>
      <c r="I21" s="5"/>
      <c r="J21" s="268"/>
      <c r="K21" s="270"/>
      <c r="L21" s="273"/>
      <c r="M21" s="274"/>
    </row>
    <row r="22" spans="1:13" ht="15.6" customHeight="1" x14ac:dyDescent="0.3">
      <c r="A22" s="5"/>
      <c r="B22" s="275" t="s">
        <v>147</v>
      </c>
      <c r="C22" s="276"/>
      <c r="D22" s="251" t="s">
        <v>10</v>
      </c>
      <c r="E22" s="18"/>
      <c r="F22" s="18"/>
      <c r="G22" s="5"/>
      <c r="H22" s="5"/>
      <c r="I22" s="5"/>
      <c r="J22" s="5"/>
      <c r="K22" s="5"/>
      <c r="L22" s="5"/>
      <c r="M22" s="8"/>
    </row>
    <row r="23" spans="1:13" x14ac:dyDescent="0.3">
      <c r="A23" s="5"/>
      <c r="B23" s="277"/>
      <c r="C23" s="278"/>
      <c r="D23" s="251"/>
      <c r="E23" s="18"/>
      <c r="F23" s="18"/>
      <c r="G23" s="5"/>
      <c r="H23" s="5"/>
      <c r="I23" s="5"/>
      <c r="J23" s="5"/>
      <c r="K23" s="5"/>
      <c r="L23" s="5"/>
      <c r="M23" s="8"/>
    </row>
    <row r="24" spans="1:13" x14ac:dyDescent="0.3">
      <c r="A24" s="5"/>
      <c r="B24" s="265">
        <v>100</v>
      </c>
      <c r="C24" s="266"/>
      <c r="D24" s="60">
        <v>0.91349999999999998</v>
      </c>
      <c r="E24" s="18"/>
      <c r="F24" s="18"/>
      <c r="G24" s="5"/>
      <c r="H24" s="5"/>
      <c r="I24" s="5"/>
      <c r="J24" s="5"/>
      <c r="K24" s="5"/>
      <c r="L24" s="5"/>
      <c r="M24" s="8"/>
    </row>
    <row r="25" spans="1:13" x14ac:dyDescent="0.3">
      <c r="A25" s="5"/>
      <c r="B25" s="265">
        <v>225</v>
      </c>
      <c r="C25" s="266"/>
      <c r="D25" s="60">
        <v>1.8499999999999999E-2</v>
      </c>
      <c r="E25" s="18"/>
      <c r="F25" s="18"/>
      <c r="G25" s="5"/>
      <c r="H25" s="5"/>
      <c r="I25" s="5"/>
      <c r="J25" s="5"/>
      <c r="K25" s="5"/>
      <c r="L25" s="5"/>
      <c r="M25" s="8"/>
    </row>
    <row r="26" spans="1:13" x14ac:dyDescent="0.3">
      <c r="A26" s="5"/>
      <c r="B26" s="265">
        <v>275</v>
      </c>
      <c r="C26" s="266"/>
      <c r="D26" s="60">
        <v>1.6E-2</v>
      </c>
      <c r="E26" s="18"/>
      <c r="F26" s="18"/>
      <c r="G26" s="5"/>
      <c r="H26" s="5"/>
      <c r="I26" s="5"/>
      <c r="J26" s="5"/>
      <c r="K26" s="5"/>
      <c r="L26" s="5"/>
      <c r="M26" s="8"/>
    </row>
    <row r="27" spans="1:13" x14ac:dyDescent="0.3">
      <c r="A27" s="5"/>
      <c r="B27" s="265">
        <v>350</v>
      </c>
      <c r="C27" s="266"/>
      <c r="D27" s="60">
        <v>1.35E-2</v>
      </c>
      <c r="E27" s="18"/>
      <c r="F27" s="18"/>
      <c r="G27" s="5"/>
      <c r="H27" s="5"/>
      <c r="I27" s="5"/>
      <c r="J27" s="5"/>
      <c r="K27" s="5"/>
      <c r="L27" s="5"/>
      <c r="M27" s="8"/>
    </row>
    <row r="28" spans="1:13" x14ac:dyDescent="0.3">
      <c r="A28" s="5"/>
      <c r="B28" s="265">
        <v>450</v>
      </c>
      <c r="C28" s="266"/>
      <c r="D28" s="60">
        <v>1.2500000000000001E-2</v>
      </c>
      <c r="E28" s="18"/>
      <c r="F28" s="18"/>
      <c r="G28" s="5"/>
      <c r="H28" s="5"/>
      <c r="I28" s="5"/>
      <c r="J28" s="5"/>
      <c r="K28" s="5"/>
      <c r="L28" s="5"/>
      <c r="M28" s="8"/>
    </row>
    <row r="29" spans="1:13" x14ac:dyDescent="0.3">
      <c r="A29" s="5"/>
      <c r="B29" s="265">
        <v>550</v>
      </c>
      <c r="C29" s="266"/>
      <c r="D29" s="60">
        <v>7.0000000000000001E-3</v>
      </c>
      <c r="E29" s="18"/>
      <c r="F29" s="18"/>
      <c r="G29" s="5"/>
      <c r="H29" s="5"/>
      <c r="I29" s="5"/>
      <c r="J29" s="5"/>
      <c r="K29" s="5"/>
      <c r="L29" s="5"/>
      <c r="M29" s="8"/>
    </row>
    <row r="30" spans="1:13" x14ac:dyDescent="0.3">
      <c r="A30" s="5"/>
      <c r="B30" s="265">
        <v>650</v>
      </c>
      <c r="C30" s="266"/>
      <c r="D30" s="60">
        <v>5.4999999999999997E-3</v>
      </c>
      <c r="E30" s="18"/>
      <c r="F30" s="18"/>
      <c r="G30" s="5"/>
      <c r="H30" s="5"/>
      <c r="I30" s="5"/>
      <c r="J30" s="5"/>
      <c r="K30" s="5"/>
      <c r="L30" s="5"/>
      <c r="M30" s="8"/>
    </row>
    <row r="31" spans="1:13" x14ac:dyDescent="0.3">
      <c r="A31" s="5"/>
      <c r="B31" s="265">
        <v>750</v>
      </c>
      <c r="C31" s="266"/>
      <c r="D31" s="60">
        <v>4.0000000000000001E-3</v>
      </c>
      <c r="E31" s="18"/>
      <c r="F31" s="18"/>
      <c r="G31" s="5"/>
      <c r="H31" s="5"/>
      <c r="I31" s="5"/>
      <c r="J31" s="5"/>
      <c r="K31" s="5"/>
      <c r="L31" s="5"/>
      <c r="M31" s="8"/>
    </row>
    <row r="32" spans="1:13" x14ac:dyDescent="0.3">
      <c r="A32" s="5"/>
      <c r="B32" s="265">
        <v>850</v>
      </c>
      <c r="C32" s="266"/>
      <c r="D32" s="60">
        <v>3.5000000000000001E-3</v>
      </c>
      <c r="E32" s="18"/>
      <c r="F32" s="18"/>
      <c r="G32" s="5"/>
      <c r="H32" s="5"/>
      <c r="I32" s="5"/>
      <c r="J32" s="5"/>
      <c r="K32" s="5"/>
      <c r="L32" s="5"/>
      <c r="M32" s="8"/>
    </row>
    <row r="33" spans="1:25" x14ac:dyDescent="0.3">
      <c r="A33" s="5"/>
      <c r="B33" s="265">
        <v>950</v>
      </c>
      <c r="C33" s="266"/>
      <c r="D33" s="60">
        <v>6.0000000000000001E-3</v>
      </c>
      <c r="E33" s="18"/>
      <c r="F33" s="18"/>
      <c r="G33" s="5"/>
      <c r="H33" s="5"/>
      <c r="I33" s="5"/>
      <c r="J33" s="5"/>
      <c r="K33" s="5"/>
      <c r="L33" s="5"/>
      <c r="M33" s="8"/>
    </row>
    <row r="34" spans="1:25" x14ac:dyDescent="0.3">
      <c r="A34" s="5"/>
      <c r="B34" s="17"/>
      <c r="C34" s="17"/>
      <c r="D34" s="17"/>
      <c r="E34" s="18"/>
      <c r="F34" s="18"/>
      <c r="G34" s="5"/>
      <c r="H34" s="5"/>
      <c r="I34" s="5"/>
      <c r="J34" s="5"/>
      <c r="K34" s="5"/>
      <c r="L34" s="5"/>
      <c r="M34" s="8"/>
    </row>
    <row r="35" spans="1:25" x14ac:dyDescent="0.3">
      <c r="A35" s="5" t="s">
        <v>148</v>
      </c>
      <c r="B35" s="17"/>
      <c r="C35" s="17"/>
      <c r="D35" s="17"/>
      <c r="E35" s="18"/>
      <c r="F35" s="18"/>
      <c r="G35" s="5"/>
      <c r="H35" s="5"/>
      <c r="I35" s="5"/>
      <c r="J35" s="59" t="s">
        <v>60</v>
      </c>
      <c r="K35" s="84">
        <v>0.05</v>
      </c>
      <c r="L35" s="5"/>
      <c r="M35" s="8"/>
    </row>
    <row r="36" spans="1:25" x14ac:dyDescent="0.3">
      <c r="A36" s="5"/>
      <c r="B36" s="17"/>
      <c r="C36" s="17"/>
      <c r="D36" s="17"/>
      <c r="E36" s="18"/>
      <c r="F36" s="18"/>
      <c r="G36" s="5"/>
      <c r="H36" s="5"/>
      <c r="I36" s="5"/>
      <c r="J36" s="5"/>
      <c r="K36" s="5"/>
      <c r="L36" s="5"/>
      <c r="M36" s="8"/>
    </row>
    <row r="37" spans="1:25" x14ac:dyDescent="0.3">
      <c r="A37" s="12" t="s">
        <v>4</v>
      </c>
      <c r="B37" s="242" t="s">
        <v>244</v>
      </c>
      <c r="C37" s="242"/>
      <c r="D37" s="242"/>
      <c r="E37" s="242"/>
      <c r="F37" s="242"/>
      <c r="G37" s="242"/>
      <c r="H37" s="242"/>
      <c r="I37" s="242"/>
      <c r="J37" s="242"/>
      <c r="K37" s="242"/>
      <c r="L37" s="242"/>
      <c r="M37" s="242"/>
    </row>
    <row r="38" spans="1:25" s="26" customFormat="1" ht="16.2" x14ac:dyDescent="0.35">
      <c r="A38" s="9"/>
      <c r="B38" s="9" t="s">
        <v>1</v>
      </c>
      <c r="C38" s="9"/>
      <c r="D38" s="11"/>
      <c r="E38" s="11"/>
      <c r="F38" s="7"/>
      <c r="G38" s="7"/>
      <c r="H38" s="7"/>
      <c r="I38" s="8"/>
      <c r="J38" s="8"/>
      <c r="K38" s="8"/>
      <c r="L38" s="8"/>
      <c r="M38" s="8"/>
      <c r="N38" s="27"/>
      <c r="O38" s="27"/>
      <c r="P38" s="27"/>
      <c r="Q38" s="27"/>
      <c r="R38" s="27"/>
      <c r="S38" s="27"/>
      <c r="T38" s="27"/>
      <c r="U38" s="27"/>
      <c r="V38" s="27"/>
      <c r="W38" s="27"/>
      <c r="X38" s="27"/>
      <c r="Y38" s="27"/>
    </row>
    <row r="39" spans="1:25" s="26" customFormat="1" x14ac:dyDescent="0.3">
      <c r="A39" s="4"/>
      <c r="B39" s="4"/>
      <c r="C39" s="4"/>
      <c r="D39" s="4"/>
      <c r="E39" s="4"/>
      <c r="F39" s="4"/>
      <c r="G39" s="4"/>
      <c r="H39" s="4"/>
      <c r="I39" s="4"/>
      <c r="J39" s="4"/>
      <c r="K39" s="4"/>
      <c r="L39" s="4"/>
      <c r="M39" s="4"/>
      <c r="N39" s="27"/>
      <c r="O39" s="27"/>
      <c r="P39" s="27"/>
      <c r="Q39" s="27"/>
      <c r="R39" s="27"/>
      <c r="S39" s="27"/>
      <c r="T39" s="27"/>
      <c r="U39" s="27"/>
      <c r="V39" s="27"/>
      <c r="W39" s="27"/>
      <c r="X39" s="27"/>
      <c r="Y39" s="27"/>
    </row>
    <row r="40" spans="1:25" s="26" customFormat="1" ht="46.8" x14ac:dyDescent="0.3">
      <c r="A40" s="4"/>
      <c r="B40" s="126" t="s">
        <v>254</v>
      </c>
      <c r="C40" s="178" t="s">
        <v>357</v>
      </c>
      <c r="D40" s="178" t="s">
        <v>358</v>
      </c>
      <c r="E40" s="178" t="s">
        <v>359</v>
      </c>
      <c r="F40" s="4"/>
      <c r="G40" s="4"/>
      <c r="H40" s="4"/>
      <c r="I40" s="4"/>
      <c r="J40" s="4"/>
      <c r="K40" s="4"/>
      <c r="L40" s="4"/>
      <c r="M40" s="4"/>
      <c r="N40" s="27"/>
      <c r="O40" s="27"/>
      <c r="P40" s="27"/>
      <c r="Q40" s="27"/>
      <c r="R40" s="27"/>
      <c r="S40" s="27"/>
      <c r="T40" s="27"/>
      <c r="U40" s="27"/>
      <c r="V40" s="27"/>
      <c r="W40" s="27"/>
      <c r="X40" s="27"/>
      <c r="Y40" s="27"/>
    </row>
    <row r="41" spans="1:25" s="26" customFormat="1" x14ac:dyDescent="0.3">
      <c r="A41" s="4"/>
      <c r="B41" s="4">
        <f>MIN($K$17,MAX(0,B24-$M$17))</f>
        <v>0</v>
      </c>
      <c r="C41" s="4">
        <f>B41*(1-$K$19)</f>
        <v>0</v>
      </c>
      <c r="D41" s="159">
        <f>MAX(0,-($C$52-C41/((1+$K$18)^($K$20+1))))</f>
        <v>0</v>
      </c>
      <c r="E41" s="133">
        <f>IF(D41&gt;0,D24,0)</f>
        <v>0</v>
      </c>
      <c r="F41" s="4"/>
      <c r="G41" s="4"/>
      <c r="H41" s="4"/>
      <c r="I41" s="4"/>
      <c r="J41" s="4"/>
      <c r="K41" s="4"/>
      <c r="L41" s="4"/>
      <c r="M41" s="4"/>
      <c r="N41" s="27"/>
      <c r="O41" s="27"/>
      <c r="P41" s="27"/>
      <c r="Q41" s="27"/>
      <c r="R41" s="27"/>
      <c r="S41" s="27"/>
      <c r="T41" s="27"/>
      <c r="U41" s="27"/>
      <c r="V41" s="27"/>
      <c r="W41" s="27"/>
      <c r="X41" s="27"/>
      <c r="Y41" s="27"/>
    </row>
    <row r="42" spans="1:25" s="26" customFormat="1" x14ac:dyDescent="0.3">
      <c r="A42" s="4"/>
      <c r="B42" s="4">
        <f t="shared" ref="B42:B50" si="0">MIN($K$17,MAX(0,B25-$M$17))</f>
        <v>25</v>
      </c>
      <c r="C42" s="4">
        <f t="shared" ref="C42:C50" si="1">B42*(1-$K$19)</f>
        <v>21.25</v>
      </c>
      <c r="D42" s="159">
        <f t="shared" ref="D42:D50" si="2">MAX(0,-($C$52-C42/((1+$K$18)^($K$20+1))))</f>
        <v>0</v>
      </c>
      <c r="E42" s="133">
        <f t="shared" ref="E42:E50" si="3">IF(D42&gt;0,D25,0)</f>
        <v>0</v>
      </c>
      <c r="F42" s="4"/>
      <c r="G42" s="4"/>
      <c r="H42" s="4"/>
      <c r="I42" s="4"/>
      <c r="J42" s="4"/>
      <c r="K42" s="4"/>
      <c r="L42" s="4"/>
      <c r="M42" s="4"/>
      <c r="N42" s="27"/>
      <c r="O42" s="27"/>
      <c r="P42" s="27"/>
      <c r="Q42" s="27"/>
      <c r="R42" s="27"/>
      <c r="S42" s="27"/>
      <c r="T42" s="27"/>
      <c r="U42" s="27"/>
      <c r="V42" s="27"/>
      <c r="W42" s="27"/>
      <c r="X42" s="27"/>
      <c r="Y42" s="27"/>
    </row>
    <row r="43" spans="1:25" s="26" customFormat="1" x14ac:dyDescent="0.3">
      <c r="A43" s="4"/>
      <c r="B43" s="4">
        <f t="shared" si="0"/>
        <v>75</v>
      </c>
      <c r="C43" s="4">
        <f t="shared" si="1"/>
        <v>63.75</v>
      </c>
      <c r="D43" s="159">
        <f t="shared" si="2"/>
        <v>0</v>
      </c>
      <c r="E43" s="133">
        <f t="shared" si="3"/>
        <v>0</v>
      </c>
      <c r="F43" s="4"/>
      <c r="G43" s="4"/>
      <c r="H43" s="4"/>
      <c r="I43" s="4"/>
      <c r="J43" s="4"/>
      <c r="K43" s="4"/>
      <c r="L43" s="4"/>
      <c r="M43" s="4"/>
      <c r="N43" s="27"/>
      <c r="O43" s="27"/>
      <c r="P43" s="27"/>
      <c r="Q43" s="27"/>
      <c r="R43" s="27"/>
      <c r="S43" s="27"/>
      <c r="T43" s="27"/>
      <c r="U43" s="27"/>
      <c r="V43" s="27"/>
      <c r="W43" s="27"/>
      <c r="X43" s="27"/>
      <c r="Y43" s="27"/>
    </row>
    <row r="44" spans="1:25" s="26" customFormat="1" x14ac:dyDescent="0.3">
      <c r="A44" s="4"/>
      <c r="B44" s="4">
        <f t="shared" si="0"/>
        <v>150</v>
      </c>
      <c r="C44" s="4">
        <f t="shared" si="1"/>
        <v>127.5</v>
      </c>
      <c r="D44" s="159">
        <f t="shared" si="2"/>
        <v>0</v>
      </c>
      <c r="E44" s="133">
        <f t="shared" si="3"/>
        <v>0</v>
      </c>
      <c r="F44" s="4"/>
      <c r="G44" s="4"/>
      <c r="H44" s="4"/>
      <c r="I44" s="4"/>
      <c r="J44" s="4"/>
      <c r="K44" s="4"/>
      <c r="L44" s="4"/>
      <c r="M44" s="4"/>
      <c r="N44" s="27"/>
      <c r="O44" s="27"/>
      <c r="P44" s="27"/>
      <c r="Q44" s="27"/>
      <c r="R44" s="27"/>
      <c r="S44" s="27"/>
      <c r="T44" s="27"/>
      <c r="U44" s="27"/>
      <c r="V44" s="27"/>
      <c r="W44" s="27"/>
      <c r="X44" s="27"/>
      <c r="Y44" s="27"/>
    </row>
    <row r="45" spans="1:25" s="26" customFormat="1" x14ac:dyDescent="0.3">
      <c r="A45" s="4"/>
      <c r="B45" s="4">
        <f t="shared" si="0"/>
        <v>250</v>
      </c>
      <c r="C45" s="4">
        <f t="shared" si="1"/>
        <v>212.5</v>
      </c>
      <c r="D45" s="159">
        <f t="shared" si="2"/>
        <v>44.01733650086274</v>
      </c>
      <c r="E45" s="133">
        <f t="shared" si="3"/>
        <v>1.2500000000000001E-2</v>
      </c>
      <c r="F45" s="4"/>
      <c r="G45" s="4"/>
      <c r="H45" s="4"/>
      <c r="I45" s="4"/>
      <c r="J45" s="4"/>
      <c r="K45" s="4"/>
      <c r="L45" s="4"/>
      <c r="M45" s="4"/>
      <c r="N45" s="27"/>
      <c r="O45" s="27"/>
      <c r="P45" s="27"/>
      <c r="Q45" s="27"/>
      <c r="R45" s="27"/>
      <c r="S45" s="27"/>
      <c r="T45" s="27"/>
      <c r="U45" s="27"/>
      <c r="V45" s="27"/>
      <c r="W45" s="27"/>
      <c r="X45" s="27"/>
      <c r="Y45" s="27"/>
    </row>
    <row r="46" spans="1:25" s="26" customFormat="1" x14ac:dyDescent="0.3">
      <c r="A46" s="4"/>
      <c r="B46" s="4">
        <f t="shared" si="0"/>
        <v>350</v>
      </c>
      <c r="C46" s="4">
        <f t="shared" si="1"/>
        <v>297.5</v>
      </c>
      <c r="D46" s="159">
        <f t="shared" si="2"/>
        <v>120.68246648264466</v>
      </c>
      <c r="E46" s="133">
        <f t="shared" si="3"/>
        <v>7.0000000000000001E-3</v>
      </c>
      <c r="F46" s="4"/>
      <c r="G46" s="4"/>
      <c r="H46" s="4"/>
      <c r="I46" s="4"/>
      <c r="J46" s="4"/>
      <c r="K46" s="4"/>
      <c r="L46" s="4"/>
      <c r="M46" s="4"/>
      <c r="N46" s="27"/>
      <c r="O46" s="27"/>
      <c r="P46" s="27"/>
      <c r="Q46" s="27"/>
      <c r="R46" s="27"/>
      <c r="S46" s="27"/>
      <c r="T46" s="27"/>
      <c r="U46" s="27"/>
      <c r="V46" s="27"/>
      <c r="W46" s="27"/>
      <c r="X46" s="27"/>
      <c r="Y46" s="27"/>
    </row>
    <row r="47" spans="1:25" s="26" customFormat="1" x14ac:dyDescent="0.3">
      <c r="A47" s="4"/>
      <c r="B47" s="4">
        <f t="shared" si="0"/>
        <v>450</v>
      </c>
      <c r="C47" s="4">
        <f t="shared" si="1"/>
        <v>382.5</v>
      </c>
      <c r="D47" s="159">
        <f t="shared" si="2"/>
        <v>197.34759646442654</v>
      </c>
      <c r="E47" s="133">
        <f t="shared" si="3"/>
        <v>5.4999999999999997E-3</v>
      </c>
      <c r="F47" s="4"/>
      <c r="G47" s="4"/>
      <c r="H47" s="4"/>
      <c r="I47" s="4"/>
      <c r="J47" s="4"/>
      <c r="K47" s="4"/>
      <c r="L47" s="4"/>
      <c r="M47" s="4"/>
      <c r="N47" s="27"/>
      <c r="O47" s="27"/>
      <c r="P47" s="27"/>
      <c r="Q47" s="27"/>
      <c r="R47" s="27"/>
      <c r="S47" s="27"/>
      <c r="T47" s="27"/>
      <c r="U47" s="27"/>
      <c r="V47" s="27"/>
      <c r="W47" s="27"/>
      <c r="X47" s="27"/>
      <c r="Y47" s="27"/>
    </row>
    <row r="48" spans="1:25" s="26" customFormat="1" x14ac:dyDescent="0.3">
      <c r="A48" s="4"/>
      <c r="B48" s="4">
        <f t="shared" si="0"/>
        <v>550</v>
      </c>
      <c r="C48" s="4">
        <f t="shared" si="1"/>
        <v>467.5</v>
      </c>
      <c r="D48" s="159">
        <f t="shared" si="2"/>
        <v>274.01272644620843</v>
      </c>
      <c r="E48" s="133">
        <f t="shared" si="3"/>
        <v>4.0000000000000001E-3</v>
      </c>
      <c r="F48" s="4"/>
      <c r="G48" s="4"/>
      <c r="H48" s="4"/>
      <c r="I48" s="4"/>
      <c r="J48" s="4"/>
      <c r="K48" s="4"/>
      <c r="L48" s="4"/>
      <c r="M48" s="4"/>
      <c r="N48" s="27"/>
      <c r="O48" s="27"/>
      <c r="P48" s="27"/>
      <c r="Q48" s="27"/>
      <c r="R48" s="27"/>
      <c r="S48" s="27"/>
      <c r="T48" s="27"/>
      <c r="U48" s="27"/>
      <c r="V48" s="27"/>
      <c r="W48" s="27"/>
      <c r="X48" s="27"/>
      <c r="Y48" s="27"/>
    </row>
    <row r="49" spans="1:25" s="26" customFormat="1" x14ac:dyDescent="0.3">
      <c r="A49" s="4"/>
      <c r="B49" s="4">
        <f t="shared" si="0"/>
        <v>650</v>
      </c>
      <c r="C49" s="4">
        <f t="shared" si="1"/>
        <v>552.5</v>
      </c>
      <c r="D49" s="159">
        <f t="shared" si="2"/>
        <v>350.67785642799038</v>
      </c>
      <c r="E49" s="133">
        <f t="shared" si="3"/>
        <v>3.5000000000000001E-3</v>
      </c>
      <c r="F49" s="4"/>
      <c r="G49" s="4"/>
      <c r="H49" s="4"/>
      <c r="I49" s="4"/>
      <c r="J49" s="4"/>
      <c r="K49" s="4"/>
      <c r="L49" s="4"/>
      <c r="M49" s="4"/>
      <c r="N49" s="27"/>
      <c r="O49" s="27"/>
      <c r="P49" s="27"/>
      <c r="Q49" s="27"/>
      <c r="R49" s="27"/>
      <c r="S49" s="27"/>
      <c r="T49" s="27"/>
      <c r="U49" s="27"/>
      <c r="V49" s="27"/>
      <c r="W49" s="27"/>
      <c r="X49" s="27"/>
      <c r="Y49" s="27"/>
    </row>
    <row r="50" spans="1:25" s="26" customFormat="1" x14ac:dyDescent="0.3">
      <c r="A50" s="4"/>
      <c r="B50" s="4">
        <f t="shared" si="0"/>
        <v>750</v>
      </c>
      <c r="C50" s="4">
        <f t="shared" si="1"/>
        <v>637.5</v>
      </c>
      <c r="D50" s="159">
        <f t="shared" si="2"/>
        <v>427.34298640977221</v>
      </c>
      <c r="E50" s="133">
        <f t="shared" si="3"/>
        <v>6.0000000000000001E-3</v>
      </c>
      <c r="F50" s="4"/>
      <c r="G50" s="4"/>
      <c r="H50" s="4"/>
      <c r="I50" s="4"/>
      <c r="J50" s="4"/>
      <c r="K50" s="4"/>
      <c r="L50" s="4"/>
      <c r="M50" s="4"/>
      <c r="N50" s="27"/>
      <c r="O50" s="27"/>
      <c r="P50" s="27"/>
      <c r="Q50" s="27"/>
      <c r="R50" s="27"/>
      <c r="S50" s="27"/>
      <c r="T50" s="27"/>
      <c r="U50" s="27"/>
      <c r="V50" s="27"/>
      <c r="W50" s="27"/>
      <c r="X50" s="27"/>
      <c r="Y50" s="27"/>
    </row>
    <row r="51" spans="1:25" s="26" customFormat="1" x14ac:dyDescent="0.3">
      <c r="A51" s="4"/>
      <c r="B51" s="4"/>
      <c r="C51" s="4"/>
      <c r="D51" s="4"/>
      <c r="E51" s="4"/>
      <c r="F51" s="4"/>
      <c r="G51" s="4"/>
      <c r="H51" s="4"/>
      <c r="I51" s="4"/>
      <c r="J51" s="4"/>
      <c r="K51" s="4"/>
      <c r="L51" s="4"/>
      <c r="M51" s="4"/>
      <c r="N51" s="27"/>
      <c r="O51" s="27"/>
      <c r="P51" s="27"/>
      <c r="Q51" s="27"/>
      <c r="R51" s="27"/>
      <c r="S51" s="27"/>
      <c r="T51" s="27"/>
      <c r="U51" s="27"/>
      <c r="V51" s="27"/>
      <c r="W51" s="27"/>
      <c r="X51" s="27"/>
      <c r="Y51" s="27"/>
    </row>
    <row r="52" spans="1:25" s="26" customFormat="1" x14ac:dyDescent="0.3">
      <c r="A52" s="4"/>
      <c r="B52" s="186" t="s">
        <v>360</v>
      </c>
      <c r="C52" s="187">
        <v>147.64548845359201</v>
      </c>
      <c r="D52" s="4"/>
      <c r="E52" s="184" t="s">
        <v>368</v>
      </c>
      <c r="F52" s="184"/>
      <c r="G52" s="4"/>
      <c r="H52" s="4"/>
      <c r="I52" s="4"/>
      <c r="J52" s="4"/>
      <c r="K52" s="4"/>
      <c r="L52" s="4"/>
      <c r="M52" s="4"/>
      <c r="N52" s="27"/>
      <c r="O52" s="27"/>
      <c r="P52" s="27"/>
      <c r="Q52" s="27"/>
      <c r="R52" s="27"/>
      <c r="S52" s="27"/>
      <c r="T52" s="27"/>
      <c r="U52" s="27"/>
      <c r="V52" s="27"/>
      <c r="W52" s="27"/>
      <c r="X52" s="27"/>
      <c r="Y52" s="27"/>
    </row>
    <row r="53" spans="1:25" s="26" customFormat="1" x14ac:dyDescent="0.3">
      <c r="A53" s="4"/>
      <c r="B53" s="4" t="s">
        <v>305</v>
      </c>
      <c r="C53" s="183">
        <f>SUM(E41:E50)</f>
        <v>3.85E-2</v>
      </c>
      <c r="D53" s="4"/>
      <c r="E53" s="184" t="s">
        <v>367</v>
      </c>
      <c r="F53" s="185" t="s">
        <v>363</v>
      </c>
      <c r="G53" s="4"/>
      <c r="H53" s="4"/>
      <c r="J53" s="4"/>
      <c r="K53" s="4"/>
      <c r="L53" s="4"/>
      <c r="M53" s="4"/>
      <c r="N53" s="27"/>
      <c r="O53" s="27"/>
      <c r="P53" s="27"/>
      <c r="Q53" s="27"/>
      <c r="R53" s="27"/>
      <c r="S53" s="27"/>
      <c r="T53" s="27"/>
      <c r="U53" s="27"/>
      <c r="V53" s="27"/>
      <c r="W53" s="27"/>
      <c r="X53" s="27"/>
      <c r="Y53" s="27"/>
    </row>
    <row r="54" spans="1:25" s="26" customFormat="1" x14ac:dyDescent="0.3">
      <c r="A54" s="4"/>
      <c r="B54" s="4" t="s">
        <v>361</v>
      </c>
      <c r="C54" s="159">
        <f>SUMPRODUCT(D41:D50,E41:E50)/C53</f>
        <v>191.37369023207989</v>
      </c>
      <c r="D54" s="4"/>
      <c r="E54" s="184" t="s">
        <v>364</v>
      </c>
      <c r="F54" s="185">
        <v>0</v>
      </c>
      <c r="G54" s="4"/>
      <c r="H54" s="4"/>
      <c r="I54" s="4"/>
      <c r="J54" s="4"/>
      <c r="K54" s="4"/>
      <c r="L54" s="4"/>
      <c r="M54" s="4"/>
      <c r="N54" s="27"/>
      <c r="O54" s="27"/>
      <c r="P54" s="27"/>
      <c r="Q54" s="27"/>
      <c r="R54" s="27"/>
      <c r="S54" s="27"/>
      <c r="T54" s="27"/>
      <c r="U54" s="27"/>
      <c r="V54" s="27"/>
      <c r="W54" s="27"/>
      <c r="X54" s="27"/>
      <c r="Y54" s="27"/>
    </row>
    <row r="55" spans="1:25" s="26" customFormat="1" x14ac:dyDescent="0.3">
      <c r="A55" s="4"/>
      <c r="B55" s="4" t="s">
        <v>60</v>
      </c>
      <c r="C55" s="223">
        <f>C53*C54/C52</f>
        <v>4.9902554768891244E-2</v>
      </c>
      <c r="D55" s="4"/>
      <c r="E55" s="184" t="s">
        <v>365</v>
      </c>
      <c r="F55" s="184" t="s">
        <v>366</v>
      </c>
      <c r="G55" s="184" t="s">
        <v>369</v>
      </c>
      <c r="H55" s="4"/>
      <c r="I55" s="4"/>
      <c r="J55" s="4"/>
      <c r="K55" s="4"/>
      <c r="L55" s="4"/>
      <c r="M55" s="4"/>
      <c r="N55" s="27"/>
      <c r="O55" s="27"/>
      <c r="P55" s="27"/>
      <c r="Q55" s="27"/>
      <c r="R55" s="27"/>
      <c r="S55" s="27"/>
      <c r="T55" s="27"/>
      <c r="U55" s="27"/>
      <c r="V55" s="27"/>
      <c r="W55" s="27"/>
      <c r="X55" s="27"/>
      <c r="Y55" s="27"/>
    </row>
    <row r="56" spans="1:25" s="28" customFormat="1" ht="15.75" customHeight="1" x14ac:dyDescent="0.3">
      <c r="A56" s="4"/>
      <c r="B56" s="4" t="s">
        <v>362</v>
      </c>
      <c r="C56" s="223">
        <f>C55-5%</f>
        <v>-9.744523110875869E-5</v>
      </c>
      <c r="D56" s="4"/>
      <c r="E56" s="184"/>
      <c r="F56" s="4"/>
      <c r="G56" s="4"/>
      <c r="H56" s="4"/>
      <c r="I56" s="4"/>
      <c r="J56" s="4"/>
      <c r="K56" s="4"/>
      <c r="L56" s="4"/>
      <c r="M56" s="4"/>
    </row>
    <row r="57" spans="1:25" s="28" customFormat="1" ht="15.75" customHeight="1" x14ac:dyDescent="0.3">
      <c r="A57" s="4"/>
      <c r="B57" s="4"/>
      <c r="C57" s="4"/>
      <c r="D57" s="4"/>
      <c r="I57" s="4"/>
      <c r="J57" s="4"/>
      <c r="K57" s="4"/>
      <c r="L57" s="4"/>
      <c r="M57" s="4"/>
    </row>
    <row r="58" spans="1:25" s="28" customFormat="1" ht="15.75" customHeight="1" x14ac:dyDescent="0.3">
      <c r="A58" s="12" t="s">
        <v>9</v>
      </c>
      <c r="B58" s="242" t="s">
        <v>149</v>
      </c>
      <c r="C58" s="242"/>
      <c r="D58" s="242"/>
      <c r="E58" s="242"/>
      <c r="F58" s="242"/>
      <c r="G58" s="242"/>
      <c r="H58" s="242"/>
      <c r="I58" s="242"/>
      <c r="J58" s="242"/>
      <c r="K58" s="242"/>
      <c r="L58" s="242"/>
      <c r="M58" s="242"/>
    </row>
    <row r="59" spans="1:25" s="28" customFormat="1" ht="15.75" customHeight="1" x14ac:dyDescent="0.35">
      <c r="A59" s="9"/>
      <c r="B59" s="9" t="s">
        <v>1</v>
      </c>
      <c r="C59" s="9"/>
      <c r="D59" s="11"/>
      <c r="E59" s="11"/>
      <c r="F59" s="7"/>
      <c r="G59" s="7"/>
      <c r="H59" s="7"/>
      <c r="I59" s="8"/>
      <c r="J59" s="8"/>
      <c r="K59" s="8"/>
      <c r="L59" s="8"/>
      <c r="M59" s="8"/>
    </row>
    <row r="60" spans="1:25" s="28" customFormat="1" ht="15.75" customHeight="1" x14ac:dyDescent="0.3">
      <c r="A60" s="4"/>
      <c r="B60" s="235" t="s">
        <v>356</v>
      </c>
      <c r="C60" s="229"/>
      <c r="D60" s="229"/>
      <c r="E60" s="229"/>
      <c r="F60" s="229"/>
      <c r="G60" s="229"/>
      <c r="H60" s="229"/>
      <c r="I60" s="229"/>
      <c r="J60" s="229"/>
      <c r="K60" s="229"/>
      <c r="L60" s="229"/>
      <c r="M60" s="229"/>
    </row>
    <row r="61" spans="1:25" s="28" customFormat="1" ht="15.75" customHeight="1" x14ac:dyDescent="0.3">
      <c r="A61" s="4"/>
      <c r="B61" s="229"/>
      <c r="C61" s="229"/>
      <c r="D61" s="229"/>
      <c r="E61" s="229"/>
      <c r="F61" s="229"/>
      <c r="G61" s="229"/>
      <c r="H61" s="229"/>
      <c r="I61" s="229"/>
      <c r="J61" s="229"/>
      <c r="K61" s="229"/>
      <c r="L61" s="229"/>
      <c r="M61" s="229"/>
    </row>
    <row r="62" spans="1:25" s="28" customFormat="1" ht="15.75" customHeight="1" x14ac:dyDescent="0.3">
      <c r="A62" s="4"/>
      <c r="B62" s="229"/>
      <c r="C62" s="229"/>
      <c r="D62" s="229"/>
      <c r="E62" s="229"/>
      <c r="F62" s="229"/>
      <c r="G62" s="229"/>
      <c r="H62" s="229"/>
      <c r="I62" s="229"/>
      <c r="J62" s="229"/>
      <c r="K62" s="229"/>
      <c r="L62" s="229"/>
      <c r="M62" s="229"/>
      <c r="N62" s="29"/>
      <c r="O62" s="29"/>
      <c r="P62" s="29"/>
      <c r="Q62" s="29"/>
      <c r="R62" s="29"/>
      <c r="S62" s="29"/>
      <c r="T62" s="29"/>
      <c r="U62" s="29"/>
      <c r="V62" s="29"/>
      <c r="W62" s="29"/>
      <c r="X62" s="29"/>
      <c r="Y62" s="29"/>
    </row>
    <row r="63" spans="1:25" ht="15.75" customHeight="1" x14ac:dyDescent="0.3">
      <c r="A63" s="26"/>
      <c r="B63" s="26"/>
      <c r="C63" s="26"/>
      <c r="D63" s="26"/>
      <c r="E63" s="26"/>
      <c r="F63" s="26"/>
      <c r="G63" s="26"/>
      <c r="H63" s="26"/>
      <c r="I63" s="26"/>
      <c r="J63" s="26"/>
      <c r="K63" s="26"/>
      <c r="L63" s="26"/>
      <c r="M63" s="26"/>
    </row>
    <row r="64" spans="1:25" ht="15.75" customHeight="1" x14ac:dyDescent="0.3">
      <c r="A64" s="26"/>
      <c r="B64" s="26"/>
      <c r="C64" s="26"/>
      <c r="D64" s="26"/>
      <c r="E64" s="26"/>
      <c r="F64" s="26"/>
      <c r="G64" s="26"/>
      <c r="H64" s="26"/>
      <c r="I64" s="26"/>
      <c r="J64" s="26"/>
      <c r="K64" s="26"/>
      <c r="L64" s="26"/>
      <c r="M64" s="26"/>
    </row>
    <row r="65" ht="15.75" customHeight="1" x14ac:dyDescent="0.3"/>
    <row r="66" ht="15.75" customHeight="1" x14ac:dyDescent="0.3"/>
    <row r="67" ht="15.75" customHeight="1" x14ac:dyDescent="0.3"/>
    <row r="68" ht="15.75" customHeight="1" x14ac:dyDescent="0.3"/>
  </sheetData>
  <mergeCells count="23">
    <mergeCell ref="B31:C31"/>
    <mergeCell ref="B32:C32"/>
    <mergeCell ref="B28:C28"/>
    <mergeCell ref="B29:C29"/>
    <mergeCell ref="B22:C23"/>
    <mergeCell ref="B24:C24"/>
    <mergeCell ref="B30:C30"/>
    <mergeCell ref="B60:M62"/>
    <mergeCell ref="B58:M58"/>
    <mergeCell ref="B5:M5"/>
    <mergeCell ref="B37:M37"/>
    <mergeCell ref="A3:M3"/>
    <mergeCell ref="B10:K10"/>
    <mergeCell ref="B7:M9"/>
    <mergeCell ref="B12:M14"/>
    <mergeCell ref="D22:D23"/>
    <mergeCell ref="B33:C33"/>
    <mergeCell ref="J20:J21"/>
    <mergeCell ref="K20:K21"/>
    <mergeCell ref="L20:M21"/>
    <mergeCell ref="B25:C25"/>
    <mergeCell ref="B26:C26"/>
    <mergeCell ref="B27:C2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3D23-3166-4FDB-91F8-FA0C87E54AEC}">
  <dimension ref="A1:Z168"/>
  <sheetViews>
    <sheetView zoomScaleNormal="100" workbookViewId="0"/>
  </sheetViews>
  <sheetFormatPr defaultColWidth="9.109375" defaultRowHeight="15.6" x14ac:dyDescent="0.3"/>
  <cols>
    <col min="1" max="1" width="11.6640625" style="4" customWidth="1"/>
    <col min="2" max="7" width="15.6640625" style="4" customWidth="1"/>
    <col min="8" max="9" width="13.6640625" style="4" customWidth="1"/>
    <col min="10" max="11" width="15.6640625" style="4" customWidth="1"/>
    <col min="12" max="13" width="13.6640625" style="4" customWidth="1"/>
    <col min="14" max="18" width="8.88671875" style="4" customWidth="1"/>
    <col min="19" max="19" width="10.5546875" style="4" customWidth="1"/>
    <col min="20" max="20" width="10.6640625" style="4" customWidth="1"/>
    <col min="21" max="22" width="8.88671875" style="4" customWidth="1"/>
    <col min="23" max="24" width="9.109375" style="4" bestFit="1" customWidth="1"/>
    <col min="25" max="26" width="11.5546875" style="4" bestFit="1" customWidth="1"/>
    <col min="27" max="16384" width="9.109375" style="4"/>
  </cols>
  <sheetData>
    <row r="1" spans="1:26" ht="15.75" customHeight="1" x14ac:dyDescent="0.35">
      <c r="A1" s="1" t="s">
        <v>45</v>
      </c>
      <c r="B1" s="2"/>
      <c r="C1" s="9" t="s">
        <v>0</v>
      </c>
      <c r="D1" s="2"/>
      <c r="E1" s="2"/>
      <c r="F1" s="2"/>
      <c r="G1" s="2"/>
      <c r="H1" s="2"/>
      <c r="I1" s="2"/>
      <c r="J1" s="2"/>
      <c r="K1" s="3"/>
      <c r="L1" s="3"/>
      <c r="M1" s="3"/>
      <c r="N1"/>
      <c r="O1"/>
      <c r="P1"/>
      <c r="Q1"/>
      <c r="R1"/>
      <c r="S1"/>
      <c r="T1"/>
      <c r="U1"/>
      <c r="V1"/>
      <c r="W1"/>
      <c r="X1"/>
      <c r="Y1"/>
      <c r="Z1"/>
    </row>
    <row r="2" spans="1:26" ht="15.75" customHeight="1" x14ac:dyDescent="0.35">
      <c r="A2" s="1"/>
      <c r="B2" s="2"/>
      <c r="C2" s="7"/>
      <c r="D2" s="7"/>
      <c r="E2" s="7"/>
      <c r="F2" s="7"/>
      <c r="G2" s="7"/>
      <c r="H2" s="46"/>
      <c r="I2" s="46"/>
      <c r="J2" s="11"/>
      <c r="K2" s="11"/>
      <c r="L2" s="11"/>
      <c r="M2" s="3"/>
      <c r="N2"/>
      <c r="O2"/>
      <c r="P2"/>
      <c r="Q2"/>
      <c r="R2"/>
      <c r="S2"/>
      <c r="T2"/>
      <c r="U2"/>
      <c r="V2"/>
      <c r="W2"/>
      <c r="X2"/>
      <c r="Y2"/>
      <c r="Z2"/>
    </row>
    <row r="3" spans="1:26" x14ac:dyDescent="0.3">
      <c r="A3" s="233" t="s">
        <v>245</v>
      </c>
      <c r="B3" s="233"/>
      <c r="C3" s="233"/>
      <c r="D3" s="233"/>
      <c r="E3" s="233"/>
      <c r="F3" s="233"/>
      <c r="G3" s="233"/>
      <c r="H3" s="233"/>
      <c r="I3" s="233"/>
      <c r="J3" s="233"/>
      <c r="K3" s="233"/>
      <c r="L3" s="233"/>
      <c r="M3" s="3"/>
      <c r="W3"/>
      <c r="X3"/>
      <c r="Y3"/>
      <c r="Z3"/>
    </row>
    <row r="4" spans="1:26" ht="15.6" customHeight="1" x14ac:dyDescent="0.3">
      <c r="A4" s="6"/>
      <c r="B4" s="6"/>
      <c r="C4" s="6"/>
      <c r="D4" s="6"/>
      <c r="E4" s="6"/>
      <c r="F4" s="6"/>
      <c r="G4" s="6"/>
      <c r="H4" s="6"/>
      <c r="I4" s="6"/>
      <c r="J4" s="6"/>
      <c r="K4" s="6"/>
      <c r="L4" s="6"/>
      <c r="M4" s="3"/>
      <c r="W4"/>
      <c r="X4"/>
      <c r="Y4"/>
      <c r="Z4"/>
    </row>
    <row r="5" spans="1:26" ht="15.6" customHeight="1" x14ac:dyDescent="0.3">
      <c r="A5" s="234" t="s">
        <v>157</v>
      </c>
      <c r="B5" s="251" t="s">
        <v>150</v>
      </c>
      <c r="C5" s="251"/>
      <c r="D5" s="251"/>
      <c r="E5" s="117" t="s">
        <v>151</v>
      </c>
      <c r="F5" s="251" t="s">
        <v>227</v>
      </c>
      <c r="G5" s="251"/>
      <c r="H5" s="6"/>
      <c r="I5" s="6"/>
      <c r="J5" s="6"/>
      <c r="K5" s="6"/>
      <c r="L5" s="6"/>
      <c r="M5" s="3"/>
      <c r="W5"/>
      <c r="X5"/>
      <c r="Y5"/>
      <c r="Z5"/>
    </row>
    <row r="6" spans="1:26" ht="31.2" customHeight="1" x14ac:dyDescent="0.3">
      <c r="A6" s="234"/>
      <c r="B6" s="55" t="s">
        <v>156</v>
      </c>
      <c r="C6" s="55" t="s">
        <v>155</v>
      </c>
      <c r="D6" s="55" t="s">
        <v>154</v>
      </c>
      <c r="E6" s="55" t="s">
        <v>154</v>
      </c>
      <c r="F6" s="55" t="s">
        <v>152</v>
      </c>
      <c r="G6" s="55" t="s">
        <v>153</v>
      </c>
      <c r="H6" s="6"/>
      <c r="I6" s="6"/>
      <c r="J6" s="6"/>
      <c r="K6" s="6"/>
      <c r="L6" s="6"/>
      <c r="M6" s="3"/>
      <c r="W6"/>
      <c r="X6"/>
      <c r="Y6"/>
      <c r="Z6"/>
    </row>
    <row r="7" spans="1:26" ht="15.6" customHeight="1" x14ac:dyDescent="0.3">
      <c r="A7" s="57">
        <v>2016</v>
      </c>
      <c r="B7" s="78">
        <v>4978</v>
      </c>
      <c r="C7" s="78">
        <v>5693</v>
      </c>
      <c r="D7" s="78">
        <v>6170</v>
      </c>
      <c r="E7" s="99">
        <v>1</v>
      </c>
      <c r="F7" s="99">
        <v>0.73</v>
      </c>
      <c r="G7" s="99">
        <v>0.90100000000000002</v>
      </c>
      <c r="H7" s="6"/>
      <c r="I7" s="6"/>
      <c r="J7" s="6"/>
      <c r="K7" s="6"/>
      <c r="L7" s="6"/>
      <c r="M7" s="3"/>
      <c r="W7"/>
      <c r="X7"/>
      <c r="Y7"/>
      <c r="Z7"/>
    </row>
    <row r="8" spans="1:26" ht="15.6" customHeight="1" x14ac:dyDescent="0.3">
      <c r="A8" s="57">
        <v>2017</v>
      </c>
      <c r="B8" s="78">
        <v>4332</v>
      </c>
      <c r="C8" s="78">
        <v>5040</v>
      </c>
      <c r="D8" s="78">
        <v>5616</v>
      </c>
      <c r="E8" s="99">
        <v>1.0049999999999999</v>
      </c>
      <c r="F8" s="99">
        <v>0.73299999999999998</v>
      </c>
      <c r="G8" s="99">
        <v>0.90300000000000002</v>
      </c>
      <c r="H8" s="6"/>
      <c r="I8" s="6"/>
      <c r="J8" s="6"/>
      <c r="K8" s="6"/>
      <c r="L8" s="6"/>
      <c r="M8" s="3"/>
      <c r="W8"/>
      <c r="X8"/>
      <c r="Y8"/>
      <c r="Z8"/>
    </row>
    <row r="9" spans="1:26" ht="15.6" customHeight="1" x14ac:dyDescent="0.3">
      <c r="A9" s="57">
        <v>2018</v>
      </c>
      <c r="B9" s="78">
        <v>5088</v>
      </c>
      <c r="C9" s="78">
        <v>5785</v>
      </c>
      <c r="D9" s="78">
        <v>6167</v>
      </c>
      <c r="E9" s="99">
        <v>1.0129999999999999</v>
      </c>
      <c r="F9" s="99">
        <v>0.73899999999999999</v>
      </c>
      <c r="G9" s="99">
        <v>0.90900000000000003</v>
      </c>
      <c r="H9" s="6"/>
      <c r="I9" s="6"/>
      <c r="J9" s="6"/>
      <c r="K9" s="6"/>
      <c r="L9" s="6"/>
      <c r="M9" s="3"/>
      <c r="W9"/>
      <c r="X9"/>
      <c r="Y9"/>
      <c r="Z9"/>
    </row>
    <row r="10" spans="1:26" ht="15.6" customHeight="1" x14ac:dyDescent="0.3">
      <c r="A10" s="57">
        <v>2019</v>
      </c>
      <c r="B10" s="78">
        <v>4334</v>
      </c>
      <c r="C10" s="78">
        <v>5192</v>
      </c>
      <c r="D10" s="78">
        <v>5699</v>
      </c>
      <c r="E10" s="99">
        <v>1.0329999999999999</v>
      </c>
      <c r="F10" s="99">
        <v>0.747</v>
      </c>
      <c r="G10" s="99">
        <v>0.91300000000000003</v>
      </c>
      <c r="H10" s="6"/>
      <c r="I10" s="6"/>
      <c r="J10" s="6"/>
      <c r="K10" s="6"/>
      <c r="L10" s="6"/>
      <c r="M10" s="3"/>
      <c r="W10"/>
      <c r="X10"/>
      <c r="Y10"/>
      <c r="Z10"/>
    </row>
    <row r="11" spans="1:26" ht="15.6" customHeight="1" x14ac:dyDescent="0.3">
      <c r="A11" s="57">
        <v>2020</v>
      </c>
      <c r="B11" s="78">
        <v>3704</v>
      </c>
      <c r="C11" s="78">
        <v>4298</v>
      </c>
      <c r="D11" s="78">
        <v>5029</v>
      </c>
      <c r="E11" s="99">
        <v>1.085</v>
      </c>
      <c r="F11" s="99">
        <v>0.751</v>
      </c>
      <c r="G11" s="99">
        <v>0.91700000000000004</v>
      </c>
      <c r="H11" s="6"/>
      <c r="I11" s="6"/>
      <c r="J11" s="6"/>
      <c r="K11" s="6"/>
      <c r="L11" s="6"/>
      <c r="M11" s="3"/>
      <c r="W11"/>
      <c r="X11"/>
      <c r="Y11"/>
      <c r="Z11"/>
    </row>
    <row r="12" spans="1:26" ht="15.6" customHeight="1" x14ac:dyDescent="0.3">
      <c r="A12" s="57">
        <v>2021</v>
      </c>
      <c r="B12" s="78">
        <v>4222</v>
      </c>
      <c r="C12" s="78">
        <v>4640</v>
      </c>
      <c r="D12" s="78">
        <v>4721</v>
      </c>
      <c r="E12" s="99">
        <v>1.248</v>
      </c>
      <c r="F12" s="99">
        <v>0.76200000000000001</v>
      </c>
      <c r="G12" s="99">
        <v>0.95099999999999996</v>
      </c>
      <c r="H12" s="6"/>
      <c r="I12" s="6"/>
      <c r="J12" s="6"/>
      <c r="K12" s="6"/>
      <c r="L12" s="6"/>
      <c r="M12" s="3"/>
      <c r="W12"/>
      <c r="X12"/>
      <c r="Y12"/>
      <c r="Z12"/>
    </row>
    <row r="13" spans="1:26" ht="15.6" customHeight="1" x14ac:dyDescent="0.3">
      <c r="A13" s="57">
        <v>2022</v>
      </c>
      <c r="B13" s="78">
        <v>3721</v>
      </c>
      <c r="C13" s="78">
        <v>3978</v>
      </c>
      <c r="D13" s="78">
        <v>3999</v>
      </c>
      <c r="E13" s="99">
        <v>1.7470000000000001</v>
      </c>
      <c r="F13" s="99">
        <v>0.78</v>
      </c>
      <c r="G13" s="99">
        <v>0.97499999999999998</v>
      </c>
      <c r="H13" s="6"/>
      <c r="I13" s="6"/>
      <c r="J13" s="6"/>
      <c r="K13" s="6"/>
      <c r="L13" s="6"/>
      <c r="M13" s="3"/>
      <c r="W13"/>
      <c r="X13"/>
      <c r="Y13"/>
      <c r="Z13"/>
    </row>
    <row r="14" spans="1:26" ht="15.6" customHeight="1" x14ac:dyDescent="0.3">
      <c r="A14" s="6"/>
      <c r="B14" s="6"/>
      <c r="C14" s="6"/>
      <c r="D14" s="6"/>
      <c r="E14" s="6"/>
      <c r="F14" s="6"/>
      <c r="G14" s="6"/>
      <c r="H14" s="6"/>
      <c r="I14" s="6"/>
      <c r="J14" s="6"/>
      <c r="K14" s="6"/>
      <c r="L14" s="6"/>
      <c r="M14" s="3"/>
      <c r="W14"/>
      <c r="X14"/>
      <c r="Y14"/>
      <c r="Z14"/>
    </row>
    <row r="15" spans="1:26" ht="15.6" customHeight="1" x14ac:dyDescent="0.3">
      <c r="A15" s="233" t="s">
        <v>158</v>
      </c>
      <c r="B15" s="233"/>
      <c r="C15" s="233"/>
      <c r="D15" s="233"/>
      <c r="E15" s="233"/>
      <c r="F15" s="233"/>
      <c r="G15" s="233"/>
      <c r="H15" s="233"/>
      <c r="I15" s="233"/>
      <c r="J15" s="233"/>
      <c r="K15" s="233"/>
      <c r="L15" s="233"/>
      <c r="M15" s="233"/>
      <c r="W15"/>
      <c r="X15"/>
      <c r="Y15"/>
      <c r="Z15"/>
    </row>
    <row r="16" spans="1:26" x14ac:dyDescent="0.3">
      <c r="A16" s="7"/>
      <c r="B16" s="53"/>
      <c r="C16" s="8"/>
      <c r="D16" s="8"/>
      <c r="E16" s="8"/>
      <c r="F16" s="8"/>
      <c r="G16" s="8"/>
      <c r="H16" s="8"/>
      <c r="I16" s="8"/>
      <c r="J16" s="8"/>
      <c r="K16" s="8"/>
      <c r="L16" s="8"/>
      <c r="M16" s="3"/>
      <c r="N16"/>
      <c r="O16"/>
      <c r="P16"/>
      <c r="Q16"/>
      <c r="R16"/>
      <c r="S16"/>
      <c r="T16"/>
      <c r="U16"/>
      <c r="V16"/>
      <c r="W16"/>
      <c r="X16"/>
      <c r="Y16"/>
      <c r="Z16"/>
    </row>
    <row r="17" spans="1:26" x14ac:dyDescent="0.3">
      <c r="A17" s="7" t="s">
        <v>3</v>
      </c>
      <c r="B17" s="7" t="s">
        <v>159</v>
      </c>
      <c r="C17" s="7"/>
      <c r="D17" s="7"/>
      <c r="E17" s="7"/>
      <c r="F17" s="7"/>
      <c r="G17" s="7"/>
      <c r="H17" s="7"/>
      <c r="I17" s="8"/>
      <c r="J17" s="8"/>
      <c r="K17" s="8"/>
      <c r="L17" s="8"/>
      <c r="M17" s="3"/>
      <c r="N17"/>
      <c r="O17"/>
      <c r="P17"/>
      <c r="Q17"/>
      <c r="R17"/>
      <c r="S17"/>
      <c r="T17"/>
      <c r="U17"/>
      <c r="V17"/>
      <c r="W17"/>
      <c r="X17"/>
      <c r="Y17"/>
      <c r="Z17"/>
    </row>
    <row r="18" spans="1:26" ht="16.2" x14ac:dyDescent="0.35">
      <c r="A18" s="7"/>
      <c r="B18" s="9" t="s">
        <v>1</v>
      </c>
      <c r="C18" s="47"/>
      <c r="D18" s="47"/>
      <c r="E18" s="47"/>
      <c r="F18" s="47"/>
      <c r="G18" s="47"/>
      <c r="H18" s="47"/>
      <c r="I18" s="47"/>
      <c r="J18" s="47"/>
      <c r="K18" s="47"/>
      <c r="L18" s="47"/>
      <c r="M18" s="3"/>
      <c r="N18"/>
      <c r="O18"/>
      <c r="P18"/>
      <c r="Q18"/>
      <c r="R18"/>
      <c r="S18"/>
      <c r="T18"/>
      <c r="U18"/>
      <c r="V18"/>
      <c r="W18"/>
      <c r="X18"/>
      <c r="Y18"/>
      <c r="Z18"/>
    </row>
    <row r="19" spans="1:26" x14ac:dyDescent="0.3">
      <c r="N19"/>
      <c r="O19"/>
      <c r="P19"/>
      <c r="Q19"/>
      <c r="R19"/>
      <c r="S19"/>
      <c r="T19"/>
      <c r="U19"/>
      <c r="V19"/>
      <c r="W19"/>
      <c r="X19"/>
      <c r="Y19"/>
      <c r="Z19"/>
    </row>
    <row r="20" spans="1:26" x14ac:dyDescent="0.3">
      <c r="A20" s="279" t="s">
        <v>59</v>
      </c>
      <c r="B20" s="280" t="s">
        <v>151</v>
      </c>
      <c r="C20" s="281"/>
      <c r="D20" s="282" t="s">
        <v>371</v>
      </c>
      <c r="E20" s="282"/>
      <c r="F20" s="282"/>
      <c r="G20" s="137" t="s">
        <v>372</v>
      </c>
      <c r="N20"/>
      <c r="O20"/>
      <c r="P20"/>
      <c r="Q20"/>
      <c r="R20"/>
      <c r="S20"/>
      <c r="T20"/>
      <c r="U20"/>
      <c r="V20"/>
      <c r="W20"/>
      <c r="X20"/>
      <c r="Y20"/>
      <c r="Z20"/>
    </row>
    <row r="21" spans="1:26" ht="31.2" x14ac:dyDescent="0.3">
      <c r="A21" s="279"/>
      <c r="B21" s="190" t="s">
        <v>156</v>
      </c>
      <c r="C21" s="190" t="s">
        <v>155</v>
      </c>
      <c r="D21" s="190" t="s">
        <v>156</v>
      </c>
      <c r="E21" s="190" t="s">
        <v>155</v>
      </c>
      <c r="F21" s="190" t="s">
        <v>370</v>
      </c>
      <c r="G21" s="190" t="s">
        <v>370</v>
      </c>
      <c r="N21"/>
      <c r="O21"/>
      <c r="P21"/>
      <c r="Q21"/>
      <c r="R21"/>
      <c r="S21"/>
      <c r="T21"/>
      <c r="U21"/>
      <c r="V21"/>
      <c r="W21"/>
      <c r="X21"/>
      <c r="Y21"/>
      <c r="Z21"/>
    </row>
    <row r="22" spans="1:26" x14ac:dyDescent="0.3">
      <c r="A22" s="189">
        <v>2016</v>
      </c>
      <c r="B22" s="191">
        <f t="shared" ref="B22:B27" si="0">$E7*F$7/F7</f>
        <v>1</v>
      </c>
      <c r="C22" s="191">
        <f t="shared" ref="C22:C27" si="1">$E7*G$7/G7</f>
        <v>1</v>
      </c>
      <c r="D22" s="192">
        <f t="shared" ref="D22:E27" si="2">B7*B22</f>
        <v>4978</v>
      </c>
      <c r="E22" s="192">
        <f t="shared" si="2"/>
        <v>5693</v>
      </c>
      <c r="F22" s="192">
        <f t="shared" ref="F22:F27" si="3">E22-D22</f>
        <v>715</v>
      </c>
      <c r="G22" s="192">
        <f>F22-(C7-B7)</f>
        <v>0</v>
      </c>
      <c r="N22"/>
      <c r="O22"/>
      <c r="P22"/>
      <c r="Q22"/>
      <c r="R22"/>
      <c r="S22"/>
      <c r="T22"/>
      <c r="U22"/>
      <c r="V22"/>
      <c r="W22"/>
      <c r="X22"/>
      <c r="Y22"/>
      <c r="Z22"/>
    </row>
    <row r="23" spans="1:26" x14ac:dyDescent="0.3">
      <c r="A23" s="189">
        <v>2017</v>
      </c>
      <c r="B23" s="191">
        <f t="shared" si="0"/>
        <v>1.0008867667121417</v>
      </c>
      <c r="C23" s="191">
        <f t="shared" si="1"/>
        <v>1.0027740863787373</v>
      </c>
      <c r="D23" s="192">
        <f t="shared" si="2"/>
        <v>4335.8414733969976</v>
      </c>
      <c r="E23" s="192">
        <f t="shared" si="2"/>
        <v>5053.9813953488365</v>
      </c>
      <c r="F23" s="192">
        <f t="shared" si="3"/>
        <v>718.13992195183891</v>
      </c>
      <c r="G23" s="192">
        <f t="shared" ref="G23:G28" si="4">F23-(C8-B8)</f>
        <v>10.139921951838915</v>
      </c>
      <c r="N23"/>
      <c r="O23"/>
      <c r="P23"/>
      <c r="Q23"/>
      <c r="R23"/>
      <c r="S23"/>
      <c r="T23"/>
      <c r="U23"/>
      <c r="V23"/>
      <c r="W23"/>
      <c r="X23"/>
      <c r="Y23"/>
      <c r="Z23"/>
    </row>
    <row r="24" spans="1:26" x14ac:dyDescent="0.3">
      <c r="A24" s="189">
        <v>2018</v>
      </c>
      <c r="B24" s="191">
        <f t="shared" si="0"/>
        <v>1.0006630581867386</v>
      </c>
      <c r="C24" s="191">
        <f t="shared" si="1"/>
        <v>1.0040847084708469</v>
      </c>
      <c r="D24" s="192">
        <f t="shared" si="2"/>
        <v>5091.3736400541256</v>
      </c>
      <c r="E24" s="192">
        <f t="shared" si="2"/>
        <v>5808.6300385038494</v>
      </c>
      <c r="F24" s="192">
        <f t="shared" si="3"/>
        <v>717.25639844972375</v>
      </c>
      <c r="G24" s="192">
        <f t="shared" si="4"/>
        <v>20.256398449723747</v>
      </c>
      <c r="N24"/>
      <c r="O24"/>
      <c r="P24"/>
      <c r="Q24"/>
      <c r="R24"/>
      <c r="S24"/>
      <c r="T24"/>
      <c r="U24"/>
      <c r="V24"/>
      <c r="W24"/>
      <c r="X24"/>
      <c r="Y24"/>
      <c r="Z24"/>
    </row>
    <row r="25" spans="1:26" x14ac:dyDescent="0.3">
      <c r="A25" s="189">
        <v>2019</v>
      </c>
      <c r="B25" s="191">
        <f t="shared" si="0"/>
        <v>1.0094912985274429</v>
      </c>
      <c r="C25" s="191">
        <f t="shared" si="1"/>
        <v>1.0194227820372397</v>
      </c>
      <c r="D25" s="192">
        <f t="shared" si="2"/>
        <v>4375.1352878179378</v>
      </c>
      <c r="E25" s="192">
        <f t="shared" si="2"/>
        <v>5292.843084337348</v>
      </c>
      <c r="F25" s="192">
        <f t="shared" si="3"/>
        <v>917.70779651941029</v>
      </c>
      <c r="G25" s="192">
        <f t="shared" si="4"/>
        <v>59.707796519410294</v>
      </c>
      <c r="N25"/>
      <c r="O25"/>
      <c r="P25"/>
      <c r="Q25"/>
      <c r="R25"/>
      <c r="S25"/>
      <c r="T25"/>
      <c r="U25"/>
      <c r="V25"/>
      <c r="W25"/>
      <c r="X25"/>
      <c r="Y25"/>
      <c r="Z25"/>
    </row>
    <row r="26" spans="1:26" x14ac:dyDescent="0.3">
      <c r="A26" s="189">
        <v>2020</v>
      </c>
      <c r="B26" s="191">
        <f t="shared" si="0"/>
        <v>1.0546604527296937</v>
      </c>
      <c r="C26" s="191">
        <f t="shared" si="1"/>
        <v>1.0660687022900763</v>
      </c>
      <c r="D26" s="192">
        <f t="shared" si="2"/>
        <v>3906.4623169107854</v>
      </c>
      <c r="E26" s="192">
        <f t="shared" si="2"/>
        <v>4581.9632824427481</v>
      </c>
      <c r="F26" s="192">
        <f t="shared" si="3"/>
        <v>675.50096553196272</v>
      </c>
      <c r="G26" s="192">
        <f t="shared" si="4"/>
        <v>81.50096553196272</v>
      </c>
      <c r="N26"/>
      <c r="O26"/>
      <c r="P26"/>
      <c r="Q26"/>
      <c r="R26"/>
      <c r="S26"/>
      <c r="T26"/>
      <c r="U26"/>
      <c r="V26"/>
      <c r="W26"/>
      <c r="X26"/>
      <c r="Y26"/>
      <c r="Z26"/>
    </row>
    <row r="27" spans="1:26" x14ac:dyDescent="0.3">
      <c r="A27" s="189">
        <v>2021</v>
      </c>
      <c r="B27" s="191">
        <f t="shared" si="0"/>
        <v>1.1955905511811022</v>
      </c>
      <c r="C27" s="191">
        <f t="shared" si="1"/>
        <v>1.1823848580441643</v>
      </c>
      <c r="D27" s="192">
        <f t="shared" si="2"/>
        <v>5047.7833070866136</v>
      </c>
      <c r="E27" s="192">
        <f t="shared" si="2"/>
        <v>5486.2657413249226</v>
      </c>
      <c r="F27" s="192">
        <f t="shared" si="3"/>
        <v>438.482434238309</v>
      </c>
      <c r="G27" s="192">
        <f t="shared" si="4"/>
        <v>20.482434238308997</v>
      </c>
      <c r="N27"/>
      <c r="O27"/>
      <c r="P27"/>
      <c r="Q27"/>
      <c r="R27"/>
      <c r="S27"/>
      <c r="T27"/>
      <c r="U27"/>
      <c r="V27"/>
      <c r="W27"/>
      <c r="X27"/>
      <c r="Y27"/>
      <c r="Z27"/>
    </row>
    <row r="28" spans="1:26" x14ac:dyDescent="0.3">
      <c r="A28" s="189">
        <v>2022</v>
      </c>
      <c r="B28" s="191">
        <f>$E13*F$7/F13</f>
        <v>1.6350128205128205</v>
      </c>
      <c r="C28" s="191">
        <f>$E13*G$7/G13</f>
        <v>1.6144071794871797</v>
      </c>
      <c r="D28" s="192">
        <f>B13*B28</f>
        <v>6083.8827051282051</v>
      </c>
      <c r="E28" s="192">
        <f>C13*C28</f>
        <v>6422.1117600000007</v>
      </c>
      <c r="F28" s="192">
        <f>E28-D28</f>
        <v>338.2290548717956</v>
      </c>
      <c r="G28" s="192">
        <f t="shared" si="4"/>
        <v>81.229054871795597</v>
      </c>
      <c r="N28"/>
      <c r="O28"/>
      <c r="P28"/>
      <c r="Q28"/>
      <c r="R28"/>
      <c r="S28"/>
      <c r="T28"/>
      <c r="U28"/>
      <c r="V28"/>
      <c r="W28"/>
      <c r="X28"/>
      <c r="Y28"/>
      <c r="Z28"/>
    </row>
    <row r="29" spans="1:26" x14ac:dyDescent="0.3">
      <c r="F29" s="186" t="s">
        <v>276</v>
      </c>
      <c r="G29" s="193">
        <f>SUM(G22:G28)</f>
        <v>273.31657156304027</v>
      </c>
      <c r="N29"/>
      <c r="O29"/>
      <c r="P29"/>
      <c r="Q29"/>
      <c r="R29"/>
      <c r="S29"/>
      <c r="T29"/>
      <c r="U29"/>
      <c r="V29"/>
      <c r="W29"/>
      <c r="X29"/>
      <c r="Y29"/>
      <c r="Z29"/>
    </row>
    <row r="30" spans="1:26" x14ac:dyDescent="0.3">
      <c r="N30"/>
      <c r="O30"/>
      <c r="P30"/>
      <c r="Q30"/>
      <c r="R30"/>
      <c r="S30"/>
      <c r="T30"/>
      <c r="U30"/>
      <c r="V30"/>
      <c r="W30"/>
      <c r="X30"/>
      <c r="Y30"/>
      <c r="Z30"/>
    </row>
    <row r="31" spans="1:26" x14ac:dyDescent="0.3">
      <c r="A31" s="7" t="s">
        <v>2</v>
      </c>
      <c r="B31" s="7" t="s">
        <v>160</v>
      </c>
      <c r="C31" s="7"/>
      <c r="D31" s="7"/>
      <c r="E31" s="7"/>
      <c r="F31" s="7"/>
      <c r="G31" s="7"/>
      <c r="H31" s="7"/>
      <c r="I31" s="8"/>
      <c r="J31" s="8"/>
      <c r="K31" s="8"/>
      <c r="L31" s="8"/>
      <c r="M31" s="3"/>
      <c r="N31"/>
      <c r="O31"/>
      <c r="P31"/>
      <c r="Q31"/>
      <c r="R31"/>
      <c r="S31"/>
      <c r="T31"/>
      <c r="U31"/>
      <c r="V31"/>
      <c r="W31"/>
      <c r="X31"/>
      <c r="Y31"/>
      <c r="Z31"/>
    </row>
    <row r="32" spans="1:26" ht="16.2" x14ac:dyDescent="0.35">
      <c r="A32" s="7"/>
      <c r="B32" s="9" t="s">
        <v>1</v>
      </c>
      <c r="C32" s="47"/>
      <c r="D32" s="47"/>
      <c r="E32" s="47"/>
      <c r="F32" s="47"/>
      <c r="G32" s="47"/>
      <c r="H32" s="47"/>
      <c r="I32" s="47"/>
      <c r="J32" s="47"/>
      <c r="K32" s="47"/>
      <c r="L32" s="47"/>
      <c r="M32" s="3"/>
      <c r="N32"/>
      <c r="O32"/>
      <c r="P32"/>
      <c r="Q32"/>
      <c r="R32"/>
      <c r="S32"/>
      <c r="T32"/>
      <c r="U32"/>
      <c r="V32"/>
      <c r="W32"/>
      <c r="X32"/>
      <c r="Y32"/>
      <c r="Z32"/>
    </row>
    <row r="33" spans="1:26" x14ac:dyDescent="0.3">
      <c r="B33" s="229" t="s">
        <v>435</v>
      </c>
      <c r="C33" s="229"/>
      <c r="D33" s="229"/>
      <c r="E33" s="229"/>
      <c r="F33" s="229"/>
      <c r="G33" s="229"/>
      <c r="H33" s="229"/>
      <c r="I33" s="229"/>
      <c r="J33" s="229"/>
      <c r="K33" s="229"/>
      <c r="L33" s="229"/>
      <c r="M33" s="229"/>
      <c r="N33"/>
      <c r="O33"/>
      <c r="P33"/>
      <c r="Q33"/>
      <c r="R33"/>
      <c r="S33"/>
      <c r="T33"/>
      <c r="U33"/>
      <c r="V33"/>
      <c r="W33"/>
      <c r="X33"/>
      <c r="Y33"/>
      <c r="Z33"/>
    </row>
    <row r="34" spans="1:26" x14ac:dyDescent="0.3">
      <c r="B34" s="229"/>
      <c r="C34" s="229"/>
      <c r="D34" s="229"/>
      <c r="E34" s="229"/>
      <c r="F34" s="229"/>
      <c r="G34" s="229"/>
      <c r="H34" s="229"/>
      <c r="I34" s="229"/>
      <c r="J34" s="229"/>
      <c r="K34" s="229"/>
      <c r="L34" s="229"/>
      <c r="M34" s="229"/>
      <c r="N34"/>
      <c r="O34"/>
      <c r="P34"/>
      <c r="Q34"/>
      <c r="R34"/>
      <c r="S34"/>
      <c r="T34"/>
      <c r="U34"/>
      <c r="V34"/>
      <c r="W34"/>
      <c r="X34"/>
      <c r="Y34"/>
      <c r="Z34"/>
    </row>
    <row r="35" spans="1:26" x14ac:dyDescent="0.3">
      <c r="B35" s="229"/>
      <c r="C35" s="229"/>
      <c r="D35" s="229"/>
      <c r="E35" s="229"/>
      <c r="F35" s="229"/>
      <c r="G35" s="229"/>
      <c r="H35" s="229"/>
      <c r="I35" s="229"/>
      <c r="J35" s="229"/>
      <c r="K35" s="229"/>
      <c r="L35" s="229"/>
      <c r="M35" s="229"/>
      <c r="N35"/>
      <c r="O35"/>
      <c r="P35"/>
      <c r="Q35"/>
      <c r="R35"/>
      <c r="S35"/>
      <c r="T35"/>
      <c r="U35"/>
      <c r="V35"/>
      <c r="W35"/>
      <c r="X35"/>
      <c r="Y35"/>
      <c r="Z35"/>
    </row>
    <row r="36" spans="1:26" x14ac:dyDescent="0.3">
      <c r="A36" s="7" t="s">
        <v>228</v>
      </c>
      <c r="B36" s="53"/>
      <c r="C36" s="8"/>
      <c r="D36" s="8"/>
      <c r="E36" s="8"/>
      <c r="F36" s="8"/>
      <c r="G36" s="8"/>
      <c r="H36" s="8"/>
      <c r="I36" s="8"/>
      <c r="J36" s="8"/>
      <c r="K36" s="8"/>
      <c r="L36" s="8"/>
      <c r="M36" s="3"/>
      <c r="N36"/>
      <c r="O36"/>
      <c r="P36"/>
      <c r="Q36"/>
      <c r="R36"/>
      <c r="S36"/>
      <c r="T36"/>
      <c r="U36"/>
      <c r="V36"/>
      <c r="W36"/>
      <c r="X36"/>
      <c r="Y36"/>
      <c r="Z36"/>
    </row>
    <row r="37" spans="1:26" x14ac:dyDescent="0.3">
      <c r="A37" s="7"/>
      <c r="B37" s="53"/>
      <c r="C37" s="8"/>
      <c r="D37" s="8"/>
      <c r="E37" s="8"/>
      <c r="F37" s="8"/>
      <c r="G37" s="8"/>
      <c r="H37" s="8"/>
      <c r="I37" s="8"/>
      <c r="J37" s="8"/>
      <c r="K37" s="8"/>
      <c r="L37" s="8"/>
      <c r="M37" s="3"/>
      <c r="N37"/>
      <c r="O37"/>
      <c r="P37"/>
      <c r="Q37"/>
      <c r="R37"/>
      <c r="S37"/>
      <c r="T37"/>
      <c r="U37"/>
      <c r="V37"/>
      <c r="W37"/>
      <c r="X37"/>
      <c r="Y37"/>
      <c r="Z37"/>
    </row>
    <row r="38" spans="1:26" x14ac:dyDescent="0.3">
      <c r="A38" s="13" t="s">
        <v>161</v>
      </c>
      <c r="B38" s="53"/>
      <c r="C38" s="8"/>
      <c r="D38" s="8"/>
      <c r="E38" s="8"/>
      <c r="F38" s="8"/>
      <c r="G38" s="8"/>
      <c r="H38" s="8"/>
      <c r="I38" s="8"/>
      <c r="J38" s="82" t="s">
        <v>165</v>
      </c>
      <c r="K38" s="98"/>
      <c r="L38" s="98">
        <v>5019000</v>
      </c>
      <c r="M38" s="3"/>
      <c r="N38"/>
      <c r="O38"/>
      <c r="P38"/>
      <c r="Q38"/>
      <c r="R38"/>
      <c r="S38"/>
      <c r="T38"/>
      <c r="U38"/>
      <c r="V38"/>
      <c r="W38"/>
      <c r="X38"/>
      <c r="Y38"/>
      <c r="Z38"/>
    </row>
    <row r="39" spans="1:26" x14ac:dyDescent="0.3">
      <c r="A39" s="13" t="s">
        <v>162</v>
      </c>
      <c r="B39" s="53"/>
      <c r="C39" s="8"/>
      <c r="D39" s="8"/>
      <c r="E39" s="8"/>
      <c r="F39" s="8"/>
      <c r="G39" s="8"/>
      <c r="H39" s="8"/>
      <c r="I39" s="8"/>
      <c r="J39" s="82" t="s">
        <v>166</v>
      </c>
      <c r="K39" s="98"/>
      <c r="L39" s="100">
        <v>1.19</v>
      </c>
      <c r="M39" s="3"/>
      <c r="N39"/>
      <c r="O39"/>
      <c r="P39"/>
      <c r="Q39"/>
      <c r="R39"/>
      <c r="S39"/>
      <c r="T39"/>
      <c r="U39"/>
      <c r="V39"/>
      <c r="W39"/>
      <c r="X39"/>
      <c r="Y39"/>
      <c r="Z39"/>
    </row>
    <row r="40" spans="1:26" x14ac:dyDescent="0.3">
      <c r="A40" s="13" t="s">
        <v>163</v>
      </c>
      <c r="B40" s="53"/>
      <c r="C40" s="8"/>
      <c r="D40" s="8"/>
      <c r="E40" s="8"/>
      <c r="F40" s="8"/>
      <c r="G40" s="8"/>
      <c r="H40" s="8"/>
      <c r="I40" s="8"/>
      <c r="J40" s="82" t="s">
        <v>167</v>
      </c>
      <c r="K40" s="98"/>
      <c r="L40" s="101">
        <v>2.1999999999999999E-2</v>
      </c>
      <c r="M40" s="3"/>
      <c r="N40"/>
      <c r="O40"/>
      <c r="P40"/>
      <c r="Q40"/>
      <c r="R40"/>
      <c r="S40"/>
      <c r="T40"/>
      <c r="U40"/>
      <c r="V40"/>
      <c r="W40"/>
      <c r="X40"/>
      <c r="Y40"/>
      <c r="Z40"/>
    </row>
    <row r="41" spans="1:26" x14ac:dyDescent="0.3">
      <c r="A41" s="13" t="s">
        <v>164</v>
      </c>
      <c r="B41" s="53"/>
      <c r="C41" s="8"/>
      <c r="D41" s="8"/>
      <c r="E41" s="8"/>
      <c r="F41" s="8"/>
      <c r="G41" s="8"/>
      <c r="H41" s="8"/>
      <c r="I41" s="8"/>
      <c r="J41" s="82" t="s">
        <v>168</v>
      </c>
      <c r="K41" s="98"/>
      <c r="L41" s="101">
        <v>0.01</v>
      </c>
      <c r="M41" s="3"/>
      <c r="N41"/>
      <c r="O41"/>
      <c r="P41"/>
      <c r="Q41"/>
      <c r="R41"/>
      <c r="S41"/>
      <c r="T41"/>
      <c r="U41"/>
      <c r="V41"/>
      <c r="W41"/>
      <c r="X41"/>
      <c r="Y41"/>
      <c r="Z41"/>
    </row>
    <row r="42" spans="1:26" x14ac:dyDescent="0.3">
      <c r="A42" s="7"/>
      <c r="B42" s="53"/>
      <c r="C42" s="8"/>
      <c r="D42" s="8"/>
      <c r="E42" s="8"/>
      <c r="F42" s="8"/>
      <c r="G42" s="8"/>
      <c r="H42" s="8"/>
      <c r="I42" s="8"/>
      <c r="J42" s="8"/>
      <c r="K42" s="8"/>
      <c r="L42" s="8"/>
      <c r="M42" s="3"/>
      <c r="N42"/>
      <c r="O42"/>
      <c r="P42"/>
      <c r="Q42"/>
      <c r="R42"/>
      <c r="S42"/>
      <c r="T42"/>
      <c r="U42"/>
      <c r="V42"/>
      <c r="W42"/>
      <c r="X42"/>
      <c r="Y42"/>
      <c r="Z42"/>
    </row>
    <row r="43" spans="1:26" x14ac:dyDescent="0.3">
      <c r="A43" s="7" t="s">
        <v>4</v>
      </c>
      <c r="B43" s="7" t="s">
        <v>169</v>
      </c>
      <c r="C43" s="7"/>
      <c r="D43" s="7"/>
      <c r="E43" s="7"/>
      <c r="F43" s="7"/>
      <c r="G43" s="7"/>
      <c r="H43" s="7"/>
      <c r="I43" s="8"/>
      <c r="J43" s="8"/>
      <c r="K43" s="8"/>
      <c r="L43" s="8"/>
      <c r="M43" s="3"/>
      <c r="N43"/>
      <c r="O43"/>
      <c r="P43"/>
      <c r="Q43"/>
      <c r="R43"/>
      <c r="S43"/>
      <c r="T43"/>
      <c r="U43"/>
      <c r="V43"/>
      <c r="W43"/>
      <c r="X43"/>
      <c r="Y43"/>
      <c r="Z43"/>
    </row>
    <row r="44" spans="1:26" ht="16.2" x14ac:dyDescent="0.35">
      <c r="A44" s="7"/>
      <c r="B44" s="9" t="s">
        <v>1</v>
      </c>
      <c r="C44" s="47"/>
      <c r="D44" s="47"/>
      <c r="E44" s="47"/>
      <c r="F44" s="47"/>
      <c r="G44" s="47"/>
      <c r="H44" s="47"/>
      <c r="I44" s="47"/>
      <c r="J44" s="47"/>
      <c r="K44" s="47"/>
      <c r="L44" s="47"/>
      <c r="M44" s="3"/>
      <c r="N44"/>
      <c r="O44"/>
      <c r="P44"/>
      <c r="Q44"/>
      <c r="R44"/>
      <c r="S44"/>
      <c r="T44"/>
      <c r="U44"/>
      <c r="V44"/>
      <c r="W44"/>
      <c r="X44"/>
      <c r="Y44"/>
      <c r="Z44"/>
    </row>
    <row r="45" spans="1:26" x14ac:dyDescent="0.3">
      <c r="E45" s="126" t="s">
        <v>376</v>
      </c>
      <c r="N45"/>
      <c r="O45"/>
      <c r="P45"/>
      <c r="Q45"/>
      <c r="R45"/>
      <c r="S45"/>
      <c r="T45"/>
      <c r="U45"/>
      <c r="V45"/>
      <c r="W45"/>
      <c r="X45"/>
      <c r="Y45"/>
      <c r="Z45"/>
    </row>
    <row r="46" spans="1:26" x14ac:dyDescent="0.3">
      <c r="B46" s="4" t="s">
        <v>375</v>
      </c>
      <c r="E46" s="224">
        <f>(1+L40)/(1+L41)</f>
        <v>1.0118811881188119</v>
      </c>
      <c r="H46" s="126" t="s">
        <v>379</v>
      </c>
      <c r="I46" s="126" t="s">
        <v>12</v>
      </c>
      <c r="L46" s="220"/>
      <c r="N46"/>
      <c r="O46"/>
      <c r="P46"/>
      <c r="Q46"/>
      <c r="R46"/>
      <c r="S46"/>
      <c r="T46"/>
      <c r="U46"/>
      <c r="V46"/>
      <c r="W46"/>
      <c r="X46"/>
      <c r="Y46"/>
      <c r="Z46"/>
    </row>
    <row r="47" spans="1:26" x14ac:dyDescent="0.3">
      <c r="B47" s="4" t="s">
        <v>430</v>
      </c>
      <c r="E47" s="225">
        <f>L39*E46^J47</f>
        <v>1.2256621265523653</v>
      </c>
      <c r="G47" s="4" t="s">
        <v>378</v>
      </c>
      <c r="H47" s="196">
        <v>43831</v>
      </c>
      <c r="I47" s="196">
        <v>44743</v>
      </c>
      <c r="J47" s="159">
        <f>ROUND((I47-H47)/365,1)</f>
        <v>2.5</v>
      </c>
      <c r="K47" s="4" t="s">
        <v>380</v>
      </c>
      <c r="L47" s="221"/>
      <c r="N47"/>
      <c r="O47"/>
      <c r="P47"/>
      <c r="Q47"/>
      <c r="R47"/>
      <c r="S47"/>
      <c r="T47"/>
      <c r="U47"/>
      <c r="V47"/>
      <c r="W47"/>
      <c r="X47"/>
      <c r="Y47"/>
      <c r="Z47"/>
    </row>
    <row r="48" spans="1:26" x14ac:dyDescent="0.3">
      <c r="B48" s="4" t="s">
        <v>373</v>
      </c>
      <c r="E48" s="125">
        <f>L38*E47/1000</f>
        <v>6151.5982131663213</v>
      </c>
      <c r="M48"/>
      <c r="N48"/>
      <c r="O48"/>
      <c r="P48"/>
      <c r="Q48"/>
      <c r="R48"/>
      <c r="S48"/>
      <c r="T48"/>
      <c r="U48"/>
      <c r="V48"/>
      <c r="W48"/>
      <c r="X48"/>
      <c r="Y48"/>
      <c r="Z48"/>
    </row>
    <row r="49" spans="2:26" x14ac:dyDescent="0.3">
      <c r="B49" s="4" t="s">
        <v>374</v>
      </c>
      <c r="E49" s="125">
        <f>E48-L38/1000</f>
        <v>1132.5982131663213</v>
      </c>
      <c r="M49"/>
      <c r="N49"/>
      <c r="O49"/>
      <c r="P49"/>
      <c r="Q49"/>
      <c r="R49"/>
      <c r="S49"/>
      <c r="T49"/>
      <c r="U49"/>
      <c r="V49"/>
      <c r="W49"/>
      <c r="X49"/>
      <c r="Y49"/>
      <c r="Z49"/>
    </row>
    <row r="50" spans="2:26" x14ac:dyDescent="0.3">
      <c r="B50" s="141" t="s">
        <v>377</v>
      </c>
      <c r="C50" s="141"/>
      <c r="D50" s="141"/>
      <c r="E50" s="194">
        <f>E49-(C13-B13)</f>
        <v>875.59821316632133</v>
      </c>
      <c r="M50"/>
      <c r="N50"/>
      <c r="O50"/>
      <c r="P50"/>
      <c r="Q50"/>
      <c r="R50"/>
      <c r="S50"/>
      <c r="T50"/>
      <c r="U50"/>
      <c r="V50"/>
      <c r="W50"/>
      <c r="X50"/>
      <c r="Y50"/>
      <c r="Z50"/>
    </row>
    <row r="51" spans="2:26" x14ac:dyDescent="0.3">
      <c r="M51"/>
      <c r="N51"/>
      <c r="O51"/>
      <c r="P51"/>
      <c r="Q51"/>
      <c r="R51"/>
      <c r="S51"/>
      <c r="T51"/>
      <c r="U51"/>
      <c r="V51"/>
      <c r="W51"/>
      <c r="X51"/>
      <c r="Y51"/>
      <c r="Z51"/>
    </row>
    <row r="52" spans="2:26" x14ac:dyDescent="0.3">
      <c r="M52"/>
      <c r="N52"/>
      <c r="O52"/>
      <c r="P52"/>
      <c r="Q52"/>
      <c r="R52"/>
      <c r="S52"/>
      <c r="T52"/>
      <c r="U52"/>
      <c r="V52"/>
      <c r="W52"/>
      <c r="X52"/>
      <c r="Y52"/>
      <c r="Z52"/>
    </row>
    <row r="53" spans="2:26" x14ac:dyDescent="0.3">
      <c r="B53" s="219"/>
      <c r="M53"/>
      <c r="N53"/>
      <c r="O53"/>
      <c r="P53"/>
      <c r="Q53"/>
      <c r="R53"/>
      <c r="S53"/>
      <c r="T53"/>
      <c r="U53"/>
      <c r="V53"/>
      <c r="W53"/>
      <c r="X53"/>
      <c r="Y53"/>
      <c r="Z53"/>
    </row>
    <row r="54" spans="2:26" x14ac:dyDescent="0.3">
      <c r="M54"/>
      <c r="N54"/>
      <c r="O54"/>
      <c r="P54"/>
      <c r="Q54"/>
      <c r="R54"/>
      <c r="S54"/>
      <c r="T54"/>
      <c r="U54"/>
      <c r="V54"/>
      <c r="W54"/>
      <c r="X54"/>
      <c r="Y54"/>
      <c r="Z54"/>
    </row>
    <row r="55" spans="2:26" x14ac:dyDescent="0.3">
      <c r="M55"/>
      <c r="N55"/>
      <c r="O55"/>
      <c r="P55"/>
      <c r="Q55"/>
      <c r="R55"/>
      <c r="S55"/>
      <c r="T55"/>
      <c r="U55"/>
      <c r="V55"/>
      <c r="W55"/>
      <c r="X55"/>
      <c r="Y55"/>
      <c r="Z55"/>
    </row>
    <row r="56" spans="2:26" x14ac:dyDescent="0.3">
      <c r="M56"/>
      <c r="N56"/>
      <c r="O56"/>
      <c r="P56"/>
      <c r="Q56"/>
      <c r="R56"/>
      <c r="S56"/>
      <c r="T56"/>
      <c r="U56"/>
      <c r="V56"/>
      <c r="W56"/>
      <c r="X56"/>
      <c r="Y56"/>
      <c r="Z56"/>
    </row>
    <row r="57" spans="2:26" x14ac:dyDescent="0.3">
      <c r="M57"/>
      <c r="N57"/>
      <c r="O57"/>
      <c r="P57"/>
      <c r="Q57"/>
      <c r="R57"/>
      <c r="S57"/>
      <c r="T57"/>
      <c r="U57"/>
      <c r="V57"/>
      <c r="W57"/>
      <c r="X57"/>
      <c r="Y57"/>
      <c r="Z57"/>
    </row>
    <row r="58" spans="2:26" x14ac:dyDescent="0.3">
      <c r="M58"/>
      <c r="N58"/>
      <c r="O58"/>
      <c r="P58"/>
      <c r="Q58"/>
      <c r="R58"/>
      <c r="S58"/>
      <c r="T58"/>
      <c r="U58"/>
      <c r="V58"/>
      <c r="W58"/>
      <c r="X58"/>
      <c r="Y58"/>
      <c r="Z58"/>
    </row>
    <row r="59" spans="2:26" x14ac:dyDescent="0.3">
      <c r="M59"/>
      <c r="N59"/>
      <c r="O59"/>
      <c r="P59"/>
      <c r="Q59"/>
      <c r="R59"/>
      <c r="S59"/>
      <c r="T59"/>
      <c r="U59"/>
      <c r="V59"/>
      <c r="W59"/>
      <c r="X59"/>
      <c r="Y59"/>
      <c r="Z59"/>
    </row>
    <row r="60" spans="2:26" x14ac:dyDescent="0.3">
      <c r="M60"/>
      <c r="N60"/>
      <c r="O60"/>
      <c r="P60"/>
      <c r="Q60"/>
      <c r="R60"/>
      <c r="S60"/>
      <c r="T60"/>
      <c r="U60"/>
      <c r="V60"/>
      <c r="W60"/>
      <c r="X60"/>
      <c r="Y60"/>
      <c r="Z60"/>
    </row>
    <row r="61" spans="2:26" x14ac:dyDescent="0.3">
      <c r="M61"/>
      <c r="N61"/>
      <c r="O61"/>
      <c r="P61"/>
      <c r="Q61"/>
      <c r="R61"/>
      <c r="S61"/>
      <c r="T61"/>
      <c r="U61"/>
      <c r="V61"/>
      <c r="W61"/>
      <c r="X61"/>
      <c r="Y61"/>
      <c r="Z61"/>
    </row>
    <row r="62" spans="2:26" x14ac:dyDescent="0.3">
      <c r="M62"/>
      <c r="N62"/>
      <c r="O62"/>
      <c r="P62"/>
      <c r="Q62"/>
      <c r="R62"/>
      <c r="S62"/>
      <c r="T62"/>
      <c r="U62"/>
      <c r="V62"/>
      <c r="W62"/>
      <c r="X62"/>
      <c r="Y62"/>
      <c r="Z62"/>
    </row>
    <row r="63" spans="2:26" x14ac:dyDescent="0.3">
      <c r="M63"/>
      <c r="N63"/>
      <c r="O63"/>
      <c r="P63"/>
      <c r="Q63"/>
      <c r="R63"/>
      <c r="S63"/>
      <c r="T63"/>
      <c r="U63"/>
      <c r="V63"/>
      <c r="W63"/>
      <c r="X63"/>
      <c r="Y63"/>
      <c r="Z63"/>
    </row>
    <row r="64" spans="2:26" x14ac:dyDescent="0.3">
      <c r="M64"/>
      <c r="N64"/>
      <c r="O64"/>
      <c r="P64"/>
      <c r="Q64"/>
      <c r="R64"/>
      <c r="S64"/>
      <c r="T64"/>
      <c r="U64"/>
      <c r="V64"/>
      <c r="W64"/>
      <c r="X64"/>
      <c r="Y64"/>
      <c r="Z64"/>
    </row>
    <row r="65" spans="13:26" x14ac:dyDescent="0.3">
      <c r="M65"/>
      <c r="N65"/>
      <c r="O65"/>
      <c r="P65"/>
      <c r="Q65"/>
      <c r="R65"/>
      <c r="S65"/>
      <c r="T65"/>
      <c r="U65"/>
      <c r="V65"/>
      <c r="W65"/>
      <c r="X65"/>
      <c r="Y65"/>
      <c r="Z65"/>
    </row>
    <row r="66" spans="13:26" x14ac:dyDescent="0.3">
      <c r="M66"/>
      <c r="N66"/>
      <c r="O66"/>
      <c r="P66"/>
      <c r="Q66"/>
      <c r="R66"/>
      <c r="S66"/>
      <c r="T66"/>
      <c r="U66"/>
      <c r="V66"/>
      <c r="W66"/>
      <c r="X66"/>
      <c r="Y66"/>
      <c r="Z66"/>
    </row>
    <row r="67" spans="13:26" x14ac:dyDescent="0.3">
      <c r="M67"/>
      <c r="N67"/>
      <c r="O67"/>
      <c r="P67"/>
      <c r="Q67"/>
      <c r="R67"/>
      <c r="S67"/>
      <c r="T67"/>
      <c r="U67"/>
      <c r="V67"/>
      <c r="W67"/>
      <c r="X67"/>
      <c r="Y67"/>
      <c r="Z67"/>
    </row>
    <row r="68" spans="13:26" x14ac:dyDescent="0.3">
      <c r="M68"/>
      <c r="N68"/>
      <c r="O68"/>
      <c r="P68"/>
      <c r="Q68"/>
      <c r="R68"/>
      <c r="S68"/>
      <c r="T68"/>
      <c r="U68"/>
      <c r="V68"/>
      <c r="W68"/>
      <c r="X68"/>
      <c r="Y68"/>
      <c r="Z68"/>
    </row>
    <row r="69" spans="13:26" x14ac:dyDescent="0.3">
      <c r="M69"/>
      <c r="N69"/>
      <c r="O69"/>
      <c r="P69"/>
      <c r="Q69"/>
      <c r="R69"/>
      <c r="S69"/>
      <c r="T69"/>
      <c r="U69"/>
      <c r="V69"/>
      <c r="W69"/>
      <c r="X69"/>
      <c r="Y69"/>
      <c r="Z69"/>
    </row>
    <row r="70" spans="13:26" x14ac:dyDescent="0.3">
      <c r="M70"/>
      <c r="N70"/>
      <c r="O70"/>
      <c r="P70"/>
      <c r="Q70"/>
      <c r="R70"/>
      <c r="S70"/>
      <c r="T70"/>
      <c r="U70"/>
      <c r="V70"/>
      <c r="W70"/>
      <c r="X70"/>
      <c r="Y70"/>
      <c r="Z70"/>
    </row>
    <row r="71" spans="13:26" x14ac:dyDescent="0.3">
      <c r="M71"/>
      <c r="N71"/>
      <c r="O71"/>
      <c r="P71"/>
      <c r="Q71"/>
      <c r="R71"/>
      <c r="S71"/>
      <c r="T71"/>
      <c r="U71"/>
      <c r="V71"/>
      <c r="W71"/>
      <c r="X71"/>
      <c r="Y71"/>
      <c r="Z71"/>
    </row>
    <row r="72" spans="13:26" x14ac:dyDescent="0.3">
      <c r="M72"/>
      <c r="N72"/>
      <c r="O72"/>
      <c r="P72"/>
      <c r="Q72"/>
      <c r="R72"/>
      <c r="S72"/>
      <c r="T72"/>
      <c r="U72"/>
      <c r="V72"/>
      <c r="W72"/>
      <c r="X72"/>
      <c r="Y72"/>
      <c r="Z72"/>
    </row>
    <row r="73" spans="13:26" x14ac:dyDescent="0.3">
      <c r="M73"/>
      <c r="N73"/>
      <c r="O73"/>
      <c r="P73"/>
      <c r="Q73"/>
      <c r="R73"/>
      <c r="S73"/>
      <c r="T73"/>
      <c r="U73"/>
      <c r="V73"/>
      <c r="W73"/>
      <c r="X73"/>
      <c r="Y73"/>
      <c r="Z73"/>
    </row>
    <row r="74" spans="13:26" x14ac:dyDescent="0.3">
      <c r="M74"/>
      <c r="N74"/>
      <c r="O74"/>
      <c r="P74"/>
      <c r="Q74"/>
      <c r="R74"/>
      <c r="S74"/>
      <c r="T74"/>
      <c r="U74"/>
      <c r="V74"/>
      <c r="W74"/>
      <c r="X74"/>
      <c r="Y74"/>
      <c r="Z74"/>
    </row>
    <row r="75" spans="13:26" x14ac:dyDescent="0.3">
      <c r="M75"/>
      <c r="N75"/>
      <c r="O75"/>
      <c r="P75"/>
      <c r="Q75"/>
      <c r="R75"/>
      <c r="S75"/>
      <c r="T75"/>
      <c r="U75"/>
      <c r="V75"/>
      <c r="W75"/>
      <c r="X75"/>
      <c r="Y75"/>
      <c r="Z75"/>
    </row>
    <row r="76" spans="13:26" x14ac:dyDescent="0.3">
      <c r="M76"/>
      <c r="N76"/>
      <c r="O76"/>
      <c r="P76"/>
      <c r="Q76"/>
      <c r="R76"/>
      <c r="S76"/>
      <c r="T76"/>
      <c r="U76"/>
      <c r="V76"/>
      <c r="W76"/>
      <c r="X76"/>
      <c r="Y76"/>
      <c r="Z76"/>
    </row>
    <row r="77" spans="13:26" x14ac:dyDescent="0.3">
      <c r="M77"/>
      <c r="N77"/>
      <c r="O77"/>
      <c r="P77"/>
      <c r="Q77"/>
      <c r="R77"/>
      <c r="S77"/>
      <c r="T77"/>
      <c r="U77"/>
      <c r="V77"/>
      <c r="W77"/>
      <c r="X77"/>
      <c r="Y77"/>
      <c r="Z77"/>
    </row>
    <row r="78" spans="13:26" x14ac:dyDescent="0.3">
      <c r="M78"/>
      <c r="N78"/>
      <c r="O78"/>
      <c r="P78"/>
      <c r="Q78"/>
      <c r="R78"/>
      <c r="S78"/>
      <c r="T78"/>
      <c r="U78"/>
      <c r="V78"/>
      <c r="W78"/>
      <c r="X78"/>
      <c r="Y78"/>
      <c r="Z78"/>
    </row>
    <row r="79" spans="13:26" x14ac:dyDescent="0.3">
      <c r="M79"/>
      <c r="N79"/>
      <c r="O79"/>
      <c r="P79"/>
      <c r="Q79"/>
      <c r="R79"/>
      <c r="S79"/>
      <c r="T79"/>
      <c r="U79"/>
      <c r="V79"/>
      <c r="W79"/>
      <c r="X79"/>
      <c r="Y79"/>
      <c r="Z79"/>
    </row>
    <row r="80" spans="13:26" x14ac:dyDescent="0.3">
      <c r="M80"/>
      <c r="N80"/>
      <c r="O80"/>
      <c r="P80"/>
      <c r="Q80"/>
      <c r="R80"/>
      <c r="S80"/>
      <c r="T80"/>
      <c r="U80"/>
      <c r="V80"/>
      <c r="W80"/>
      <c r="X80"/>
      <c r="Y80"/>
      <c r="Z80"/>
    </row>
    <row r="81" spans="13:26" x14ac:dyDescent="0.3">
      <c r="M81"/>
      <c r="N81"/>
      <c r="O81"/>
      <c r="P81"/>
      <c r="Q81"/>
      <c r="R81"/>
      <c r="S81"/>
      <c r="T81"/>
      <c r="U81"/>
      <c r="V81"/>
      <c r="W81"/>
      <c r="X81"/>
      <c r="Y81"/>
      <c r="Z81"/>
    </row>
    <row r="82" spans="13:26" x14ac:dyDescent="0.3">
      <c r="M82"/>
      <c r="N82"/>
      <c r="O82"/>
      <c r="P82"/>
      <c r="Q82"/>
      <c r="R82"/>
      <c r="S82"/>
      <c r="T82"/>
      <c r="U82"/>
      <c r="V82"/>
      <c r="W82"/>
      <c r="X82"/>
      <c r="Y82"/>
      <c r="Z82"/>
    </row>
    <row r="83" spans="13:26" x14ac:dyDescent="0.3">
      <c r="M83"/>
      <c r="N83"/>
      <c r="O83"/>
      <c r="P83"/>
      <c r="Q83"/>
      <c r="R83"/>
      <c r="S83"/>
      <c r="T83"/>
      <c r="U83"/>
      <c r="V83"/>
      <c r="W83"/>
      <c r="X83"/>
      <c r="Y83"/>
      <c r="Z83"/>
    </row>
    <row r="84" spans="13:26" x14ac:dyDescent="0.3">
      <c r="M84"/>
      <c r="N84"/>
      <c r="O84"/>
      <c r="P84"/>
      <c r="Q84"/>
      <c r="R84"/>
      <c r="S84"/>
      <c r="T84"/>
      <c r="U84"/>
      <c r="V84"/>
      <c r="W84"/>
      <c r="X84"/>
      <c r="Y84"/>
      <c r="Z84"/>
    </row>
    <row r="85" spans="13:26" x14ac:dyDescent="0.3">
      <c r="M85"/>
      <c r="N85"/>
      <c r="O85"/>
      <c r="P85"/>
      <c r="Q85"/>
      <c r="R85"/>
      <c r="S85"/>
      <c r="T85"/>
      <c r="U85"/>
      <c r="V85"/>
      <c r="W85"/>
      <c r="X85"/>
      <c r="Y85"/>
      <c r="Z85"/>
    </row>
    <row r="86" spans="13:26" x14ac:dyDescent="0.3">
      <c r="M86"/>
      <c r="N86"/>
      <c r="O86"/>
      <c r="P86"/>
      <c r="Q86"/>
      <c r="R86"/>
      <c r="S86"/>
      <c r="T86"/>
      <c r="U86"/>
      <c r="V86"/>
      <c r="W86"/>
      <c r="X86"/>
      <c r="Y86"/>
      <c r="Z86"/>
    </row>
    <row r="87" spans="13:26" x14ac:dyDescent="0.3">
      <c r="M87"/>
      <c r="N87"/>
      <c r="O87"/>
      <c r="P87"/>
      <c r="Q87"/>
      <c r="R87"/>
      <c r="S87"/>
      <c r="T87"/>
      <c r="U87"/>
      <c r="V87"/>
      <c r="W87"/>
      <c r="X87"/>
      <c r="Y87"/>
      <c r="Z87"/>
    </row>
    <row r="88" spans="13:26" x14ac:dyDescent="0.3">
      <c r="M88"/>
      <c r="N88"/>
      <c r="O88"/>
      <c r="P88"/>
      <c r="Q88"/>
      <c r="R88"/>
      <c r="S88"/>
      <c r="T88"/>
      <c r="U88"/>
      <c r="V88"/>
      <c r="W88"/>
      <c r="X88"/>
      <c r="Y88"/>
      <c r="Z88"/>
    </row>
    <row r="89" spans="13:26" x14ac:dyDescent="0.3">
      <c r="M89"/>
      <c r="N89"/>
      <c r="O89"/>
      <c r="P89"/>
      <c r="Q89"/>
      <c r="R89"/>
      <c r="S89"/>
      <c r="T89"/>
      <c r="U89"/>
      <c r="V89"/>
      <c r="W89"/>
      <c r="X89"/>
      <c r="Y89"/>
      <c r="Z89"/>
    </row>
    <row r="90" spans="13:26" x14ac:dyDescent="0.3">
      <c r="M90"/>
      <c r="N90"/>
      <c r="O90"/>
      <c r="P90"/>
      <c r="Q90"/>
      <c r="R90"/>
      <c r="S90"/>
      <c r="T90"/>
      <c r="U90"/>
      <c r="V90"/>
      <c r="W90"/>
      <c r="X90"/>
      <c r="Y90"/>
      <c r="Z90"/>
    </row>
    <row r="91" spans="13:26" x14ac:dyDescent="0.3">
      <c r="M91"/>
      <c r="N91"/>
      <c r="O91"/>
      <c r="P91"/>
      <c r="Q91"/>
      <c r="R91"/>
      <c r="S91"/>
      <c r="T91"/>
      <c r="U91"/>
      <c r="V91"/>
      <c r="W91"/>
      <c r="X91"/>
      <c r="Y91"/>
      <c r="Z91"/>
    </row>
    <row r="92" spans="13:26" x14ac:dyDescent="0.3">
      <c r="M92"/>
      <c r="N92"/>
      <c r="O92"/>
      <c r="P92"/>
      <c r="Q92"/>
      <c r="R92"/>
      <c r="S92"/>
      <c r="T92"/>
      <c r="U92"/>
      <c r="V92"/>
      <c r="W92"/>
      <c r="X92"/>
      <c r="Y92"/>
      <c r="Z92"/>
    </row>
    <row r="93" spans="13:26" x14ac:dyDescent="0.3">
      <c r="M93"/>
      <c r="N93"/>
      <c r="O93"/>
      <c r="P93"/>
      <c r="Q93"/>
      <c r="R93"/>
      <c r="S93"/>
      <c r="T93"/>
      <c r="U93"/>
      <c r="V93"/>
      <c r="W93"/>
      <c r="X93"/>
      <c r="Y93"/>
      <c r="Z93"/>
    </row>
    <row r="94" spans="13:26" x14ac:dyDescent="0.3">
      <c r="M94"/>
      <c r="N94"/>
      <c r="O94"/>
      <c r="P94"/>
      <c r="Q94"/>
      <c r="R94"/>
      <c r="S94"/>
      <c r="T94"/>
      <c r="U94"/>
      <c r="V94"/>
      <c r="W94"/>
      <c r="X94"/>
      <c r="Y94"/>
      <c r="Z94"/>
    </row>
    <row r="95" spans="13:26" x14ac:dyDescent="0.3">
      <c r="M95"/>
      <c r="N95"/>
      <c r="O95"/>
      <c r="P95"/>
      <c r="Q95"/>
      <c r="R95"/>
      <c r="S95"/>
      <c r="T95"/>
      <c r="U95"/>
      <c r="V95"/>
      <c r="W95"/>
      <c r="X95"/>
      <c r="Y95"/>
      <c r="Z95"/>
    </row>
    <row r="96" spans="13:26" x14ac:dyDescent="0.3">
      <c r="M96"/>
      <c r="N96"/>
      <c r="O96"/>
      <c r="P96"/>
      <c r="Q96"/>
      <c r="R96"/>
      <c r="S96"/>
      <c r="T96"/>
      <c r="U96"/>
      <c r="V96"/>
      <c r="W96"/>
      <c r="X96"/>
      <c r="Y96"/>
      <c r="Z96"/>
    </row>
    <row r="97" spans="13:26" x14ac:dyDescent="0.3">
      <c r="M97"/>
      <c r="N97"/>
      <c r="O97"/>
      <c r="P97"/>
      <c r="Q97"/>
      <c r="R97"/>
      <c r="S97"/>
      <c r="T97"/>
      <c r="U97"/>
      <c r="V97"/>
      <c r="W97"/>
      <c r="X97"/>
      <c r="Y97"/>
      <c r="Z97"/>
    </row>
    <row r="98" spans="13:26" x14ac:dyDescent="0.3">
      <c r="M98"/>
      <c r="N98"/>
      <c r="O98"/>
      <c r="P98"/>
      <c r="Q98"/>
      <c r="R98"/>
      <c r="S98"/>
      <c r="T98"/>
      <c r="U98"/>
      <c r="V98"/>
      <c r="W98"/>
      <c r="X98"/>
      <c r="Y98"/>
      <c r="Z98"/>
    </row>
    <row r="99" spans="13:26" x14ac:dyDescent="0.3">
      <c r="M99"/>
      <c r="N99"/>
      <c r="O99"/>
      <c r="P99"/>
      <c r="Q99"/>
      <c r="R99"/>
      <c r="S99"/>
      <c r="T99"/>
      <c r="U99"/>
      <c r="V99"/>
      <c r="W99"/>
      <c r="X99"/>
      <c r="Y99"/>
      <c r="Z99"/>
    </row>
    <row r="100" spans="13:26" x14ac:dyDescent="0.3">
      <c r="M100"/>
      <c r="N100"/>
      <c r="O100"/>
      <c r="P100"/>
      <c r="Q100"/>
      <c r="R100"/>
      <c r="S100"/>
      <c r="T100"/>
      <c r="U100"/>
      <c r="V100"/>
      <c r="W100"/>
      <c r="X100"/>
      <c r="Y100"/>
      <c r="Z100"/>
    </row>
    <row r="101" spans="13:26" x14ac:dyDescent="0.3">
      <c r="M101"/>
      <c r="N101"/>
      <c r="O101"/>
      <c r="P101"/>
      <c r="Q101"/>
      <c r="R101"/>
      <c r="S101"/>
      <c r="T101"/>
      <c r="U101"/>
      <c r="V101"/>
      <c r="W101"/>
      <c r="X101"/>
      <c r="Y101"/>
      <c r="Z101"/>
    </row>
    <row r="102" spans="13:26" x14ac:dyDescent="0.3">
      <c r="M102"/>
      <c r="N102"/>
      <c r="O102"/>
      <c r="P102"/>
      <c r="Q102"/>
      <c r="R102"/>
      <c r="S102"/>
      <c r="T102"/>
      <c r="U102"/>
      <c r="V102"/>
      <c r="W102"/>
      <c r="X102"/>
      <c r="Y102"/>
      <c r="Z102"/>
    </row>
    <row r="103" spans="13:26" x14ac:dyDescent="0.3">
      <c r="M103"/>
      <c r="N103"/>
      <c r="O103"/>
      <c r="P103"/>
      <c r="Q103"/>
      <c r="R103"/>
      <c r="S103"/>
      <c r="T103"/>
      <c r="U103"/>
      <c r="V103"/>
      <c r="W103"/>
      <c r="X103"/>
      <c r="Y103"/>
      <c r="Z103"/>
    </row>
    <row r="104" spans="13:26" x14ac:dyDescent="0.3">
      <c r="M104"/>
      <c r="N104"/>
      <c r="O104"/>
      <c r="P104"/>
      <c r="Q104"/>
      <c r="R104"/>
      <c r="S104"/>
      <c r="T104"/>
      <c r="U104"/>
      <c r="V104"/>
      <c r="W104"/>
      <c r="X104"/>
      <c r="Y104"/>
      <c r="Z104"/>
    </row>
    <row r="105" spans="13:26" x14ac:dyDescent="0.3">
      <c r="M105"/>
      <c r="N105"/>
      <c r="O105"/>
      <c r="P105"/>
      <c r="Q105"/>
      <c r="R105"/>
      <c r="S105"/>
      <c r="T105"/>
      <c r="U105"/>
      <c r="V105"/>
      <c r="W105"/>
      <c r="X105"/>
      <c r="Y105"/>
      <c r="Z105"/>
    </row>
    <row r="106" spans="13:26" x14ac:dyDescent="0.3">
      <c r="M106"/>
      <c r="N106"/>
      <c r="O106"/>
      <c r="P106"/>
      <c r="Q106"/>
      <c r="R106"/>
      <c r="S106"/>
      <c r="T106"/>
      <c r="U106"/>
      <c r="V106"/>
      <c r="W106"/>
      <c r="X106"/>
      <c r="Y106"/>
      <c r="Z106"/>
    </row>
    <row r="107" spans="13:26" x14ac:dyDescent="0.3">
      <c r="M107"/>
      <c r="N107"/>
      <c r="O107"/>
      <c r="P107"/>
      <c r="Q107"/>
      <c r="R107"/>
      <c r="S107"/>
      <c r="T107"/>
      <c r="U107"/>
      <c r="V107"/>
      <c r="W107"/>
      <c r="X107"/>
      <c r="Y107"/>
      <c r="Z107"/>
    </row>
    <row r="108" spans="13:26" x14ac:dyDescent="0.3">
      <c r="M108"/>
      <c r="N108"/>
      <c r="O108"/>
      <c r="P108"/>
      <c r="Q108"/>
      <c r="R108"/>
      <c r="S108"/>
      <c r="T108"/>
      <c r="U108"/>
      <c r="V108"/>
      <c r="W108"/>
      <c r="X108"/>
      <c r="Y108"/>
      <c r="Z108"/>
    </row>
    <row r="109" spans="13:26" x14ac:dyDescent="0.3">
      <c r="M109"/>
      <c r="N109"/>
      <c r="O109"/>
      <c r="P109"/>
      <c r="Q109"/>
      <c r="R109"/>
      <c r="S109"/>
      <c r="T109"/>
      <c r="U109"/>
      <c r="V109"/>
      <c r="W109"/>
      <c r="X109"/>
      <c r="Y109"/>
      <c r="Z109"/>
    </row>
    <row r="110" spans="13:26" x14ac:dyDescent="0.3">
      <c r="M110"/>
      <c r="N110"/>
      <c r="O110"/>
      <c r="P110"/>
      <c r="Q110"/>
      <c r="R110"/>
      <c r="S110"/>
      <c r="T110"/>
      <c r="U110"/>
      <c r="V110"/>
      <c r="W110"/>
      <c r="X110"/>
      <c r="Y110"/>
      <c r="Z110"/>
    </row>
    <row r="111" spans="13:26" x14ac:dyDescent="0.3">
      <c r="M111"/>
      <c r="N111"/>
      <c r="O111"/>
      <c r="P111"/>
      <c r="Q111"/>
      <c r="R111"/>
      <c r="S111"/>
      <c r="T111"/>
      <c r="U111"/>
      <c r="V111"/>
      <c r="W111"/>
      <c r="X111"/>
      <c r="Y111"/>
      <c r="Z111"/>
    </row>
    <row r="112" spans="13:26" x14ac:dyDescent="0.3">
      <c r="M112"/>
      <c r="N112"/>
      <c r="O112"/>
      <c r="P112"/>
      <c r="Q112"/>
      <c r="R112"/>
      <c r="S112"/>
      <c r="T112"/>
      <c r="U112"/>
      <c r="V112"/>
      <c r="W112"/>
      <c r="X112"/>
      <c r="Y112"/>
      <c r="Z112"/>
    </row>
    <row r="113" spans="1:26" x14ac:dyDescent="0.3">
      <c r="M113"/>
      <c r="N113"/>
      <c r="O113"/>
      <c r="P113"/>
      <c r="Q113"/>
      <c r="R113"/>
      <c r="S113"/>
      <c r="T113"/>
      <c r="U113"/>
      <c r="V113"/>
      <c r="W113"/>
      <c r="X113"/>
      <c r="Y113"/>
      <c r="Z113"/>
    </row>
    <row r="114" spans="1:26" x14ac:dyDescent="0.3">
      <c r="M114"/>
      <c r="N114"/>
      <c r="O114"/>
      <c r="P114"/>
      <c r="Q114"/>
      <c r="R114"/>
      <c r="S114"/>
      <c r="T114"/>
      <c r="U114"/>
      <c r="V114"/>
      <c r="W114"/>
      <c r="X114"/>
      <c r="Y114"/>
      <c r="Z114"/>
    </row>
    <row r="115" spans="1:26" x14ac:dyDescent="0.3">
      <c r="M115"/>
      <c r="N115"/>
      <c r="O115"/>
      <c r="P115"/>
      <c r="Q115"/>
      <c r="R115"/>
      <c r="S115"/>
      <c r="T115"/>
      <c r="U115"/>
      <c r="V115"/>
      <c r="W115"/>
      <c r="X115"/>
      <c r="Y115"/>
      <c r="Z115"/>
    </row>
    <row r="122" spans="1:26" x14ac:dyDescent="0.3">
      <c r="A122"/>
      <c r="B122"/>
      <c r="C122"/>
      <c r="D122"/>
      <c r="E122"/>
      <c r="F122"/>
      <c r="G122"/>
      <c r="H122"/>
      <c r="I122"/>
      <c r="J122"/>
      <c r="K122"/>
      <c r="L122"/>
    </row>
    <row r="123" spans="1:26" x14ac:dyDescent="0.3">
      <c r="A123"/>
      <c r="B123"/>
      <c r="C123"/>
      <c r="D123"/>
      <c r="E123"/>
      <c r="F123"/>
      <c r="G123"/>
      <c r="H123"/>
      <c r="I123"/>
      <c r="J123"/>
      <c r="K123"/>
      <c r="L123"/>
    </row>
    <row r="124" spans="1:26" x14ac:dyDescent="0.3">
      <c r="A124"/>
      <c r="B124"/>
      <c r="C124"/>
      <c r="D124"/>
      <c r="E124"/>
      <c r="F124"/>
      <c r="G124"/>
      <c r="H124"/>
      <c r="I124"/>
      <c r="J124"/>
      <c r="K124"/>
      <c r="L124"/>
    </row>
    <row r="125" spans="1:26" x14ac:dyDescent="0.3">
      <c r="A125"/>
      <c r="B125"/>
      <c r="C125"/>
      <c r="D125"/>
      <c r="E125"/>
      <c r="F125"/>
      <c r="G125"/>
      <c r="H125"/>
      <c r="I125"/>
      <c r="J125"/>
      <c r="K125"/>
      <c r="L125"/>
    </row>
    <row r="126" spans="1:26" x14ac:dyDescent="0.3">
      <c r="A126"/>
      <c r="B126"/>
      <c r="C126"/>
      <c r="D126"/>
      <c r="E126"/>
      <c r="F126"/>
      <c r="G126"/>
      <c r="H126"/>
      <c r="I126"/>
      <c r="J126"/>
      <c r="K126"/>
      <c r="L126"/>
    </row>
    <row r="127" spans="1:26" x14ac:dyDescent="0.3">
      <c r="A127"/>
      <c r="B127"/>
      <c r="C127"/>
      <c r="D127"/>
      <c r="E127"/>
      <c r="F127"/>
      <c r="G127"/>
      <c r="H127"/>
      <c r="I127"/>
      <c r="J127"/>
      <c r="K127"/>
      <c r="L127"/>
    </row>
    <row r="128" spans="1:26"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row>
    <row r="133" spans="1:12" x14ac:dyDescent="0.3">
      <c r="A133"/>
      <c r="B133"/>
      <c r="C133"/>
      <c r="D133"/>
      <c r="E133"/>
      <c r="F133"/>
      <c r="G133"/>
      <c r="H133"/>
      <c r="I133"/>
    </row>
    <row r="134" spans="1:12" x14ac:dyDescent="0.3">
      <c r="A134"/>
      <c r="B134"/>
      <c r="C134"/>
      <c r="D134"/>
      <c r="E134"/>
      <c r="F134"/>
      <c r="G134"/>
      <c r="H134"/>
      <c r="I134"/>
    </row>
    <row r="135" spans="1:12" x14ac:dyDescent="0.3">
      <c r="A135"/>
      <c r="B135"/>
      <c r="C135"/>
      <c r="D135"/>
      <c r="E135"/>
      <c r="F135"/>
      <c r="G135"/>
      <c r="H135"/>
      <c r="I135"/>
    </row>
    <row r="136" spans="1:12" x14ac:dyDescent="0.3">
      <c r="A136"/>
      <c r="B136"/>
      <c r="C136"/>
      <c r="D136"/>
      <c r="E136"/>
      <c r="F136"/>
      <c r="G136"/>
      <c r="H136"/>
      <c r="I136"/>
    </row>
    <row r="137" spans="1:12" x14ac:dyDescent="0.3">
      <c r="A137"/>
      <c r="B137"/>
      <c r="C137"/>
      <c r="D137"/>
      <c r="E137"/>
      <c r="F137"/>
      <c r="G137"/>
      <c r="H137"/>
      <c r="I137"/>
    </row>
    <row r="138" spans="1:12" x14ac:dyDescent="0.3">
      <c r="A138"/>
      <c r="B138"/>
      <c r="C138"/>
      <c r="D138"/>
      <c r="E138"/>
      <c r="F138"/>
      <c r="G138"/>
      <c r="H138"/>
      <c r="I138"/>
    </row>
    <row r="139" spans="1:12" x14ac:dyDescent="0.3">
      <c r="A139"/>
      <c r="B139"/>
      <c r="C139"/>
      <c r="D139"/>
      <c r="E139"/>
      <c r="F139"/>
      <c r="G139"/>
      <c r="H139"/>
      <c r="I139"/>
    </row>
    <row r="140" spans="1:12" x14ac:dyDescent="0.3">
      <c r="A140"/>
      <c r="B140"/>
      <c r="C140"/>
      <c r="D140"/>
      <c r="E140"/>
      <c r="F140"/>
      <c r="G140"/>
      <c r="H140"/>
      <c r="I140"/>
    </row>
    <row r="141" spans="1:12" x14ac:dyDescent="0.3">
      <c r="A141"/>
      <c r="B141"/>
      <c r="C141"/>
      <c r="D141"/>
      <c r="E141"/>
      <c r="F141"/>
      <c r="G141"/>
      <c r="H141"/>
      <c r="I141"/>
    </row>
    <row r="142" spans="1:12" x14ac:dyDescent="0.3">
      <c r="A142"/>
      <c r="B142"/>
      <c r="C142"/>
      <c r="D142"/>
      <c r="E142"/>
      <c r="F142"/>
      <c r="G142"/>
      <c r="H142"/>
      <c r="I142"/>
    </row>
    <row r="143" spans="1:12" x14ac:dyDescent="0.3">
      <c r="A143"/>
      <c r="B143"/>
      <c r="C143"/>
      <c r="D143"/>
      <c r="E143"/>
      <c r="F143"/>
      <c r="G143"/>
      <c r="H143"/>
      <c r="I143"/>
    </row>
    <row r="144" spans="1:12" x14ac:dyDescent="0.3">
      <c r="A144"/>
      <c r="B144"/>
      <c r="C144"/>
      <c r="D144"/>
      <c r="E144"/>
      <c r="F144"/>
      <c r="G144"/>
      <c r="H144"/>
      <c r="I144"/>
    </row>
    <row r="145" spans="1:9" x14ac:dyDescent="0.3">
      <c r="A145"/>
      <c r="B145"/>
      <c r="C145"/>
      <c r="D145"/>
      <c r="E145"/>
      <c r="F145"/>
      <c r="G145"/>
      <c r="H145"/>
      <c r="I145"/>
    </row>
    <row r="146" spans="1:9" x14ac:dyDescent="0.3">
      <c r="A146"/>
      <c r="B146"/>
      <c r="C146"/>
      <c r="D146"/>
      <c r="E146"/>
      <c r="F146"/>
      <c r="G146"/>
      <c r="H146"/>
      <c r="I146"/>
    </row>
    <row r="147" spans="1:9" x14ac:dyDescent="0.3">
      <c r="A147"/>
      <c r="B147"/>
      <c r="C147"/>
      <c r="D147"/>
      <c r="E147"/>
      <c r="F147"/>
      <c r="G147"/>
      <c r="H147"/>
      <c r="I147"/>
    </row>
    <row r="148" spans="1:9" x14ac:dyDescent="0.3">
      <c r="A148"/>
      <c r="B148"/>
      <c r="C148"/>
      <c r="D148"/>
      <c r="E148"/>
      <c r="F148"/>
      <c r="G148"/>
      <c r="H148"/>
      <c r="I148"/>
    </row>
    <row r="149" spans="1:9" x14ac:dyDescent="0.3">
      <c r="A149"/>
      <c r="B149"/>
      <c r="C149"/>
      <c r="D149"/>
      <c r="E149"/>
      <c r="F149"/>
      <c r="G149"/>
      <c r="H149"/>
      <c r="I149"/>
    </row>
    <row r="150" spans="1:9" x14ac:dyDescent="0.3">
      <c r="A150"/>
      <c r="B150"/>
      <c r="C150"/>
      <c r="D150"/>
      <c r="E150"/>
      <c r="F150"/>
      <c r="G150"/>
      <c r="H150"/>
      <c r="I150"/>
    </row>
    <row r="151" spans="1:9" x14ac:dyDescent="0.3">
      <c r="A151"/>
      <c r="B151"/>
      <c r="C151"/>
      <c r="D151"/>
      <c r="E151"/>
      <c r="F151"/>
      <c r="G151"/>
      <c r="H151"/>
      <c r="I151"/>
    </row>
    <row r="152" spans="1:9" x14ac:dyDescent="0.3">
      <c r="A152"/>
      <c r="B152"/>
      <c r="C152"/>
      <c r="D152"/>
      <c r="E152"/>
      <c r="F152"/>
      <c r="G152"/>
      <c r="H152"/>
      <c r="I152"/>
    </row>
    <row r="153" spans="1:9" x14ac:dyDescent="0.3">
      <c r="A153"/>
      <c r="B153"/>
      <c r="C153"/>
      <c r="D153"/>
      <c r="E153"/>
      <c r="F153"/>
      <c r="G153"/>
      <c r="H153"/>
      <c r="I153"/>
    </row>
    <row r="154" spans="1:9" x14ac:dyDescent="0.3">
      <c r="A154"/>
      <c r="B154"/>
      <c r="C154"/>
      <c r="D154"/>
      <c r="E154"/>
      <c r="F154"/>
      <c r="G154"/>
      <c r="H154"/>
      <c r="I154"/>
    </row>
    <row r="155" spans="1:9" x14ac:dyDescent="0.3">
      <c r="A155"/>
      <c r="B155"/>
      <c r="C155"/>
      <c r="D155"/>
      <c r="E155"/>
      <c r="F155"/>
      <c r="G155"/>
      <c r="H155"/>
      <c r="I155"/>
    </row>
    <row r="156" spans="1:9" x14ac:dyDescent="0.3">
      <c r="A156"/>
      <c r="B156"/>
      <c r="C156"/>
      <c r="D156"/>
      <c r="E156"/>
      <c r="F156"/>
      <c r="G156"/>
      <c r="H156"/>
      <c r="I156"/>
    </row>
    <row r="157" spans="1:9" x14ac:dyDescent="0.3">
      <c r="A157"/>
      <c r="B157"/>
      <c r="C157"/>
      <c r="D157"/>
      <c r="E157"/>
      <c r="F157"/>
      <c r="G157"/>
      <c r="H157"/>
      <c r="I157"/>
    </row>
    <row r="158" spans="1:9" x14ac:dyDescent="0.3">
      <c r="A158"/>
      <c r="B158"/>
      <c r="C158"/>
      <c r="D158"/>
      <c r="E158"/>
      <c r="F158"/>
      <c r="G158"/>
      <c r="H158"/>
      <c r="I158"/>
    </row>
    <row r="159" spans="1:9" x14ac:dyDescent="0.3">
      <c r="A159"/>
      <c r="B159"/>
      <c r="C159"/>
      <c r="D159"/>
      <c r="E159"/>
      <c r="F159"/>
      <c r="G159"/>
      <c r="H159"/>
      <c r="I159"/>
    </row>
    <row r="160" spans="1:9" x14ac:dyDescent="0.3">
      <c r="A160"/>
      <c r="B160"/>
      <c r="C160"/>
      <c r="D160"/>
      <c r="E160"/>
      <c r="F160"/>
      <c r="G160"/>
      <c r="H160"/>
      <c r="I160"/>
    </row>
    <row r="161" spans="1:9" x14ac:dyDescent="0.3">
      <c r="A161"/>
      <c r="B161"/>
      <c r="C161"/>
      <c r="D161"/>
      <c r="E161"/>
      <c r="F161"/>
      <c r="G161"/>
      <c r="H161"/>
      <c r="I161"/>
    </row>
    <row r="162" spans="1:9" x14ac:dyDescent="0.3">
      <c r="A162"/>
      <c r="B162"/>
      <c r="C162"/>
      <c r="D162"/>
      <c r="E162"/>
      <c r="F162"/>
      <c r="G162"/>
      <c r="H162"/>
      <c r="I162"/>
    </row>
    <row r="163" spans="1:9" x14ac:dyDescent="0.3">
      <c r="A163"/>
      <c r="B163"/>
      <c r="C163"/>
      <c r="D163"/>
      <c r="E163"/>
      <c r="F163"/>
      <c r="G163"/>
      <c r="H163"/>
      <c r="I163"/>
    </row>
    <row r="164" spans="1:9" x14ac:dyDescent="0.3">
      <c r="A164"/>
      <c r="B164"/>
      <c r="C164"/>
      <c r="D164"/>
      <c r="E164"/>
      <c r="F164"/>
      <c r="G164"/>
      <c r="H164"/>
      <c r="I164"/>
    </row>
    <row r="165" spans="1:9" x14ac:dyDescent="0.3">
      <c r="A165"/>
      <c r="B165"/>
      <c r="C165"/>
      <c r="D165"/>
      <c r="E165"/>
      <c r="F165"/>
      <c r="G165"/>
      <c r="H165"/>
      <c r="I165"/>
    </row>
    <row r="166" spans="1:9" x14ac:dyDescent="0.3">
      <c r="A166"/>
      <c r="B166"/>
      <c r="C166"/>
      <c r="D166"/>
      <c r="E166"/>
      <c r="F166"/>
      <c r="G166"/>
      <c r="H166"/>
      <c r="I166"/>
    </row>
    <row r="167" spans="1:9" x14ac:dyDescent="0.3">
      <c r="A167"/>
      <c r="B167"/>
      <c r="C167"/>
      <c r="D167"/>
      <c r="E167"/>
      <c r="F167"/>
      <c r="G167"/>
      <c r="H167"/>
      <c r="I167"/>
    </row>
    <row r="168" spans="1:9" x14ac:dyDescent="0.3">
      <c r="A168"/>
      <c r="B168"/>
      <c r="C168"/>
      <c r="D168"/>
      <c r="E168"/>
      <c r="F168"/>
      <c r="G168"/>
      <c r="H168"/>
      <c r="I168"/>
    </row>
  </sheetData>
  <mergeCells count="9">
    <mergeCell ref="B33:M35"/>
    <mergeCell ref="A3:L3"/>
    <mergeCell ref="B5:D5"/>
    <mergeCell ref="F5:G5"/>
    <mergeCell ref="A5:A6"/>
    <mergeCell ref="A15:M15"/>
    <mergeCell ref="A20:A21"/>
    <mergeCell ref="B20:C20"/>
    <mergeCell ref="D20:F20"/>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2404-BE6D-47E3-81E3-3BA14A8C64DB}">
  <dimension ref="A1:X54"/>
  <sheetViews>
    <sheetView zoomScaleNormal="100" workbookViewId="0"/>
  </sheetViews>
  <sheetFormatPr defaultColWidth="9.109375" defaultRowHeight="15.6" x14ac:dyDescent="0.3"/>
  <cols>
    <col min="1" max="1" width="7.88671875" style="4" customWidth="1"/>
    <col min="2" max="12" width="11.6640625" style="4" customWidth="1"/>
    <col min="13" max="13" width="11.6640625" customWidth="1"/>
    <col min="25" max="16384" width="9.109375" style="4"/>
  </cols>
  <sheetData>
    <row r="1" spans="1:24" ht="15.75" customHeight="1" x14ac:dyDescent="0.35">
      <c r="A1" s="1" t="s">
        <v>50</v>
      </c>
      <c r="B1" s="2"/>
      <c r="C1" s="9" t="s">
        <v>0</v>
      </c>
      <c r="D1" s="2"/>
      <c r="E1" s="2"/>
      <c r="F1" s="2"/>
      <c r="G1" s="2"/>
      <c r="H1" s="2"/>
      <c r="I1" s="2"/>
      <c r="J1" s="2"/>
      <c r="K1" s="2"/>
      <c r="L1" s="3"/>
      <c r="M1" s="3"/>
    </row>
    <row r="2" spans="1:24" ht="15.75" customHeight="1" x14ac:dyDescent="0.3">
      <c r="A2" s="5"/>
      <c r="B2" s="5"/>
      <c r="C2" s="5"/>
      <c r="D2" s="5"/>
      <c r="E2" s="5"/>
      <c r="F2" s="5"/>
      <c r="G2" s="5"/>
      <c r="H2" s="5"/>
      <c r="I2" s="5"/>
      <c r="J2" s="5"/>
      <c r="K2" s="5"/>
      <c r="L2" s="8"/>
      <c r="M2" s="3"/>
    </row>
    <row r="3" spans="1:24" x14ac:dyDescent="0.3">
      <c r="A3" s="250" t="s">
        <v>182</v>
      </c>
      <c r="B3" s="250"/>
      <c r="C3" s="250"/>
      <c r="D3" s="250"/>
      <c r="E3" s="250"/>
      <c r="F3" s="250"/>
      <c r="G3" s="250"/>
      <c r="H3" s="250"/>
      <c r="I3" s="250"/>
      <c r="J3" s="250"/>
      <c r="K3" s="250"/>
      <c r="L3" s="250"/>
      <c r="M3" s="3"/>
    </row>
    <row r="4" spans="1:24" x14ac:dyDescent="0.3">
      <c r="A4" s="5"/>
      <c r="B4" s="6"/>
      <c r="C4" s="6"/>
      <c r="D4" s="6"/>
      <c r="E4" s="6"/>
      <c r="F4" s="6"/>
      <c r="G4" s="6"/>
      <c r="H4" s="6"/>
      <c r="I4" s="6"/>
      <c r="J4" s="6"/>
      <c r="K4" s="6"/>
      <c r="L4" s="6"/>
      <c r="M4" s="3"/>
    </row>
    <row r="5" spans="1:24" x14ac:dyDescent="0.3">
      <c r="A5" s="12" t="s">
        <v>3</v>
      </c>
      <c r="B5" s="242" t="s">
        <v>170</v>
      </c>
      <c r="C5" s="242"/>
      <c r="D5" s="242"/>
      <c r="E5" s="242"/>
      <c r="F5" s="242"/>
      <c r="G5" s="242"/>
      <c r="H5" s="242"/>
      <c r="I5" s="242"/>
      <c r="J5" s="242"/>
      <c r="K5" s="242"/>
      <c r="L5" s="242"/>
      <c r="M5" s="3"/>
    </row>
    <row r="6" spans="1:24" ht="16.2" x14ac:dyDescent="0.35">
      <c r="A6" s="7"/>
      <c r="B6" s="9" t="s">
        <v>1</v>
      </c>
      <c r="C6" s="47"/>
      <c r="D6" s="47"/>
      <c r="E6" s="47"/>
      <c r="F6" s="47"/>
      <c r="G6" s="47"/>
      <c r="H6" s="47"/>
      <c r="I6" s="47"/>
      <c r="J6" s="47"/>
      <c r="K6" s="47"/>
      <c r="L6" s="47"/>
      <c r="M6" s="3"/>
    </row>
    <row r="7" spans="1:24" x14ac:dyDescent="0.3">
      <c r="B7" s="235" t="s">
        <v>416</v>
      </c>
      <c r="C7" s="229"/>
      <c r="D7" s="229"/>
      <c r="E7" s="229"/>
      <c r="F7" s="229"/>
      <c r="G7" s="229"/>
      <c r="H7" s="229"/>
      <c r="I7" s="229"/>
      <c r="J7" s="229"/>
      <c r="K7" s="229"/>
      <c r="L7" s="229"/>
      <c r="M7" s="229"/>
    </row>
    <row r="8" spans="1:24" x14ac:dyDescent="0.3">
      <c r="B8" s="229"/>
      <c r="C8" s="229"/>
      <c r="D8" s="229"/>
      <c r="E8" s="229"/>
      <c r="F8" s="229"/>
      <c r="G8" s="229"/>
      <c r="H8" s="229"/>
      <c r="I8" s="229"/>
      <c r="J8" s="229"/>
      <c r="K8" s="229"/>
      <c r="L8" s="229"/>
      <c r="M8" s="229"/>
    </row>
    <row r="9" spans="1:24" x14ac:dyDescent="0.3">
      <c r="B9" s="229"/>
      <c r="C9" s="229"/>
      <c r="D9" s="229"/>
      <c r="E9" s="229"/>
      <c r="F9" s="229"/>
      <c r="G9" s="229"/>
      <c r="H9" s="229"/>
      <c r="I9" s="229"/>
      <c r="J9" s="229"/>
      <c r="K9" s="229"/>
      <c r="L9" s="229"/>
      <c r="M9" s="229"/>
    </row>
    <row r="10" spans="1:24" x14ac:dyDescent="0.3">
      <c r="A10" s="12" t="s">
        <v>2</v>
      </c>
      <c r="B10" s="242" t="s">
        <v>171</v>
      </c>
      <c r="C10" s="242"/>
      <c r="D10" s="242"/>
      <c r="E10" s="242"/>
      <c r="F10" s="242"/>
      <c r="G10" s="242"/>
      <c r="H10" s="242"/>
      <c r="I10" s="242"/>
      <c r="J10" s="242"/>
      <c r="K10" s="242"/>
      <c r="L10" s="242"/>
      <c r="M10" s="3"/>
      <c r="N10" s="4"/>
      <c r="O10" s="4"/>
      <c r="P10" s="4"/>
      <c r="Q10" s="4"/>
      <c r="R10" s="4"/>
      <c r="S10" s="4"/>
      <c r="T10" s="4"/>
      <c r="U10" s="4"/>
      <c r="V10" s="4"/>
      <c r="W10" s="4"/>
      <c r="X10" s="4"/>
    </row>
    <row r="11" spans="1:24" ht="15.6" customHeight="1" x14ac:dyDescent="0.35">
      <c r="A11" s="7"/>
      <c r="B11" s="9" t="s">
        <v>1</v>
      </c>
      <c r="C11" s="47"/>
      <c r="D11" s="47"/>
      <c r="E11" s="47"/>
      <c r="F11" s="47"/>
      <c r="G11" s="47"/>
      <c r="H11" s="47"/>
      <c r="I11" s="47"/>
      <c r="J11" s="47"/>
      <c r="K11" s="47"/>
      <c r="L11" s="47"/>
      <c r="M11" s="3"/>
      <c r="N11" s="4"/>
      <c r="O11" s="4"/>
      <c r="P11" s="4"/>
      <c r="Q11" s="4"/>
      <c r="R11" s="4"/>
      <c r="S11" s="4"/>
      <c r="T11" s="4"/>
      <c r="U11" s="4"/>
      <c r="V11" s="4"/>
      <c r="W11" s="4"/>
      <c r="X11" s="4"/>
    </row>
    <row r="12" spans="1:24" x14ac:dyDescent="0.3">
      <c r="B12" s="235" t="s">
        <v>381</v>
      </c>
      <c r="C12" s="229"/>
      <c r="D12" s="229"/>
      <c r="E12" s="229"/>
      <c r="F12" s="229"/>
      <c r="G12" s="229"/>
      <c r="H12" s="229"/>
      <c r="I12" s="229"/>
      <c r="J12" s="229"/>
      <c r="K12" s="229"/>
      <c r="L12" s="229"/>
      <c r="M12" s="229"/>
      <c r="N12" s="4"/>
      <c r="O12" s="4"/>
      <c r="P12" s="4"/>
      <c r="Q12" s="4"/>
      <c r="R12" s="4"/>
      <c r="S12" s="4"/>
      <c r="T12" s="4"/>
      <c r="U12" s="4"/>
      <c r="V12" s="4"/>
      <c r="W12" s="4"/>
      <c r="X12" s="4"/>
    </row>
    <row r="13" spans="1:24" x14ac:dyDescent="0.3">
      <c r="B13" s="229"/>
      <c r="C13" s="229"/>
      <c r="D13" s="229"/>
      <c r="E13" s="229"/>
      <c r="F13" s="229"/>
      <c r="G13" s="229"/>
      <c r="H13" s="229"/>
      <c r="I13" s="229"/>
      <c r="J13" s="229"/>
      <c r="K13" s="229"/>
      <c r="L13" s="229"/>
      <c r="M13" s="229"/>
      <c r="N13" s="4"/>
      <c r="O13" s="4"/>
      <c r="P13" s="4"/>
      <c r="Q13" s="4"/>
      <c r="R13" s="4"/>
      <c r="S13" s="4"/>
      <c r="T13" s="4"/>
      <c r="U13" s="4"/>
      <c r="V13" s="4"/>
      <c r="W13" s="4"/>
      <c r="X13" s="4"/>
    </row>
    <row r="14" spans="1:24" x14ac:dyDescent="0.3">
      <c r="B14" s="229"/>
      <c r="C14" s="229"/>
      <c r="D14" s="229"/>
      <c r="E14" s="229"/>
      <c r="F14" s="229"/>
      <c r="G14" s="229"/>
      <c r="H14" s="229"/>
      <c r="I14" s="229"/>
      <c r="J14" s="229"/>
      <c r="K14" s="229"/>
      <c r="L14" s="229"/>
      <c r="M14" s="229"/>
      <c r="N14" s="4"/>
      <c r="O14" s="4"/>
      <c r="P14" s="4"/>
      <c r="Q14" s="4"/>
      <c r="R14" s="4"/>
      <c r="S14" s="4"/>
      <c r="T14" s="4"/>
      <c r="U14" s="4"/>
      <c r="V14" s="4"/>
      <c r="W14" s="4"/>
      <c r="X14" s="4"/>
    </row>
    <row r="15" spans="1:24" x14ac:dyDescent="0.3">
      <c r="A15" s="242" t="s">
        <v>229</v>
      </c>
      <c r="B15" s="242"/>
      <c r="C15" s="242"/>
      <c r="D15" s="242"/>
      <c r="E15" s="242"/>
      <c r="F15" s="242"/>
      <c r="G15" s="242"/>
      <c r="H15" s="242"/>
      <c r="I15" s="242"/>
      <c r="J15" s="242"/>
      <c r="K15" s="242"/>
      <c r="L15" s="242"/>
      <c r="M15" s="242"/>
      <c r="N15" s="4"/>
      <c r="O15" s="4"/>
      <c r="P15" s="4"/>
      <c r="Q15" s="4"/>
      <c r="R15" s="4"/>
      <c r="S15" s="4"/>
      <c r="T15" s="4"/>
      <c r="U15" s="4"/>
      <c r="V15" s="4"/>
      <c r="W15" s="4"/>
      <c r="X15" s="4"/>
    </row>
    <row r="16" spans="1:24" x14ac:dyDescent="0.3">
      <c r="A16" s="242"/>
      <c r="B16" s="242"/>
      <c r="C16" s="242"/>
      <c r="D16" s="242"/>
      <c r="E16" s="242"/>
      <c r="F16" s="242"/>
      <c r="G16" s="242"/>
      <c r="H16" s="242"/>
      <c r="I16" s="242"/>
      <c r="J16" s="242"/>
      <c r="K16" s="242"/>
      <c r="L16" s="242"/>
      <c r="M16" s="242"/>
      <c r="N16" s="4"/>
      <c r="O16" s="4"/>
      <c r="P16" s="4"/>
      <c r="Q16" s="4"/>
      <c r="R16" s="4"/>
      <c r="S16" s="4"/>
      <c r="T16" s="4"/>
      <c r="U16" s="4"/>
      <c r="V16" s="4"/>
      <c r="W16" s="4"/>
      <c r="X16" s="4"/>
    </row>
    <row r="17" spans="1:24" x14ac:dyDescent="0.3">
      <c r="A17" s="242"/>
      <c r="B17" s="242"/>
      <c r="C17" s="242"/>
      <c r="D17" s="242"/>
      <c r="E17" s="242"/>
      <c r="F17" s="242"/>
      <c r="G17" s="242"/>
      <c r="H17" s="242"/>
      <c r="I17" s="242"/>
      <c r="J17" s="242"/>
      <c r="K17" s="242"/>
      <c r="L17" s="242"/>
      <c r="M17" s="242"/>
      <c r="N17" s="4"/>
      <c r="O17" s="4"/>
      <c r="P17" s="4"/>
      <c r="Q17" s="4"/>
      <c r="R17" s="4"/>
      <c r="S17" s="4"/>
      <c r="T17" s="4"/>
      <c r="U17" s="4"/>
      <c r="V17" s="4"/>
      <c r="W17" s="4"/>
      <c r="X17" s="4"/>
    </row>
    <row r="18" spans="1:24" ht="15.6" customHeight="1" x14ac:dyDescent="0.3">
      <c r="A18" s="242" t="s">
        <v>230</v>
      </c>
      <c r="B18" s="242"/>
      <c r="C18" s="242"/>
      <c r="D18" s="242"/>
      <c r="E18" s="242"/>
      <c r="F18" s="242"/>
      <c r="G18" s="242"/>
      <c r="H18" s="242"/>
      <c r="I18" s="242"/>
      <c r="J18" s="242"/>
      <c r="K18" s="242"/>
      <c r="L18" s="242"/>
      <c r="M18" s="242"/>
      <c r="N18" s="4"/>
      <c r="O18" s="4"/>
      <c r="P18" s="4"/>
      <c r="Q18" s="4"/>
      <c r="R18" s="4"/>
      <c r="S18" s="4"/>
      <c r="T18" s="4"/>
      <c r="U18" s="4"/>
      <c r="V18" s="4"/>
      <c r="W18" s="4"/>
      <c r="X18" s="4"/>
    </row>
    <row r="19" spans="1:24" x14ac:dyDescent="0.3">
      <c r="A19" s="242"/>
      <c r="B19" s="242"/>
      <c r="C19" s="242"/>
      <c r="D19" s="242"/>
      <c r="E19" s="242"/>
      <c r="F19" s="242"/>
      <c r="G19" s="242"/>
      <c r="H19" s="242"/>
      <c r="I19" s="242"/>
      <c r="J19" s="242"/>
      <c r="K19" s="242"/>
      <c r="L19" s="242"/>
      <c r="M19" s="242"/>
      <c r="N19" s="4"/>
      <c r="O19" s="4"/>
      <c r="P19" s="4"/>
      <c r="Q19" s="4"/>
      <c r="R19" s="4"/>
      <c r="S19" s="4"/>
      <c r="T19" s="4"/>
      <c r="U19" s="4"/>
      <c r="V19" s="4"/>
      <c r="W19" s="4"/>
      <c r="X19" s="4"/>
    </row>
    <row r="20" spans="1:24" x14ac:dyDescent="0.3">
      <c r="A20" s="21"/>
      <c r="B20" s="21"/>
      <c r="C20" s="21"/>
      <c r="D20" s="21"/>
      <c r="E20" s="21"/>
      <c r="F20" s="21"/>
      <c r="G20" s="21"/>
      <c r="H20" s="21"/>
      <c r="I20" s="21"/>
      <c r="J20" s="21"/>
      <c r="K20" s="21"/>
      <c r="L20" s="21"/>
      <c r="M20" s="21"/>
      <c r="N20" s="4"/>
      <c r="O20" s="4"/>
      <c r="P20" s="4"/>
      <c r="Q20" s="4"/>
      <c r="R20" s="4"/>
      <c r="S20" s="4"/>
      <c r="T20" s="4"/>
      <c r="U20" s="4"/>
      <c r="V20" s="4"/>
      <c r="W20" s="4"/>
      <c r="X20" s="4"/>
    </row>
    <row r="21" spans="1:24" x14ac:dyDescent="0.3">
      <c r="A21" s="7" t="s">
        <v>172</v>
      </c>
      <c r="B21" s="7"/>
      <c r="C21" s="7"/>
      <c r="D21" s="7"/>
      <c r="E21" s="7"/>
      <c r="F21" s="7"/>
      <c r="G21" s="7"/>
      <c r="H21" s="7"/>
      <c r="I21" s="7"/>
      <c r="J21" s="8"/>
      <c r="K21" s="7"/>
      <c r="L21" s="8"/>
      <c r="M21" s="3"/>
      <c r="N21" s="4"/>
      <c r="O21" s="4"/>
      <c r="P21" s="4"/>
      <c r="Q21" s="4"/>
      <c r="R21" s="4"/>
      <c r="S21" s="4"/>
      <c r="T21" s="4"/>
      <c r="U21" s="4"/>
      <c r="V21" s="4"/>
      <c r="W21" s="4"/>
      <c r="X21" s="4"/>
    </row>
    <row r="22" spans="1:24" x14ac:dyDescent="0.3">
      <c r="A22" s="7"/>
      <c r="B22" s="13" t="s">
        <v>177</v>
      </c>
      <c r="C22" s="7"/>
      <c r="D22" s="7"/>
      <c r="E22" s="7"/>
      <c r="F22" s="7"/>
      <c r="G22" s="7"/>
      <c r="H22" s="7"/>
      <c r="I22" s="7"/>
      <c r="J22" s="8"/>
      <c r="K22" s="7"/>
      <c r="L22" s="8"/>
      <c r="M22" s="3"/>
      <c r="N22" s="4"/>
      <c r="O22" s="4"/>
      <c r="P22" s="4"/>
      <c r="Q22" s="4"/>
      <c r="R22" s="4"/>
      <c r="S22" s="4"/>
      <c r="T22" s="4"/>
      <c r="U22" s="4"/>
      <c r="V22" s="4"/>
      <c r="W22" s="4"/>
      <c r="X22" s="4"/>
    </row>
    <row r="23" spans="1:24" x14ac:dyDescent="0.3">
      <c r="A23" s="7"/>
      <c r="B23" s="102">
        <v>0.4</v>
      </c>
      <c r="C23" s="103" t="s">
        <v>173</v>
      </c>
      <c r="D23" s="104"/>
      <c r="E23" s="105"/>
      <c r="F23" s="7"/>
      <c r="G23" s="7"/>
      <c r="H23" s="7"/>
      <c r="I23" s="7"/>
      <c r="J23" s="8"/>
      <c r="K23" s="7"/>
      <c r="L23" s="8"/>
      <c r="M23" s="3"/>
      <c r="N23" s="4"/>
      <c r="O23" s="4"/>
      <c r="P23" s="4"/>
      <c r="Q23" s="4"/>
      <c r="R23" s="4"/>
      <c r="S23" s="4"/>
      <c r="T23" s="4"/>
      <c r="U23" s="4"/>
      <c r="V23" s="4"/>
      <c r="W23" s="4"/>
      <c r="X23" s="4"/>
    </row>
    <row r="24" spans="1:24" x14ac:dyDescent="0.3">
      <c r="A24" s="7"/>
      <c r="B24" s="102">
        <v>0.25</v>
      </c>
      <c r="C24" s="103" t="s">
        <v>174</v>
      </c>
      <c r="D24" s="104"/>
      <c r="E24" s="105"/>
      <c r="F24" s="7"/>
      <c r="G24" s="7"/>
      <c r="H24" s="7"/>
      <c r="I24" s="7"/>
      <c r="J24" s="8"/>
      <c r="K24" s="7"/>
      <c r="L24" s="8"/>
      <c r="M24" s="3"/>
      <c r="N24" s="4"/>
      <c r="O24" s="4"/>
      <c r="P24" s="4"/>
      <c r="Q24" s="4"/>
      <c r="R24" s="4"/>
      <c r="S24" s="4"/>
      <c r="T24" s="4"/>
      <c r="U24" s="4"/>
      <c r="V24" s="4"/>
      <c r="W24" s="4"/>
      <c r="X24" s="4"/>
    </row>
    <row r="25" spans="1:24" x14ac:dyDescent="0.3">
      <c r="A25" s="7"/>
      <c r="B25" s="102">
        <v>0.2</v>
      </c>
      <c r="C25" s="103" t="s">
        <v>175</v>
      </c>
      <c r="D25" s="104"/>
      <c r="E25" s="105"/>
      <c r="F25" s="7"/>
      <c r="G25" s="7"/>
      <c r="H25" s="7"/>
      <c r="I25" s="7"/>
      <c r="J25" s="8"/>
      <c r="K25" s="7"/>
      <c r="L25" s="8"/>
      <c r="M25" s="3"/>
      <c r="N25" s="4"/>
      <c r="O25" s="4"/>
      <c r="P25" s="4"/>
      <c r="Q25" s="4"/>
      <c r="R25" s="4"/>
      <c r="S25" s="4"/>
      <c r="T25" s="4"/>
      <c r="U25" s="4"/>
      <c r="V25" s="4"/>
      <c r="W25" s="4"/>
      <c r="X25" s="4"/>
    </row>
    <row r="26" spans="1:24" x14ac:dyDescent="0.3">
      <c r="A26" s="7"/>
      <c r="B26" s="102">
        <v>0.15</v>
      </c>
      <c r="C26" s="103" t="s">
        <v>176</v>
      </c>
      <c r="D26" s="104"/>
      <c r="E26" s="105"/>
      <c r="F26" s="7"/>
      <c r="G26" s="7"/>
      <c r="H26" s="7"/>
      <c r="I26" s="7"/>
      <c r="J26" s="8"/>
      <c r="K26" s="7"/>
      <c r="L26" s="8"/>
      <c r="M26" s="3"/>
      <c r="N26" s="4"/>
      <c r="O26" s="4"/>
      <c r="P26" s="4"/>
      <c r="Q26" s="4"/>
      <c r="R26" s="4"/>
      <c r="S26" s="4"/>
      <c r="T26" s="4"/>
      <c r="U26" s="4"/>
      <c r="V26" s="4"/>
      <c r="W26" s="4"/>
      <c r="X26" s="4"/>
    </row>
    <row r="27" spans="1:24" x14ac:dyDescent="0.3">
      <c r="A27" s="7"/>
      <c r="B27" s="7"/>
      <c r="C27" s="7"/>
      <c r="D27" s="7"/>
      <c r="E27" s="7"/>
      <c r="F27" s="7"/>
      <c r="G27" s="7"/>
      <c r="H27" s="7"/>
      <c r="I27" s="7"/>
      <c r="J27" s="8"/>
      <c r="K27" s="7"/>
      <c r="L27" s="8"/>
      <c r="M27" s="3"/>
      <c r="N27" s="4"/>
      <c r="O27" s="4"/>
      <c r="P27" s="4"/>
      <c r="Q27" s="4"/>
      <c r="R27" s="4"/>
      <c r="S27" s="4"/>
      <c r="T27" s="4"/>
      <c r="U27" s="4"/>
      <c r="V27" s="4"/>
      <c r="W27" s="4"/>
      <c r="X27" s="4"/>
    </row>
    <row r="28" spans="1:24" x14ac:dyDescent="0.3">
      <c r="A28" s="7"/>
      <c r="B28" s="13" t="s">
        <v>178</v>
      </c>
      <c r="C28" s="7"/>
      <c r="D28" s="7"/>
      <c r="E28" s="7"/>
      <c r="F28" s="7"/>
      <c r="G28" s="7"/>
      <c r="H28" s="7"/>
      <c r="I28" s="7"/>
      <c r="J28" s="8"/>
      <c r="K28" s="69" t="s">
        <v>179</v>
      </c>
      <c r="L28" s="116">
        <v>8.5000000000000006E-2</v>
      </c>
      <c r="M28" s="3"/>
      <c r="N28" s="4"/>
      <c r="O28" s="4"/>
      <c r="P28" s="4"/>
      <c r="Q28" s="4"/>
      <c r="R28" s="4"/>
      <c r="S28" s="4"/>
      <c r="T28" s="4"/>
      <c r="U28" s="4"/>
      <c r="V28" s="4"/>
      <c r="W28" s="4"/>
      <c r="X28" s="4"/>
    </row>
    <row r="29" spans="1:24" x14ac:dyDescent="0.3">
      <c r="A29" s="7"/>
      <c r="B29" s="7"/>
      <c r="C29" s="7"/>
      <c r="D29" s="7"/>
      <c r="E29" s="7"/>
      <c r="F29" s="7"/>
      <c r="G29" s="7"/>
      <c r="H29" s="7"/>
      <c r="I29" s="7"/>
      <c r="J29" s="8"/>
      <c r="K29" s="7"/>
      <c r="L29" s="8"/>
      <c r="M29" s="3"/>
      <c r="N29" s="4"/>
      <c r="O29" s="4"/>
      <c r="P29" s="4"/>
      <c r="Q29" s="4"/>
      <c r="R29" s="4"/>
      <c r="S29" s="4"/>
      <c r="T29" s="4"/>
      <c r="U29" s="4"/>
      <c r="V29" s="4"/>
      <c r="W29" s="4"/>
      <c r="X29" s="4"/>
    </row>
    <row r="30" spans="1:24" x14ac:dyDescent="0.3">
      <c r="A30" s="7" t="s">
        <v>4</v>
      </c>
      <c r="B30" s="7" t="s">
        <v>180</v>
      </c>
      <c r="C30" s="7"/>
      <c r="D30" s="7"/>
      <c r="E30" s="7"/>
      <c r="F30" s="7"/>
      <c r="G30" s="7"/>
      <c r="H30" s="7"/>
      <c r="I30" s="8"/>
      <c r="J30" s="8"/>
      <c r="K30" s="8"/>
      <c r="L30" s="8"/>
      <c r="M30" s="3"/>
      <c r="N30" s="4"/>
      <c r="O30" s="4"/>
      <c r="P30" s="4"/>
      <c r="Q30" s="4"/>
      <c r="R30" s="4"/>
      <c r="S30" s="4"/>
      <c r="T30" s="4"/>
      <c r="U30" s="4"/>
      <c r="V30" s="4"/>
      <c r="W30" s="4"/>
      <c r="X30" s="4"/>
    </row>
    <row r="31" spans="1:24" ht="16.2" x14ac:dyDescent="0.35">
      <c r="A31" s="7"/>
      <c r="B31" s="9" t="s">
        <v>1</v>
      </c>
      <c r="C31" s="47"/>
      <c r="D31" s="47"/>
      <c r="E31" s="47"/>
      <c r="F31" s="47"/>
      <c r="G31" s="47"/>
      <c r="H31" s="47"/>
      <c r="I31" s="47"/>
      <c r="J31" s="47"/>
      <c r="K31" s="47"/>
      <c r="L31" s="47"/>
      <c r="M31" s="3"/>
      <c r="N31" s="4"/>
      <c r="O31" s="4"/>
      <c r="P31" s="4"/>
      <c r="Q31" s="4"/>
      <c r="R31" s="4"/>
      <c r="S31" s="4"/>
      <c r="T31" s="4"/>
      <c r="U31" s="4"/>
      <c r="V31" s="4"/>
      <c r="W31" s="4"/>
      <c r="X31" s="4"/>
    </row>
    <row r="32" spans="1:24" x14ac:dyDescent="0.3">
      <c r="M32" s="4"/>
    </row>
    <row r="33" spans="1:16" x14ac:dyDescent="0.3">
      <c r="B33" s="4" t="s">
        <v>382</v>
      </c>
      <c r="C33" s="197">
        <f>1+L28</f>
        <v>1.085</v>
      </c>
      <c r="E33" s="4" t="s">
        <v>392</v>
      </c>
    </row>
    <row r="34" spans="1:16" x14ac:dyDescent="0.3">
      <c r="C34" s="197"/>
    </row>
    <row r="35" spans="1:16" x14ac:dyDescent="0.3">
      <c r="C35" s="4" t="s">
        <v>391</v>
      </c>
      <c r="M35" s="4"/>
    </row>
    <row r="36" spans="1:16" x14ac:dyDescent="0.3">
      <c r="C36" s="174" t="s">
        <v>390</v>
      </c>
      <c r="D36" s="126" t="s">
        <v>383</v>
      </c>
      <c r="E36" s="126" t="s">
        <v>384</v>
      </c>
      <c r="F36" s="126" t="s">
        <v>385</v>
      </c>
      <c r="G36" s="126" t="s">
        <v>386</v>
      </c>
      <c r="H36" s="126" t="s">
        <v>387</v>
      </c>
      <c r="I36" s="126" t="s">
        <v>388</v>
      </c>
      <c r="J36" s="126" t="s">
        <v>389</v>
      </c>
      <c r="M36" s="4"/>
    </row>
    <row r="37" spans="1:16" x14ac:dyDescent="0.3">
      <c r="C37" s="4">
        <v>0</v>
      </c>
      <c r="D37" s="195">
        <f>100*B23</f>
        <v>40</v>
      </c>
      <c r="E37" s="198">
        <f>D37*$C$33</f>
        <v>43.4</v>
      </c>
      <c r="F37" s="198">
        <f t="shared" ref="F37:G37" si="0">E37*$C$33</f>
        <v>47.088999999999999</v>
      </c>
      <c r="G37" s="198">
        <f t="shared" si="0"/>
        <v>51.091564999999996</v>
      </c>
      <c r="L37" s="195"/>
      <c r="M37" s="195"/>
    </row>
    <row r="38" spans="1:16" x14ac:dyDescent="0.3">
      <c r="C38" s="4">
        <v>1</v>
      </c>
      <c r="D38" s="195">
        <f t="shared" ref="D38:D40" si="1">100*B24</f>
        <v>25</v>
      </c>
      <c r="E38" s="198">
        <f t="shared" ref="E38:F40" si="2">D38*$C$33</f>
        <v>27.125</v>
      </c>
      <c r="F38" s="198">
        <f t="shared" si="2"/>
        <v>29.430624999999999</v>
      </c>
      <c r="G38" s="198">
        <f t="shared" ref="G38:J40" si="3">F38*$C$33</f>
        <v>31.932228124999998</v>
      </c>
      <c r="H38" s="198">
        <f t="shared" si="3"/>
        <v>34.646467515624998</v>
      </c>
      <c r="L38" s="195"/>
      <c r="M38" s="198"/>
      <c r="N38" s="198"/>
      <c r="O38" s="4"/>
      <c r="P38" s="4"/>
    </row>
    <row r="39" spans="1:16" x14ac:dyDescent="0.3">
      <c r="C39" s="4">
        <v>2</v>
      </c>
      <c r="D39" s="195">
        <f t="shared" si="1"/>
        <v>20</v>
      </c>
      <c r="E39" s="198">
        <f t="shared" si="2"/>
        <v>21.7</v>
      </c>
      <c r="F39" s="198">
        <f t="shared" si="2"/>
        <v>23.544499999999999</v>
      </c>
      <c r="G39" s="198">
        <f t="shared" ref="G39" si="4">F39*$C$33</f>
        <v>25.545782499999998</v>
      </c>
      <c r="H39" s="198">
        <f t="shared" si="3"/>
        <v>27.717174012499996</v>
      </c>
      <c r="I39" s="198">
        <f t="shared" si="3"/>
        <v>30.073133803562495</v>
      </c>
      <c r="L39" s="195"/>
      <c r="M39" s="198"/>
      <c r="N39" s="198"/>
      <c r="O39" s="198"/>
      <c r="P39" s="4"/>
    </row>
    <row r="40" spans="1:16" x14ac:dyDescent="0.3">
      <c r="C40" s="4">
        <v>3</v>
      </c>
      <c r="D40" s="195">
        <f t="shared" si="1"/>
        <v>15</v>
      </c>
      <c r="E40" s="198">
        <f t="shared" si="2"/>
        <v>16.274999999999999</v>
      </c>
      <c r="F40" s="198">
        <f t="shared" si="2"/>
        <v>17.658374999999999</v>
      </c>
      <c r="G40" s="198">
        <f t="shared" ref="G40" si="5">F40*$C$33</f>
        <v>19.159336874999997</v>
      </c>
      <c r="H40" s="198">
        <f t="shared" si="3"/>
        <v>20.787880509374997</v>
      </c>
      <c r="I40" s="198">
        <f t="shared" si="3"/>
        <v>22.55485035267187</v>
      </c>
      <c r="J40" s="198">
        <f t="shared" si="3"/>
        <v>24.47201263264898</v>
      </c>
      <c r="L40" s="195"/>
      <c r="M40" s="198"/>
      <c r="N40" s="198"/>
      <c r="O40" s="198"/>
      <c r="P40" s="198"/>
    </row>
    <row r="41" spans="1:16" x14ac:dyDescent="0.3">
      <c r="M41" s="4"/>
    </row>
    <row r="42" spans="1:16" x14ac:dyDescent="0.3">
      <c r="D42" s="126" t="s">
        <v>393</v>
      </c>
      <c r="M42" s="4"/>
    </row>
    <row r="43" spans="1:16" x14ac:dyDescent="0.3">
      <c r="C43" s="4" t="s">
        <v>386</v>
      </c>
      <c r="D43" s="198">
        <f>SUM(G37:G40)</f>
        <v>127.72891249999999</v>
      </c>
      <c r="M43" s="198"/>
    </row>
    <row r="44" spans="1:16" x14ac:dyDescent="0.3">
      <c r="C44" s="4" t="s">
        <v>394</v>
      </c>
      <c r="D44" s="198">
        <f>G37+H38+I39+J40</f>
        <v>140.28317895183648</v>
      </c>
      <c r="M44" s="198"/>
    </row>
    <row r="45" spans="1:16" x14ac:dyDescent="0.3">
      <c r="D45" s="198"/>
      <c r="M45" s="4"/>
    </row>
    <row r="46" spans="1:16" x14ac:dyDescent="0.3">
      <c r="C46" s="4" t="s">
        <v>417</v>
      </c>
      <c r="F46" s="131">
        <f>D43/D44</f>
        <v>0.91050768491533296</v>
      </c>
      <c r="G46" s="4" t="s">
        <v>418</v>
      </c>
      <c r="M46" s="4"/>
    </row>
    <row r="47" spans="1:16" x14ac:dyDescent="0.3">
      <c r="M47" s="4"/>
    </row>
    <row r="48" spans="1:16" ht="31.2" customHeight="1" x14ac:dyDescent="0.3">
      <c r="A48" s="242" t="s">
        <v>246</v>
      </c>
      <c r="B48" s="242"/>
      <c r="C48" s="242"/>
      <c r="D48" s="242"/>
      <c r="E48" s="242"/>
      <c r="F48" s="242"/>
      <c r="G48" s="242"/>
      <c r="H48" s="242"/>
      <c r="I48" s="242"/>
      <c r="J48" s="242"/>
      <c r="K48" s="242"/>
      <c r="L48" s="242"/>
      <c r="M48" s="242"/>
    </row>
    <row r="49" spans="1:13" x14ac:dyDescent="0.3">
      <c r="A49" s="21"/>
      <c r="B49" s="21"/>
      <c r="C49" s="21"/>
      <c r="D49" s="21"/>
      <c r="E49" s="21"/>
      <c r="F49" s="21"/>
      <c r="G49" s="21"/>
      <c r="H49" s="21"/>
      <c r="I49" s="21"/>
      <c r="J49" s="21"/>
      <c r="K49" s="21"/>
      <c r="L49" s="21"/>
      <c r="M49" s="21"/>
    </row>
    <row r="50" spans="1:13" ht="31.2" customHeight="1" x14ac:dyDescent="0.3">
      <c r="A50" s="106" t="s">
        <v>9</v>
      </c>
      <c r="B50" s="283" t="s">
        <v>181</v>
      </c>
      <c r="C50" s="283"/>
      <c r="D50" s="283"/>
      <c r="E50" s="283"/>
      <c r="F50" s="283"/>
      <c r="G50" s="283"/>
      <c r="H50" s="283"/>
      <c r="I50" s="283"/>
      <c r="J50" s="283"/>
      <c r="K50" s="283"/>
      <c r="L50" s="283"/>
      <c r="M50" s="283"/>
    </row>
    <row r="51" spans="1:13" ht="16.2" x14ac:dyDescent="0.35">
      <c r="A51" s="7"/>
      <c r="B51" s="9" t="s">
        <v>1</v>
      </c>
      <c r="C51" s="47"/>
      <c r="D51" s="47"/>
      <c r="E51" s="47"/>
      <c r="F51" s="47"/>
      <c r="G51" s="47"/>
      <c r="H51" s="47"/>
      <c r="I51" s="47"/>
      <c r="J51" s="47"/>
      <c r="K51" s="47"/>
      <c r="L51" s="47"/>
      <c r="M51" s="3"/>
    </row>
    <row r="52" spans="1:13" x14ac:dyDescent="0.3">
      <c r="B52" s="235" t="s">
        <v>419</v>
      </c>
      <c r="C52" s="235"/>
      <c r="D52" s="235"/>
      <c r="E52" s="235"/>
      <c r="F52" s="235"/>
      <c r="G52" s="235"/>
      <c r="H52" s="235"/>
      <c r="I52" s="235"/>
      <c r="J52" s="235"/>
      <c r="K52" s="235"/>
      <c r="L52" s="235"/>
      <c r="M52" s="235"/>
    </row>
    <row r="53" spans="1:13" x14ac:dyDescent="0.3">
      <c r="B53" s="235"/>
      <c r="C53" s="235"/>
      <c r="D53" s="235"/>
      <c r="E53" s="235"/>
      <c r="F53" s="235"/>
      <c r="G53" s="235"/>
      <c r="H53" s="235"/>
      <c r="I53" s="235"/>
      <c r="J53" s="235"/>
      <c r="K53" s="235"/>
      <c r="L53" s="235"/>
      <c r="M53" s="235"/>
    </row>
    <row r="54" spans="1:13" x14ac:dyDescent="0.3">
      <c r="B54" s="235"/>
      <c r="C54" s="235"/>
      <c r="D54" s="235"/>
      <c r="E54" s="235"/>
      <c r="F54" s="235"/>
      <c r="G54" s="235"/>
      <c r="H54" s="235"/>
      <c r="I54" s="235"/>
      <c r="J54" s="235"/>
      <c r="K54" s="235"/>
      <c r="L54" s="235"/>
      <c r="M54" s="235"/>
    </row>
  </sheetData>
  <mergeCells count="10">
    <mergeCell ref="B50:M50"/>
    <mergeCell ref="B52:M54"/>
    <mergeCell ref="B5:L5"/>
    <mergeCell ref="A3:L3"/>
    <mergeCell ref="B10:L10"/>
    <mergeCell ref="A15:M17"/>
    <mergeCell ref="A18:M19"/>
    <mergeCell ref="A48:M48"/>
    <mergeCell ref="B7:M9"/>
    <mergeCell ref="B12:M14"/>
  </mergeCells>
  <phoneticPr fontId="14" type="noConversion"/>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2127D-6525-43D7-807A-BDD54A7CE628}">
  <dimension ref="A1:Y54"/>
  <sheetViews>
    <sheetView zoomScaleNormal="100" workbookViewId="0"/>
  </sheetViews>
  <sheetFormatPr defaultColWidth="9.109375" defaultRowHeight="15.6" x14ac:dyDescent="0.3"/>
  <cols>
    <col min="1" max="1" width="8.109375" style="4" customWidth="1"/>
    <col min="2" max="2" width="16.44140625" style="4" customWidth="1"/>
    <col min="3" max="11" width="14.6640625" style="4" customWidth="1"/>
    <col min="12" max="13" width="9.109375" style="4"/>
    <col min="14" max="14" width="8.88671875" style="54" bestFit="1" customWidth="1"/>
    <col min="15" max="25" width="9.109375" style="54"/>
    <col min="26" max="16384" width="9.109375" style="4"/>
  </cols>
  <sheetData>
    <row r="1" spans="1:13" ht="15.75" customHeight="1" x14ac:dyDescent="0.35">
      <c r="A1" s="1" t="s">
        <v>51</v>
      </c>
      <c r="B1" s="2"/>
      <c r="C1" s="9" t="s">
        <v>0</v>
      </c>
      <c r="D1" s="2"/>
      <c r="E1" s="2"/>
      <c r="F1" s="2"/>
      <c r="G1" s="2"/>
      <c r="H1" s="2"/>
      <c r="I1" s="2"/>
      <c r="J1" s="2"/>
      <c r="K1" s="2"/>
      <c r="L1" s="2"/>
      <c r="M1" s="3"/>
    </row>
    <row r="2" spans="1:13" ht="15.75" customHeight="1" x14ac:dyDescent="0.3">
      <c r="A2" s="5"/>
      <c r="B2" s="5"/>
      <c r="C2" s="5"/>
      <c r="D2" s="5"/>
      <c r="E2" s="5"/>
      <c r="F2" s="5"/>
      <c r="G2" s="5"/>
      <c r="H2" s="5"/>
      <c r="I2" s="5"/>
      <c r="J2" s="5"/>
      <c r="K2" s="5"/>
      <c r="L2" s="5"/>
      <c r="M2" s="8"/>
    </row>
    <row r="3" spans="1:13" x14ac:dyDescent="0.3">
      <c r="A3" s="250" t="s">
        <v>136</v>
      </c>
      <c r="B3" s="250"/>
      <c r="C3" s="250"/>
      <c r="D3" s="250"/>
      <c r="E3" s="250"/>
      <c r="F3" s="250"/>
      <c r="G3" s="250"/>
      <c r="H3" s="250"/>
      <c r="I3" s="250"/>
      <c r="J3" s="250"/>
      <c r="K3" s="250"/>
      <c r="L3" s="250"/>
      <c r="M3" s="250"/>
    </row>
    <row r="4" spans="1:13" s="54" customFormat="1" x14ac:dyDescent="0.3">
      <c r="A4" s="5"/>
      <c r="B4" s="25"/>
      <c r="C4" s="5"/>
      <c r="D4" s="5"/>
      <c r="E4" s="5"/>
      <c r="F4" s="5"/>
      <c r="G4" s="5"/>
      <c r="H4" s="5"/>
      <c r="I4" s="5"/>
      <c r="J4" s="5"/>
      <c r="K4" s="5"/>
      <c r="L4" s="5"/>
      <c r="M4" s="8"/>
    </row>
    <row r="5" spans="1:13" s="54" customFormat="1" x14ac:dyDescent="0.25">
      <c r="A5" s="12" t="s">
        <v>3</v>
      </c>
      <c r="B5" s="242" t="s">
        <v>183</v>
      </c>
      <c r="C5" s="242"/>
      <c r="D5" s="242"/>
      <c r="E5" s="242"/>
      <c r="F5" s="242"/>
      <c r="G5" s="242"/>
      <c r="H5" s="242"/>
      <c r="I5" s="242"/>
      <c r="J5" s="242"/>
      <c r="K5" s="242"/>
      <c r="L5" s="242"/>
      <c r="M5" s="242"/>
    </row>
    <row r="6" spans="1:13" s="54" customFormat="1" ht="16.2" x14ac:dyDescent="0.35">
      <c r="A6" s="7"/>
      <c r="B6" s="9" t="s">
        <v>1</v>
      </c>
      <c r="C6" s="47"/>
      <c r="D6" s="47"/>
      <c r="E6" s="47"/>
      <c r="F6" s="47"/>
      <c r="G6" s="47"/>
      <c r="H6" s="47"/>
      <c r="I6" s="47"/>
      <c r="J6" s="47"/>
      <c r="K6" s="47"/>
      <c r="L6" s="47"/>
      <c r="M6" s="3"/>
    </row>
    <row r="7" spans="1:13" s="54" customFormat="1" x14ac:dyDescent="0.3">
      <c r="A7" s="4"/>
      <c r="B7" s="235" t="s">
        <v>395</v>
      </c>
      <c r="C7" s="235"/>
      <c r="D7" s="235"/>
      <c r="E7" s="235"/>
      <c r="F7" s="235"/>
      <c r="G7" s="235"/>
      <c r="H7" s="235"/>
      <c r="I7" s="235"/>
      <c r="J7" s="235"/>
      <c r="K7" s="235"/>
      <c r="L7" s="235"/>
      <c r="M7" s="235"/>
    </row>
    <row r="8" spans="1:13" s="54" customFormat="1" x14ac:dyDescent="0.3">
      <c r="A8" s="4"/>
      <c r="B8" s="235"/>
      <c r="C8" s="235"/>
      <c r="D8" s="235"/>
      <c r="E8" s="235"/>
      <c r="F8" s="235"/>
      <c r="G8" s="235"/>
      <c r="H8" s="235"/>
      <c r="I8" s="235"/>
      <c r="J8" s="235"/>
      <c r="K8" s="235"/>
      <c r="L8" s="235"/>
      <c r="M8" s="235"/>
    </row>
    <row r="9" spans="1:13" s="54" customFormat="1" ht="15.6" customHeight="1" x14ac:dyDescent="0.3">
      <c r="A9" s="4"/>
      <c r="B9" s="235"/>
      <c r="C9" s="235"/>
      <c r="D9" s="235"/>
      <c r="E9" s="235"/>
      <c r="F9" s="235"/>
      <c r="G9" s="235"/>
      <c r="H9" s="235"/>
      <c r="I9" s="235"/>
      <c r="J9" s="235"/>
      <c r="K9" s="235"/>
      <c r="L9" s="235"/>
      <c r="M9" s="235"/>
    </row>
    <row r="10" spans="1:13" s="54" customFormat="1" x14ac:dyDescent="0.25">
      <c r="A10" s="12" t="s">
        <v>2</v>
      </c>
      <c r="B10" s="242" t="s">
        <v>433</v>
      </c>
      <c r="C10" s="242"/>
      <c r="D10" s="242"/>
      <c r="E10" s="242"/>
      <c r="F10" s="242"/>
      <c r="G10" s="242"/>
      <c r="H10" s="242"/>
      <c r="I10" s="242"/>
      <c r="J10" s="242"/>
      <c r="K10" s="242"/>
      <c r="L10" s="242"/>
      <c r="M10" s="242"/>
    </row>
    <row r="11" spans="1:13" s="54" customFormat="1" x14ac:dyDescent="0.25">
      <c r="A11" s="68"/>
      <c r="B11" s="25" t="s">
        <v>184</v>
      </c>
      <c r="C11" s="21"/>
      <c r="D11" s="21"/>
      <c r="E11" s="21"/>
      <c r="F11" s="21"/>
      <c r="G11" s="21"/>
      <c r="H11" s="21"/>
      <c r="I11" s="21"/>
      <c r="J11" s="21"/>
      <c r="K11" s="21"/>
      <c r="L11" s="21"/>
      <c r="M11" s="21"/>
    </row>
    <row r="12" spans="1:13" s="54" customFormat="1" x14ac:dyDescent="0.25">
      <c r="A12" s="12"/>
      <c r="B12" s="25" t="s">
        <v>185</v>
      </c>
      <c r="C12" s="21"/>
      <c r="D12" s="21"/>
      <c r="E12" s="21"/>
      <c r="F12" s="21"/>
      <c r="G12" s="21"/>
      <c r="H12" s="21"/>
      <c r="I12" s="21"/>
      <c r="J12" s="21"/>
      <c r="K12" s="21"/>
      <c r="L12" s="21"/>
      <c r="M12" s="21"/>
    </row>
    <row r="13" spans="1:13" s="54" customFormat="1" ht="16.2" x14ac:dyDescent="0.35">
      <c r="A13" s="9"/>
      <c r="B13" s="9" t="s">
        <v>1</v>
      </c>
      <c r="C13" s="9"/>
      <c r="D13" s="11"/>
      <c r="E13" s="11"/>
      <c r="F13" s="11"/>
      <c r="G13" s="11"/>
      <c r="H13" s="7"/>
      <c r="I13" s="7"/>
      <c r="J13" s="8"/>
      <c r="K13" s="8"/>
      <c r="L13" s="7"/>
      <c r="M13" s="8"/>
    </row>
    <row r="14" spans="1:13" s="54" customFormat="1" x14ac:dyDescent="0.3">
      <c r="A14" s="4"/>
      <c r="B14" s="235" t="s">
        <v>436</v>
      </c>
      <c r="C14" s="229"/>
      <c r="D14" s="229"/>
      <c r="E14" s="229"/>
      <c r="F14" s="229"/>
      <c r="G14" s="229"/>
      <c r="H14" s="229"/>
      <c r="I14" s="229"/>
      <c r="J14" s="229"/>
      <c r="K14" s="229"/>
      <c r="L14" s="229"/>
      <c r="M14" s="229"/>
    </row>
    <row r="15" spans="1:13" s="54" customFormat="1" x14ac:dyDescent="0.3">
      <c r="A15" s="4"/>
      <c r="B15" s="229"/>
      <c r="C15" s="229"/>
      <c r="D15" s="229"/>
      <c r="E15" s="229"/>
      <c r="F15" s="229"/>
      <c r="G15" s="229"/>
      <c r="H15" s="229"/>
      <c r="I15" s="229"/>
      <c r="J15" s="229"/>
      <c r="K15" s="229"/>
      <c r="L15" s="229"/>
      <c r="M15" s="229"/>
    </row>
    <row r="16" spans="1:13" s="54" customFormat="1" x14ac:dyDescent="0.3">
      <c r="A16" s="4"/>
      <c r="B16" s="229"/>
      <c r="C16" s="229"/>
      <c r="D16" s="229"/>
      <c r="E16" s="229"/>
      <c r="F16" s="229"/>
      <c r="G16" s="229"/>
      <c r="H16" s="229"/>
      <c r="I16" s="229"/>
      <c r="J16" s="229"/>
      <c r="K16" s="229"/>
      <c r="L16" s="229"/>
      <c r="M16" s="229"/>
    </row>
    <row r="17" spans="1:13" s="54" customFormat="1" x14ac:dyDescent="0.3">
      <c r="A17" s="7" t="s">
        <v>212</v>
      </c>
      <c r="B17" s="7"/>
      <c r="C17" s="7"/>
      <c r="D17" s="7"/>
      <c r="E17" s="7"/>
      <c r="F17" s="7"/>
      <c r="G17" s="7"/>
      <c r="H17" s="7"/>
      <c r="I17" s="7"/>
      <c r="J17" s="8"/>
      <c r="K17" s="7"/>
      <c r="L17" s="8"/>
      <c r="M17" s="3"/>
    </row>
    <row r="18" spans="1:13" s="54" customFormat="1" x14ac:dyDescent="0.3">
      <c r="A18" s="7"/>
      <c r="B18" s="7"/>
      <c r="C18" s="7"/>
      <c r="D18" s="7"/>
      <c r="E18" s="7"/>
      <c r="F18" s="7"/>
      <c r="G18" s="7"/>
      <c r="H18" s="7"/>
      <c r="I18" s="7"/>
      <c r="J18" s="8"/>
      <c r="K18" s="7"/>
      <c r="L18" s="8"/>
      <c r="M18" s="3"/>
    </row>
    <row r="19" spans="1:13" s="54" customFormat="1" ht="27.6" x14ac:dyDescent="0.3">
      <c r="A19" s="7"/>
      <c r="B19" s="107" t="s">
        <v>186</v>
      </c>
      <c r="C19" s="107" t="s">
        <v>193</v>
      </c>
      <c r="D19" s="107" t="s">
        <v>194</v>
      </c>
      <c r="E19" s="107" t="s">
        <v>187</v>
      </c>
      <c r="F19" s="285" t="s">
        <v>188</v>
      </c>
      <c r="G19" s="285"/>
      <c r="H19" s="285"/>
      <c r="I19" s="7"/>
      <c r="J19" s="8"/>
      <c r="K19" s="7"/>
      <c r="L19" s="8"/>
      <c r="M19" s="3"/>
    </row>
    <row r="20" spans="1:13" s="54" customFormat="1" x14ac:dyDescent="0.3">
      <c r="A20" s="7"/>
      <c r="B20" s="108" t="s">
        <v>53</v>
      </c>
      <c r="C20" s="109">
        <v>600000</v>
      </c>
      <c r="D20" s="109">
        <v>500000</v>
      </c>
      <c r="E20" s="109">
        <v>1000</v>
      </c>
      <c r="F20" s="286" t="s">
        <v>189</v>
      </c>
      <c r="G20" s="286"/>
      <c r="H20" s="286"/>
      <c r="I20" s="7"/>
      <c r="J20" s="8"/>
      <c r="K20" s="7"/>
      <c r="L20" s="8"/>
      <c r="M20" s="3"/>
    </row>
    <row r="21" spans="1:13" s="54" customFormat="1" x14ac:dyDescent="0.3">
      <c r="A21" s="7"/>
      <c r="B21" s="108" t="s">
        <v>54</v>
      </c>
      <c r="C21" s="109">
        <v>600000</v>
      </c>
      <c r="D21" s="109">
        <v>500000</v>
      </c>
      <c r="E21" s="109">
        <v>1000</v>
      </c>
      <c r="F21" s="286" t="s">
        <v>190</v>
      </c>
      <c r="G21" s="286"/>
      <c r="H21" s="286"/>
      <c r="I21" s="7"/>
      <c r="J21" s="8"/>
      <c r="K21" s="7"/>
      <c r="L21" s="8"/>
      <c r="M21" s="3"/>
    </row>
    <row r="22" spans="1:13" s="54" customFormat="1" x14ac:dyDescent="0.3">
      <c r="A22" s="7"/>
      <c r="B22" s="108" t="s">
        <v>55</v>
      </c>
      <c r="C22" s="109">
        <v>600000</v>
      </c>
      <c r="D22" s="109">
        <v>500000</v>
      </c>
      <c r="E22" s="109">
        <v>2000</v>
      </c>
      <c r="F22" s="286" t="s">
        <v>191</v>
      </c>
      <c r="G22" s="286"/>
      <c r="H22" s="286"/>
      <c r="I22" s="7"/>
      <c r="J22" s="8"/>
      <c r="K22" s="7"/>
      <c r="L22" s="8"/>
      <c r="M22" s="3"/>
    </row>
    <row r="23" spans="1:13" s="54" customFormat="1" x14ac:dyDescent="0.3">
      <c r="A23" s="7"/>
      <c r="B23" s="108" t="s">
        <v>56</v>
      </c>
      <c r="C23" s="109">
        <v>600000</v>
      </c>
      <c r="D23" s="109">
        <v>500000</v>
      </c>
      <c r="E23" s="109">
        <v>2000</v>
      </c>
      <c r="F23" s="286" t="s">
        <v>192</v>
      </c>
      <c r="G23" s="286"/>
      <c r="H23" s="286"/>
      <c r="I23" s="7"/>
      <c r="J23" s="8"/>
      <c r="K23" s="7"/>
      <c r="L23" s="8"/>
      <c r="M23" s="3"/>
    </row>
    <row r="24" spans="1:13" s="54" customFormat="1" x14ac:dyDescent="0.3">
      <c r="A24" s="7"/>
      <c r="B24" s="110"/>
      <c r="C24" s="111"/>
      <c r="D24" s="111"/>
      <c r="E24" s="111"/>
      <c r="F24" s="112"/>
      <c r="G24" s="112"/>
      <c r="H24" s="112"/>
      <c r="I24" s="7"/>
      <c r="J24" s="8"/>
      <c r="K24" s="7"/>
      <c r="L24" s="8"/>
      <c r="M24" s="3"/>
    </row>
    <row r="25" spans="1:13" s="54" customFormat="1" x14ac:dyDescent="0.3">
      <c r="A25" s="7"/>
      <c r="B25" s="5" t="s">
        <v>195</v>
      </c>
      <c r="C25" s="111"/>
      <c r="D25" s="111"/>
      <c r="E25" s="111"/>
      <c r="F25" s="112"/>
      <c r="G25" s="112"/>
      <c r="H25" s="112"/>
      <c r="I25" s="7"/>
      <c r="J25" s="8"/>
      <c r="K25" s="7"/>
      <c r="L25" s="8"/>
      <c r="M25" s="3"/>
    </row>
    <row r="26" spans="1:13" s="54" customFormat="1" x14ac:dyDescent="0.3">
      <c r="A26" s="7"/>
      <c r="B26" s="13" t="s">
        <v>196</v>
      </c>
      <c r="C26" s="111"/>
      <c r="D26" s="111"/>
      <c r="E26" s="111"/>
      <c r="F26" s="112"/>
      <c r="G26" s="112"/>
      <c r="H26" s="112"/>
      <c r="I26" s="7"/>
      <c r="J26" s="8"/>
      <c r="K26" s="7"/>
      <c r="L26" s="8"/>
      <c r="M26" s="3"/>
    </row>
    <row r="27" spans="1:13" s="54" customFormat="1" x14ac:dyDescent="0.3">
      <c r="A27" s="7"/>
      <c r="B27" s="13" t="s">
        <v>197</v>
      </c>
      <c r="C27" s="111"/>
      <c r="D27" s="111"/>
      <c r="E27" s="111"/>
      <c r="F27" s="112"/>
      <c r="G27" s="112"/>
      <c r="H27" s="112"/>
      <c r="I27" s="7"/>
      <c r="J27" s="8"/>
      <c r="K27" s="7"/>
      <c r="L27" s="8"/>
      <c r="M27" s="3"/>
    </row>
    <row r="28" spans="1:13" s="54" customFormat="1" x14ac:dyDescent="0.3">
      <c r="A28" s="7"/>
      <c r="B28" s="13" t="s">
        <v>198</v>
      </c>
      <c r="C28" s="7"/>
      <c r="D28" s="7"/>
      <c r="E28" s="7"/>
      <c r="F28" s="7"/>
      <c r="G28" s="7"/>
      <c r="H28" s="7"/>
      <c r="I28" s="7"/>
      <c r="J28" s="8"/>
      <c r="K28" s="7"/>
      <c r="L28" s="8"/>
      <c r="M28" s="3"/>
    </row>
    <row r="29" spans="1:13" s="54" customFormat="1" x14ac:dyDescent="0.3">
      <c r="A29" s="7"/>
      <c r="B29" s="95"/>
      <c r="C29" s="7"/>
      <c r="D29" s="7"/>
      <c r="E29" s="7"/>
      <c r="F29" s="7"/>
      <c r="G29" s="7"/>
      <c r="H29" s="7"/>
      <c r="I29" s="7"/>
      <c r="J29" s="8"/>
      <c r="K29" s="7"/>
      <c r="L29" s="8"/>
      <c r="M29" s="3"/>
    </row>
    <row r="30" spans="1:13" x14ac:dyDescent="0.3">
      <c r="A30" s="12" t="s">
        <v>4</v>
      </c>
      <c r="B30" s="242" t="s">
        <v>231</v>
      </c>
      <c r="C30" s="242"/>
      <c r="D30" s="242"/>
      <c r="E30" s="242"/>
      <c r="F30" s="242"/>
      <c r="G30" s="242"/>
      <c r="H30" s="242"/>
      <c r="I30" s="242"/>
      <c r="J30" s="242"/>
      <c r="K30" s="242"/>
      <c r="L30" s="242"/>
      <c r="M30" s="242"/>
    </row>
    <row r="31" spans="1:13" x14ac:dyDescent="0.3">
      <c r="A31" s="12"/>
      <c r="B31" s="25" t="s">
        <v>199</v>
      </c>
      <c r="C31" s="21"/>
      <c r="D31" s="21"/>
      <c r="E31" s="21"/>
      <c r="F31" s="21"/>
      <c r="G31" s="21"/>
      <c r="H31" s="21"/>
      <c r="I31" s="21"/>
      <c r="J31" s="21"/>
      <c r="K31" s="21"/>
      <c r="L31" s="21"/>
      <c r="M31" s="21"/>
    </row>
    <row r="32" spans="1:13" x14ac:dyDescent="0.3">
      <c r="A32" s="12"/>
      <c r="B32" s="25" t="s">
        <v>200</v>
      </c>
      <c r="C32" s="21"/>
      <c r="D32" s="21"/>
      <c r="E32" s="21"/>
      <c r="F32" s="21"/>
      <c r="G32" s="21"/>
      <c r="H32" s="21"/>
      <c r="I32" s="21"/>
      <c r="J32" s="21"/>
      <c r="K32" s="21"/>
      <c r="L32" s="21"/>
      <c r="M32" s="21"/>
    </row>
    <row r="33" spans="1:25" ht="16.2" x14ac:dyDescent="0.35">
      <c r="A33" s="9"/>
      <c r="B33" s="9" t="s">
        <v>1</v>
      </c>
      <c r="C33" s="9"/>
      <c r="D33" s="11"/>
      <c r="E33" s="11"/>
      <c r="F33" s="11"/>
      <c r="G33" s="11"/>
      <c r="H33" s="7"/>
      <c r="I33" s="7"/>
      <c r="J33" s="8"/>
      <c r="K33" s="8"/>
      <c r="L33" s="7"/>
      <c r="M33" s="8"/>
    </row>
    <row r="34" spans="1:25" ht="16.2" x14ac:dyDescent="0.35">
      <c r="A34" s="9"/>
      <c r="B34" s="9"/>
      <c r="C34" s="9"/>
      <c r="D34" s="11"/>
      <c r="E34" s="11"/>
      <c r="F34" s="11"/>
      <c r="G34" s="11"/>
      <c r="H34" s="7"/>
      <c r="I34" s="7"/>
      <c r="J34" s="8"/>
      <c r="K34" s="8"/>
      <c r="L34" s="7"/>
      <c r="M34" s="8"/>
    </row>
    <row r="35" spans="1:25" ht="50.4" customHeight="1" x14ac:dyDescent="0.3">
      <c r="H35" s="284" t="s">
        <v>398</v>
      </c>
      <c r="I35" s="284"/>
      <c r="N35" s="4"/>
      <c r="O35" s="4"/>
      <c r="P35" s="4"/>
      <c r="Q35" s="4"/>
      <c r="R35" s="4"/>
      <c r="S35" s="4"/>
      <c r="T35" s="4"/>
      <c r="U35" s="4"/>
      <c r="V35" s="4"/>
      <c r="W35" s="4"/>
      <c r="X35" s="4"/>
      <c r="Y35" s="4"/>
    </row>
    <row r="36" spans="1:25" ht="36" customHeight="1" x14ac:dyDescent="0.3">
      <c r="B36" s="199" t="s">
        <v>186</v>
      </c>
      <c r="C36" s="199" t="s">
        <v>193</v>
      </c>
      <c r="D36" s="199" t="s">
        <v>194</v>
      </c>
      <c r="E36" s="199" t="s">
        <v>187</v>
      </c>
      <c r="F36" s="204" t="s">
        <v>396</v>
      </c>
      <c r="G36" s="150" t="s">
        <v>397</v>
      </c>
      <c r="H36" s="168">
        <v>3500</v>
      </c>
      <c r="I36" s="168">
        <v>350000</v>
      </c>
      <c r="N36" s="4"/>
      <c r="O36" s="4"/>
      <c r="P36" s="4"/>
      <c r="Q36" s="4"/>
      <c r="R36" s="4"/>
      <c r="S36" s="4"/>
      <c r="T36" s="4"/>
      <c r="U36" s="4"/>
      <c r="V36" s="4"/>
      <c r="W36" s="4"/>
      <c r="X36" s="4"/>
      <c r="Y36" s="4"/>
    </row>
    <row r="37" spans="1:25" x14ac:dyDescent="0.3">
      <c r="B37" s="200" t="str">
        <f>B20</f>
        <v>A</v>
      </c>
      <c r="C37" s="201">
        <f>C20</f>
        <v>600000</v>
      </c>
      <c r="D37" s="201">
        <f t="shared" ref="D37:E37" si="0">D20</f>
        <v>500000</v>
      </c>
      <c r="E37" s="201">
        <f t="shared" si="0"/>
        <v>1000</v>
      </c>
      <c r="F37" s="179">
        <v>0.85</v>
      </c>
      <c r="G37" s="202">
        <f>MAX(0,1-D37/(F37*C37))</f>
        <v>1.9607843137254943E-2</v>
      </c>
      <c r="H37" s="171">
        <f>MAX(0,MIN(H$36*(1-$G37),$D37)-$E37)</f>
        <v>2431.3725490196075</v>
      </c>
      <c r="I37" s="171">
        <f>MAX(0,MIN(I$36*(1-$G37),$D37)-$E37)</f>
        <v>342137.25490196078</v>
      </c>
      <c r="N37" s="4"/>
      <c r="O37" s="4"/>
      <c r="P37" s="4"/>
      <c r="Q37" s="4"/>
      <c r="R37" s="4"/>
      <c r="S37" s="4"/>
      <c r="T37" s="4"/>
      <c r="U37" s="4"/>
      <c r="V37" s="4"/>
      <c r="W37" s="4"/>
      <c r="X37" s="4"/>
      <c r="Y37" s="4"/>
    </row>
    <row r="38" spans="1:25" ht="15.75" customHeight="1" x14ac:dyDescent="0.3">
      <c r="B38" s="200" t="str">
        <f t="shared" ref="B38:B40" si="1">B21</f>
        <v>B</v>
      </c>
      <c r="C38" s="201">
        <f t="shared" ref="C38:E38" si="2">C21</f>
        <v>600000</v>
      </c>
      <c r="D38" s="201">
        <f t="shared" si="2"/>
        <v>500000</v>
      </c>
      <c r="E38" s="201">
        <f t="shared" si="2"/>
        <v>1000</v>
      </c>
      <c r="F38" s="179">
        <v>1</v>
      </c>
      <c r="G38" s="202">
        <f>MAX(0,1-D38/(F38*C38))</f>
        <v>0.16666666666666663</v>
      </c>
      <c r="H38" s="171">
        <f t="shared" ref="H38:I40" si="3">MAX(0,MIN(H$36*(1-$G38),$D38)-$E38)</f>
        <v>1916.666666666667</v>
      </c>
      <c r="I38" s="171">
        <f t="shared" si="3"/>
        <v>290666.66666666669</v>
      </c>
      <c r="N38" s="4"/>
      <c r="O38" s="4"/>
      <c r="P38" s="4"/>
      <c r="Q38" s="4"/>
      <c r="R38" s="4"/>
      <c r="S38" s="4"/>
      <c r="T38" s="4"/>
      <c r="U38" s="4"/>
      <c r="V38" s="4"/>
      <c r="W38" s="4"/>
      <c r="X38" s="4"/>
      <c r="Y38" s="4"/>
    </row>
    <row r="39" spans="1:25" ht="15.75" customHeight="1" x14ac:dyDescent="0.3">
      <c r="B39" s="200" t="str">
        <f t="shared" si="1"/>
        <v>C</v>
      </c>
      <c r="C39" s="201">
        <f t="shared" ref="C39:E39" si="4">C22</f>
        <v>600000</v>
      </c>
      <c r="D39" s="201">
        <f t="shared" si="4"/>
        <v>500000</v>
      </c>
      <c r="E39" s="201">
        <f t="shared" si="4"/>
        <v>2000</v>
      </c>
      <c r="F39" s="207" t="s">
        <v>399</v>
      </c>
      <c r="G39" s="206">
        <v>0</v>
      </c>
      <c r="H39" s="171">
        <f t="shared" si="3"/>
        <v>1500</v>
      </c>
      <c r="I39" s="171">
        <f t="shared" si="3"/>
        <v>348000</v>
      </c>
      <c r="N39" s="4"/>
      <c r="O39" s="4"/>
      <c r="P39" s="4"/>
      <c r="Q39" s="4"/>
      <c r="R39" s="4"/>
      <c r="S39" s="4"/>
      <c r="T39" s="4"/>
      <c r="U39" s="4"/>
      <c r="V39" s="4"/>
      <c r="W39" s="4"/>
      <c r="X39" s="4"/>
      <c r="Y39" s="4"/>
    </row>
    <row r="40" spans="1:25" ht="15.75" customHeight="1" x14ac:dyDescent="0.3">
      <c r="B40" s="200" t="str">
        <f t="shared" si="1"/>
        <v>D</v>
      </c>
      <c r="C40" s="201">
        <f t="shared" ref="C40:E40" si="5">C23</f>
        <v>600000</v>
      </c>
      <c r="D40" s="201">
        <f t="shared" si="5"/>
        <v>500000</v>
      </c>
      <c r="E40" s="201">
        <f t="shared" si="5"/>
        <v>2000</v>
      </c>
      <c r="F40" s="179">
        <v>0.9</v>
      </c>
      <c r="G40" s="202">
        <f>MAX(0,1-D40/(F40*C40))</f>
        <v>7.407407407407407E-2</v>
      </c>
      <c r="H40" s="171">
        <f t="shared" si="3"/>
        <v>1240.7407407407409</v>
      </c>
      <c r="I40" s="171">
        <f t="shared" si="3"/>
        <v>322074.0740740741</v>
      </c>
      <c r="N40" s="4"/>
      <c r="O40" s="4"/>
      <c r="P40" s="4"/>
      <c r="Q40" s="4"/>
      <c r="R40" s="4"/>
      <c r="S40" s="4"/>
      <c r="T40" s="4"/>
      <c r="U40" s="4"/>
      <c r="V40" s="4"/>
      <c r="W40" s="4"/>
      <c r="X40" s="4"/>
      <c r="Y40" s="4"/>
    </row>
    <row r="41" spans="1:25" ht="15.75" customHeight="1" x14ac:dyDescent="0.3">
      <c r="G41" s="203" t="s">
        <v>276</v>
      </c>
      <c r="H41" s="205">
        <f>SUM(H37:H40)</f>
        <v>7088.7799564270153</v>
      </c>
      <c r="I41" s="205">
        <f>SUM(I37:I40)</f>
        <v>1302877.9956427016</v>
      </c>
      <c r="N41" s="4"/>
      <c r="O41" s="4"/>
      <c r="P41" s="4"/>
      <c r="Q41" s="4"/>
      <c r="R41" s="4"/>
      <c r="S41" s="4"/>
      <c r="T41" s="4"/>
      <c r="U41" s="4"/>
      <c r="V41" s="4"/>
      <c r="W41" s="4"/>
      <c r="X41" s="4"/>
      <c r="Y41" s="4"/>
    </row>
    <row r="42" spans="1:25" ht="15.75" customHeight="1" x14ac:dyDescent="0.3">
      <c r="H42" s="126" t="s">
        <v>324</v>
      </c>
      <c r="I42" s="126" t="s">
        <v>325</v>
      </c>
      <c r="N42" s="4"/>
      <c r="O42" s="4"/>
      <c r="P42" s="4"/>
      <c r="Q42" s="4"/>
      <c r="R42" s="4"/>
      <c r="S42" s="4"/>
      <c r="T42" s="4"/>
      <c r="U42" s="4"/>
      <c r="V42" s="4"/>
      <c r="W42" s="4"/>
      <c r="X42" s="4"/>
      <c r="Y42" s="4"/>
    </row>
    <row r="43" spans="1:25" ht="15.75" customHeight="1" x14ac:dyDescent="0.3">
      <c r="G43" s="174"/>
      <c r="N43" s="4"/>
      <c r="O43" s="4"/>
      <c r="P43" s="4"/>
      <c r="Q43" s="4"/>
      <c r="R43" s="4"/>
      <c r="S43" s="4"/>
      <c r="T43" s="4"/>
      <c r="U43" s="4"/>
      <c r="V43" s="4"/>
      <c r="W43" s="4"/>
      <c r="X43" s="4"/>
      <c r="Y43" s="4"/>
    </row>
    <row r="44" spans="1:25" ht="15.75" customHeight="1" x14ac:dyDescent="0.3">
      <c r="N44" s="4"/>
      <c r="O44" s="4"/>
      <c r="P44" s="4"/>
      <c r="Q44" s="4"/>
      <c r="R44" s="4"/>
      <c r="S44" s="4"/>
      <c r="T44" s="4"/>
      <c r="U44" s="4"/>
      <c r="V44" s="4"/>
      <c r="W44" s="4"/>
      <c r="X44" s="4"/>
      <c r="Y44" s="4"/>
    </row>
    <row r="45" spans="1:25" ht="15.75" customHeight="1" x14ac:dyDescent="0.3">
      <c r="N45" s="4"/>
      <c r="O45" s="4"/>
      <c r="P45" s="4"/>
      <c r="Q45" s="4"/>
      <c r="R45" s="4"/>
      <c r="S45" s="4"/>
      <c r="T45" s="4"/>
      <c r="U45" s="4"/>
      <c r="V45" s="4"/>
      <c r="W45" s="4"/>
      <c r="X45" s="4"/>
      <c r="Y45" s="4"/>
    </row>
    <row r="46" spans="1:25" ht="15.75" customHeight="1" x14ac:dyDescent="0.3">
      <c r="N46" s="4"/>
      <c r="O46" s="4"/>
      <c r="P46" s="4"/>
      <c r="Q46" s="4"/>
      <c r="R46" s="4"/>
      <c r="S46" s="4"/>
      <c r="T46" s="4"/>
      <c r="U46" s="4"/>
      <c r="V46" s="4"/>
      <c r="W46" s="4"/>
      <c r="X46" s="4"/>
      <c r="Y46" s="4"/>
    </row>
    <row r="47" spans="1:25" ht="15.75" customHeight="1" x14ac:dyDescent="0.3">
      <c r="N47" s="4"/>
      <c r="O47" s="4"/>
      <c r="P47" s="4"/>
      <c r="Q47" s="4"/>
      <c r="R47" s="4"/>
      <c r="S47" s="4"/>
      <c r="T47" s="4"/>
      <c r="U47" s="4"/>
      <c r="V47" s="4"/>
      <c r="W47" s="4"/>
      <c r="X47" s="4"/>
      <c r="Y47" s="4"/>
    </row>
    <row r="48" spans="1:2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sheetData>
  <mergeCells count="12">
    <mergeCell ref="H35:I35"/>
    <mergeCell ref="A3:M3"/>
    <mergeCell ref="B5:M5"/>
    <mergeCell ref="B10:M10"/>
    <mergeCell ref="B30:M30"/>
    <mergeCell ref="F19:H19"/>
    <mergeCell ref="F20:H20"/>
    <mergeCell ref="F21:H21"/>
    <mergeCell ref="F22:H22"/>
    <mergeCell ref="F23:H23"/>
    <mergeCell ref="B7:M9"/>
    <mergeCell ref="B14:M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2639-0E96-4E57-BA1F-470A21099C1D}">
  <dimension ref="A1:M55"/>
  <sheetViews>
    <sheetView zoomScaleNormal="100" workbookViewId="0"/>
  </sheetViews>
  <sheetFormatPr defaultColWidth="8.88671875" defaultRowHeight="15.6" x14ac:dyDescent="0.3"/>
  <cols>
    <col min="1" max="1" width="10.33203125" style="4" customWidth="1"/>
    <col min="2" max="4" width="15.33203125" style="4" customWidth="1"/>
    <col min="5" max="5" width="14.33203125" style="4" customWidth="1"/>
    <col min="6" max="6" width="14.5546875" style="4" customWidth="1"/>
    <col min="7" max="7" width="19" style="4" customWidth="1"/>
    <col min="8" max="12" width="14.5546875" style="4" customWidth="1"/>
    <col min="13" max="13" width="10.44140625" style="4" customWidth="1"/>
    <col min="14" max="14" width="8.33203125" style="4" customWidth="1"/>
    <col min="15" max="15" width="8.88671875" style="4"/>
    <col min="16" max="16" width="18.33203125" style="4" bestFit="1" customWidth="1"/>
    <col min="17" max="17" width="10.33203125" style="4" customWidth="1"/>
    <col min="18" max="18" width="10.5546875" style="4" customWidth="1"/>
    <col min="19" max="16384" width="8.88671875" style="4"/>
  </cols>
  <sheetData>
    <row r="1" spans="1:13" ht="18" x14ac:dyDescent="0.35">
      <c r="A1" s="1" t="s">
        <v>52</v>
      </c>
      <c r="B1" s="2"/>
      <c r="C1" s="9" t="s">
        <v>0</v>
      </c>
      <c r="D1" s="2"/>
      <c r="E1" s="2"/>
      <c r="F1" s="2"/>
      <c r="G1" s="2"/>
      <c r="H1" s="2"/>
      <c r="I1" s="2"/>
      <c r="J1" s="2"/>
      <c r="K1" s="3"/>
      <c r="L1" s="3"/>
      <c r="M1" s="3"/>
    </row>
    <row r="2" spans="1:13" ht="16.2" x14ac:dyDescent="0.35">
      <c r="A2" s="5"/>
      <c r="B2" s="7"/>
      <c r="C2" s="7"/>
      <c r="D2" s="7"/>
      <c r="E2" s="7"/>
      <c r="F2" s="7"/>
      <c r="G2" s="7"/>
      <c r="H2" s="46"/>
      <c r="I2" s="46"/>
      <c r="J2" s="11"/>
      <c r="K2" s="11"/>
      <c r="L2" s="11"/>
      <c r="M2" s="11"/>
    </row>
    <row r="3" spans="1:13" ht="31.2" customHeight="1" x14ac:dyDescent="0.3">
      <c r="A3" s="233" t="s">
        <v>232</v>
      </c>
      <c r="B3" s="233"/>
      <c r="C3" s="233"/>
      <c r="D3" s="233"/>
      <c r="E3" s="233"/>
      <c r="F3" s="233"/>
      <c r="G3" s="233"/>
      <c r="H3" s="233"/>
      <c r="I3" s="233"/>
      <c r="J3" s="233"/>
      <c r="K3" s="233"/>
      <c r="L3" s="8"/>
      <c r="M3" s="8"/>
    </row>
    <row r="4" spans="1:13" x14ac:dyDescent="0.3">
      <c r="A4" s="8"/>
      <c r="B4" s="50"/>
      <c r="C4" s="66"/>
      <c r="D4" s="7"/>
      <c r="E4" s="7"/>
      <c r="F4" s="7"/>
      <c r="G4" s="7"/>
      <c r="H4" s="7"/>
      <c r="I4" s="8"/>
      <c r="J4" s="8"/>
      <c r="K4" s="8"/>
      <c r="L4" s="8"/>
      <c r="M4" s="8"/>
    </row>
    <row r="5" spans="1:13" ht="31.2" x14ac:dyDescent="0.3">
      <c r="A5" s="8"/>
      <c r="B5" s="55" t="s">
        <v>201</v>
      </c>
      <c r="C5" s="55" t="s">
        <v>10</v>
      </c>
      <c r="D5" s="7"/>
      <c r="E5" s="7"/>
      <c r="F5" s="7"/>
      <c r="G5" s="7"/>
      <c r="H5" s="7"/>
      <c r="I5" s="8"/>
      <c r="J5" s="8"/>
      <c r="K5" s="8"/>
      <c r="L5" s="8"/>
      <c r="M5" s="8"/>
    </row>
    <row r="6" spans="1:13" x14ac:dyDescent="0.3">
      <c r="A6" s="8"/>
      <c r="B6" s="14">
        <v>1</v>
      </c>
      <c r="C6" s="14">
        <v>0.4</v>
      </c>
      <c r="D6" s="7"/>
      <c r="E6" s="7"/>
      <c r="F6" s="7"/>
      <c r="G6" s="7"/>
      <c r="H6" s="7"/>
      <c r="I6" s="8"/>
      <c r="J6" s="8"/>
      <c r="K6" s="8"/>
      <c r="L6" s="8"/>
      <c r="M6" s="8"/>
    </row>
    <row r="7" spans="1:13" x14ac:dyDescent="0.3">
      <c r="A7" s="8"/>
      <c r="B7" s="14">
        <v>2</v>
      </c>
      <c r="C7" s="14">
        <v>0.3</v>
      </c>
      <c r="D7" s="7"/>
      <c r="E7" s="7"/>
      <c r="F7" s="7"/>
      <c r="G7" s="7"/>
      <c r="H7" s="7"/>
      <c r="I7" s="8"/>
      <c r="J7" s="8"/>
      <c r="K7" s="8"/>
      <c r="L7" s="8"/>
      <c r="M7" s="8"/>
    </row>
    <row r="8" spans="1:13" x14ac:dyDescent="0.3">
      <c r="A8" s="8"/>
      <c r="B8" s="14">
        <v>3</v>
      </c>
      <c r="C8" s="14">
        <v>0.2</v>
      </c>
      <c r="D8" s="7"/>
      <c r="E8" s="7"/>
      <c r="F8" s="7"/>
      <c r="G8" s="7"/>
      <c r="H8" s="7"/>
      <c r="I8" s="8"/>
      <c r="J8" s="8"/>
      <c r="K8" s="8"/>
      <c r="L8" s="8"/>
      <c r="M8" s="8"/>
    </row>
    <row r="9" spans="1:13" x14ac:dyDescent="0.3">
      <c r="A9" s="8"/>
      <c r="B9" s="14">
        <v>4</v>
      </c>
      <c r="C9" s="14">
        <v>0.1</v>
      </c>
      <c r="D9" s="7"/>
      <c r="E9" s="7"/>
      <c r="F9" s="7"/>
      <c r="G9" s="7"/>
      <c r="H9" s="7"/>
      <c r="I9" s="8"/>
      <c r="J9" s="8"/>
      <c r="K9" s="8"/>
      <c r="L9" s="8"/>
      <c r="M9" s="8"/>
    </row>
    <row r="10" spans="1:13" x14ac:dyDescent="0.3">
      <c r="A10" s="8"/>
      <c r="B10" s="50"/>
      <c r="C10" s="66"/>
      <c r="D10" s="7"/>
      <c r="E10" s="7"/>
      <c r="F10" s="7"/>
      <c r="G10" s="7"/>
      <c r="H10" s="7"/>
      <c r="I10" s="8"/>
      <c r="J10" s="8"/>
      <c r="K10" s="8"/>
      <c r="L10" s="8"/>
      <c r="M10" s="8"/>
    </row>
    <row r="11" spans="1:13" x14ac:dyDescent="0.3">
      <c r="A11" s="7" t="s">
        <v>202</v>
      </c>
      <c r="B11" s="50"/>
      <c r="C11" s="66"/>
      <c r="D11" s="7"/>
      <c r="E11" s="7"/>
      <c r="F11" s="7"/>
      <c r="G11" s="7"/>
      <c r="H11" s="7"/>
      <c r="I11" s="8"/>
      <c r="J11" s="8"/>
      <c r="K11" s="8"/>
      <c r="L11" s="8"/>
      <c r="M11" s="8"/>
    </row>
    <row r="12" spans="1:13" x14ac:dyDescent="0.3">
      <c r="A12" s="7"/>
      <c r="B12" s="50"/>
      <c r="C12" s="66"/>
      <c r="D12" s="7"/>
      <c r="E12" s="7"/>
      <c r="F12" s="7"/>
      <c r="G12" s="7"/>
      <c r="H12" s="7"/>
      <c r="I12" s="8"/>
      <c r="J12" s="8"/>
      <c r="K12" s="8"/>
      <c r="L12" s="8"/>
      <c r="M12" s="8"/>
    </row>
    <row r="13" spans="1:13" x14ac:dyDescent="0.3">
      <c r="A13" s="7" t="s">
        <v>3</v>
      </c>
      <c r="B13" s="7" t="s">
        <v>203</v>
      </c>
      <c r="C13" s="7"/>
      <c r="D13" s="7"/>
      <c r="E13" s="7"/>
      <c r="F13" s="7"/>
      <c r="G13" s="7"/>
      <c r="H13" s="7"/>
      <c r="I13" s="8"/>
      <c r="J13" s="8"/>
      <c r="K13" s="8"/>
      <c r="L13" s="8"/>
      <c r="M13" s="8"/>
    </row>
    <row r="14" spans="1:13" ht="16.2" x14ac:dyDescent="0.35">
      <c r="A14" s="7"/>
      <c r="B14" s="9" t="s">
        <v>1</v>
      </c>
      <c r="C14" s="47"/>
      <c r="D14" s="47"/>
      <c r="E14" s="47"/>
      <c r="F14" s="47"/>
      <c r="G14" s="47"/>
      <c r="H14" s="47"/>
      <c r="I14" s="47"/>
      <c r="J14" s="47"/>
      <c r="K14" s="47"/>
      <c r="L14" s="47"/>
      <c r="M14" s="3"/>
    </row>
    <row r="15" spans="1:13" x14ac:dyDescent="0.3">
      <c r="B15" s="4" t="s">
        <v>404</v>
      </c>
    </row>
    <row r="16" spans="1:13" x14ac:dyDescent="0.3">
      <c r="B16" s="4" t="s">
        <v>420</v>
      </c>
    </row>
    <row r="18" spans="1:13" x14ac:dyDescent="0.3">
      <c r="B18" s="126" t="s">
        <v>400</v>
      </c>
      <c r="C18" s="126" t="s">
        <v>305</v>
      </c>
      <c r="D18" s="126" t="s">
        <v>402</v>
      </c>
      <c r="E18" s="126" t="s">
        <v>401</v>
      </c>
    </row>
    <row r="19" spans="1:13" x14ac:dyDescent="0.3">
      <c r="B19" s="126">
        <f>B6</f>
        <v>1</v>
      </c>
      <c r="C19" s="126">
        <f>C6</f>
        <v>0.4</v>
      </c>
      <c r="D19" s="126">
        <f>C19*B19</f>
        <v>0.4</v>
      </c>
      <c r="E19" s="126">
        <f>C19*B19^2</f>
        <v>0.4</v>
      </c>
    </row>
    <row r="20" spans="1:13" x14ac:dyDescent="0.3">
      <c r="B20" s="126">
        <f t="shared" ref="B20:C22" si="0">B7</f>
        <v>2</v>
      </c>
      <c r="C20" s="126">
        <f t="shared" si="0"/>
        <v>0.3</v>
      </c>
      <c r="D20" s="126">
        <f t="shared" ref="D20:D22" si="1">C20*B20</f>
        <v>0.6</v>
      </c>
      <c r="E20" s="126">
        <f>C20*B20^2</f>
        <v>1.2</v>
      </c>
    </row>
    <row r="21" spans="1:13" x14ac:dyDescent="0.3">
      <c r="B21" s="126">
        <f t="shared" si="0"/>
        <v>3</v>
      </c>
      <c r="C21" s="126">
        <f t="shared" si="0"/>
        <v>0.2</v>
      </c>
      <c r="D21" s="126">
        <f t="shared" si="1"/>
        <v>0.60000000000000009</v>
      </c>
      <c r="E21" s="126">
        <f t="shared" ref="E21:E22" si="2">C21*B21^2</f>
        <v>1.8</v>
      </c>
    </row>
    <row r="22" spans="1:13" x14ac:dyDescent="0.3">
      <c r="B22" s="126">
        <f t="shared" si="0"/>
        <v>4</v>
      </c>
      <c r="C22" s="126">
        <f t="shared" si="0"/>
        <v>0.1</v>
      </c>
      <c r="D22" s="126">
        <f t="shared" si="1"/>
        <v>0.4</v>
      </c>
      <c r="E22" s="126">
        <f t="shared" si="2"/>
        <v>1.6</v>
      </c>
    </row>
    <row r="23" spans="1:13" x14ac:dyDescent="0.3">
      <c r="B23" s="126" t="s">
        <v>250</v>
      </c>
      <c r="C23" s="208">
        <f>SUM(C19:C22)</f>
        <v>0.99999999999999989</v>
      </c>
      <c r="D23" s="208">
        <f>SUM(D19:D22)</f>
        <v>2</v>
      </c>
      <c r="E23" s="208">
        <f>SUM(E19:E22)</f>
        <v>5</v>
      </c>
    </row>
    <row r="24" spans="1:13" x14ac:dyDescent="0.3">
      <c r="B24" s="126"/>
      <c r="C24" s="208"/>
      <c r="D24" s="208"/>
      <c r="E24" s="208"/>
    </row>
    <row r="25" spans="1:13" x14ac:dyDescent="0.3">
      <c r="B25" s="174" t="s">
        <v>403</v>
      </c>
      <c r="C25" s="209">
        <v>1</v>
      </c>
      <c r="D25" s="208"/>
      <c r="E25" s="208"/>
    </row>
    <row r="26" spans="1:13" x14ac:dyDescent="0.3">
      <c r="B26" s="174"/>
      <c r="C26" s="209"/>
      <c r="D26" s="208"/>
      <c r="E26" s="208"/>
    </row>
    <row r="27" spans="1:13" x14ac:dyDescent="0.3">
      <c r="B27" s="141" t="s">
        <v>405</v>
      </c>
      <c r="C27" s="134" t="s">
        <v>406</v>
      </c>
      <c r="D27" s="210">
        <f>C25*D23</f>
        <v>2</v>
      </c>
      <c r="E27" s="136"/>
    </row>
    <row r="28" spans="1:13" x14ac:dyDescent="0.3">
      <c r="B28" s="141"/>
      <c r="C28" s="134" t="s">
        <v>310</v>
      </c>
      <c r="D28" s="210">
        <f>(E23*C25)^0.5/D27</f>
        <v>1.1180339887498949</v>
      </c>
    </row>
    <row r="30" spans="1:13" x14ac:dyDescent="0.3">
      <c r="A30" s="7" t="s">
        <v>2</v>
      </c>
      <c r="B30" s="7" t="s">
        <v>204</v>
      </c>
      <c r="C30" s="7"/>
      <c r="D30" s="7"/>
      <c r="E30" s="7"/>
      <c r="F30" s="7"/>
      <c r="G30" s="7"/>
      <c r="H30" s="7"/>
      <c r="I30" s="8"/>
      <c r="J30" s="8"/>
      <c r="K30" s="8"/>
      <c r="L30" s="8"/>
      <c r="M30" s="8"/>
    </row>
    <row r="31" spans="1:13" ht="16.2" x14ac:dyDescent="0.35">
      <c r="A31" s="9"/>
      <c r="B31" s="89" t="s">
        <v>127</v>
      </c>
      <c r="C31" s="89"/>
      <c r="D31" s="90"/>
      <c r="E31" s="90"/>
      <c r="F31" s="91"/>
      <c r="G31" s="91"/>
      <c r="H31" s="8"/>
      <c r="I31" s="8"/>
      <c r="J31" s="8"/>
      <c r="K31" s="8"/>
      <c r="L31" s="8"/>
      <c r="M31" s="8"/>
    </row>
    <row r="32" spans="1:13" x14ac:dyDescent="0.3">
      <c r="A32" s="62"/>
    </row>
    <row r="33" spans="2:5" ht="46.8" x14ac:dyDescent="0.3">
      <c r="B33" s="118" t="s">
        <v>205</v>
      </c>
      <c r="C33" s="118" t="s">
        <v>10</v>
      </c>
    </row>
    <row r="34" spans="2:5" x14ac:dyDescent="0.3">
      <c r="B34" s="118"/>
      <c r="C34" s="118"/>
    </row>
    <row r="35" spans="2:5" x14ac:dyDescent="0.3">
      <c r="B35" s="118"/>
      <c r="C35" s="118"/>
    </row>
    <row r="36" spans="2:5" x14ac:dyDescent="0.3">
      <c r="B36" s="118"/>
      <c r="C36" s="118"/>
    </row>
    <row r="37" spans="2:5" x14ac:dyDescent="0.3">
      <c r="B37" s="119">
        <v>0</v>
      </c>
      <c r="C37" s="211">
        <f>($C$25^B37)*EXP(-$C$25)/FACT(B37)</f>
        <v>0.36787944117144233</v>
      </c>
      <c r="E37" s="225"/>
    </row>
    <row r="38" spans="2:5" x14ac:dyDescent="0.3">
      <c r="B38" s="119">
        <v>1</v>
      </c>
      <c r="C38" s="211">
        <f t="shared" ref="C38:C47" si="3">$C$25/B38*(C37*$C$19+2*C36*$C$20+3*C35*$C$21+4*C34*$C$22)</f>
        <v>0.14715177646857694</v>
      </c>
    </row>
    <row r="39" spans="2:5" x14ac:dyDescent="0.3">
      <c r="B39" s="119">
        <v>2</v>
      </c>
      <c r="C39" s="211">
        <f t="shared" si="3"/>
        <v>0.13979418764514809</v>
      </c>
    </row>
    <row r="40" spans="2:5" x14ac:dyDescent="0.3">
      <c r="B40" s="119">
        <v>3</v>
      </c>
      <c r="C40" s="211">
        <f t="shared" si="3"/>
        <v>0.12164546854735693</v>
      </c>
    </row>
    <row r="41" spans="2:5" x14ac:dyDescent="0.3">
      <c r="B41" s="119">
        <v>4</v>
      </c>
      <c r="C41" s="211">
        <f t="shared" si="3"/>
        <v>9.1994385588938687E-2</v>
      </c>
    </row>
    <row r="42" spans="2:5" x14ac:dyDescent="0.3">
      <c r="B42" s="119">
        <v>5</v>
      </c>
      <c r="C42" s="211">
        <f t="shared" si="3"/>
        <v>5.0504451707701861E-2</v>
      </c>
    </row>
    <row r="43" spans="2:5" x14ac:dyDescent="0.3">
      <c r="B43" s="119">
        <v>6</v>
      </c>
      <c r="C43" s="211">
        <f t="shared" si="3"/>
        <v>3.4050561370486218E-2</v>
      </c>
    </row>
    <row r="44" spans="2:5" x14ac:dyDescent="0.3">
      <c r="B44" s="119">
        <v>7</v>
      </c>
      <c r="C44" s="211">
        <f t="shared" si="3"/>
        <v>2.1111102049303086E-2</v>
      </c>
    </row>
    <row r="45" spans="2:5" x14ac:dyDescent="0.3">
      <c r="B45" s="119">
        <v>8</v>
      </c>
      <c r="C45" s="211">
        <f t="shared" si="3"/>
        <v>1.1996900362776196E-2</v>
      </c>
    </row>
    <row r="46" spans="2:5" x14ac:dyDescent="0.3">
      <c r="B46" s="119">
        <v>9</v>
      </c>
      <c r="C46" s="211">
        <f t="shared" si="3"/>
        <v>6.4552820977849777E-3</v>
      </c>
    </row>
    <row r="47" spans="2:5" x14ac:dyDescent="0.3">
      <c r="B47" s="119">
        <v>10</v>
      </c>
      <c r="C47" s="211">
        <f t="shared" si="3"/>
        <v>3.6067138834556048E-3</v>
      </c>
    </row>
    <row r="49" spans="1:13" x14ac:dyDescent="0.3">
      <c r="A49" s="7" t="s">
        <v>206</v>
      </c>
      <c r="B49" s="7"/>
      <c r="C49" s="7"/>
      <c r="D49" s="7"/>
      <c r="E49" s="7"/>
      <c r="F49" s="7"/>
      <c r="G49" s="7"/>
      <c r="H49" s="7"/>
      <c r="I49" s="7"/>
      <c r="J49" s="8"/>
      <c r="K49" s="7"/>
      <c r="L49" s="8"/>
      <c r="M49" s="3"/>
    </row>
    <row r="50" spans="1:13" x14ac:dyDescent="0.3">
      <c r="A50" s="7"/>
      <c r="B50" s="7"/>
      <c r="C50" s="7"/>
      <c r="D50" s="7"/>
      <c r="E50" s="7"/>
      <c r="F50" s="7"/>
      <c r="G50" s="7"/>
      <c r="H50" s="7"/>
      <c r="I50" s="7"/>
      <c r="J50" s="8"/>
      <c r="K50" s="7"/>
      <c r="L50" s="8"/>
      <c r="M50" s="3"/>
    </row>
    <row r="51" spans="1:13" ht="18" customHeight="1" x14ac:dyDescent="0.3">
      <c r="A51" s="5" t="s">
        <v>4</v>
      </c>
      <c r="B51" s="233" t="s">
        <v>207</v>
      </c>
      <c r="C51" s="233"/>
      <c r="D51" s="233"/>
      <c r="E51" s="233"/>
      <c r="F51" s="233"/>
      <c r="G51" s="233"/>
      <c r="H51" s="233"/>
      <c r="I51" s="233"/>
      <c r="J51" s="233"/>
      <c r="K51" s="233"/>
      <c r="L51" s="233"/>
      <c r="M51" s="233"/>
    </row>
    <row r="52" spans="1:13" ht="16.2" x14ac:dyDescent="0.35">
      <c r="A52" s="9"/>
      <c r="B52" s="9" t="s">
        <v>1</v>
      </c>
      <c r="C52" s="9"/>
      <c r="D52" s="11"/>
      <c r="E52" s="11"/>
      <c r="F52" s="11"/>
      <c r="G52" s="11"/>
      <c r="H52" s="7"/>
      <c r="I52" s="7"/>
      <c r="J52" s="8"/>
      <c r="K52" s="8"/>
      <c r="L52" s="7"/>
      <c r="M52" s="8"/>
    </row>
    <row r="54" spans="1:13" ht="16.8" x14ac:dyDescent="0.3">
      <c r="B54" s="216" t="s">
        <v>408</v>
      </c>
      <c r="C54" s="213">
        <f>LN(D28^2+1)</f>
        <v>0.81093021621632877</v>
      </c>
      <c r="D54" s="212"/>
      <c r="E54" s="212"/>
      <c r="F54" s="212"/>
      <c r="G54" s="212"/>
      <c r="H54" s="212"/>
      <c r="I54" s="212"/>
      <c r="J54" s="212"/>
      <c r="K54" s="212"/>
      <c r="L54" s="212"/>
      <c r="M54" s="212"/>
    </row>
    <row r="55" spans="1:13" ht="15.6" customHeight="1" x14ac:dyDescent="0.3">
      <c r="B55" s="215" t="s">
        <v>407</v>
      </c>
      <c r="C55" s="214">
        <f>LN(D27)-C54/2</f>
        <v>0.2876820724517809</v>
      </c>
      <c r="D55" s="212"/>
      <c r="E55" s="212"/>
      <c r="F55" s="212"/>
      <c r="G55" s="212"/>
      <c r="H55" s="212"/>
      <c r="I55" s="212"/>
      <c r="J55" s="212"/>
      <c r="K55" s="212"/>
      <c r="L55" s="212"/>
      <c r="M55" s="212"/>
    </row>
  </sheetData>
  <mergeCells count="2">
    <mergeCell ref="B51:M51"/>
    <mergeCell ref="A3:K3"/>
  </mergeCell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F3A9A-8DF2-4432-AB17-90219E5DA157}">
  <dimension ref="A1:V85"/>
  <sheetViews>
    <sheetView topLeftCell="A38" workbookViewId="0">
      <selection activeCell="G56" sqref="G56"/>
    </sheetView>
  </sheetViews>
  <sheetFormatPr defaultRowHeight="14.4" x14ac:dyDescent="0.3"/>
  <cols>
    <col min="1" max="1" width="10.33203125" bestFit="1" customWidth="1"/>
    <col min="7" max="7" width="9.33203125" bestFit="1" customWidth="1"/>
    <col min="8" max="8" width="13" customWidth="1"/>
    <col min="10" max="12" width="12.33203125" bestFit="1" customWidth="1"/>
    <col min="13" max="13" width="11.33203125" bestFit="1" customWidth="1"/>
    <col min="14" max="14" width="12.88671875" bestFit="1" customWidth="1"/>
    <col min="16" max="16" width="14.88671875" bestFit="1" customWidth="1"/>
    <col min="17" max="17" width="10.5546875" customWidth="1"/>
    <col min="18" max="18" width="10.6640625" customWidth="1"/>
    <col min="19" max="19" width="9.33203125" bestFit="1" customWidth="1"/>
    <col min="20" max="20" width="10.33203125" bestFit="1" customWidth="1"/>
  </cols>
  <sheetData>
    <row r="1" spans="1:17" x14ac:dyDescent="0.3">
      <c r="D1">
        <v>2200</v>
      </c>
    </row>
    <row r="3" spans="1:17" x14ac:dyDescent="0.3">
      <c r="A3">
        <v>8896</v>
      </c>
      <c r="C3">
        <v>100</v>
      </c>
      <c r="D3" s="31">
        <f>($A3+$D$1)/($A$3+$D$1)</f>
        <v>1</v>
      </c>
      <c r="E3" s="31">
        <f>($A3)/($A$3)</f>
        <v>1</v>
      </c>
      <c r="F3" s="31">
        <f>($A3)/($A$3)</f>
        <v>1</v>
      </c>
    </row>
    <row r="4" spans="1:17" x14ac:dyDescent="0.3">
      <c r="A4">
        <v>13626</v>
      </c>
      <c r="C4">
        <v>500</v>
      </c>
      <c r="D4" s="31">
        <f t="shared" ref="D4:D10" si="0">($A4+$D$1)/($A$3+$D$1)</f>
        <v>1.426279740447008</v>
      </c>
      <c r="E4" s="31">
        <f t="shared" ref="E4:E10" si="1">($A4)/($A$3)</f>
        <v>1.5316996402877698</v>
      </c>
      <c r="F4" s="31">
        <v>1.58</v>
      </c>
      <c r="I4" s="34">
        <f>100*(D4-D3)/($C4-$C3)</f>
        <v>0.106569935111752</v>
      </c>
      <c r="J4" s="34">
        <f>100*(E4-E3)/($C4-$C3)</f>
        <v>0.13292491007194246</v>
      </c>
      <c r="K4" s="34">
        <f>100*(F4-F3)/($C4-$C3)</f>
        <v>0.14500000000000002</v>
      </c>
    </row>
    <row r="5" spans="1:17" x14ac:dyDescent="0.3">
      <c r="A5">
        <v>14668</v>
      </c>
      <c r="C5">
        <v>750</v>
      </c>
      <c r="D5" s="31">
        <f t="shared" si="0"/>
        <v>1.5201874549387167</v>
      </c>
      <c r="E5" s="31">
        <f t="shared" si="1"/>
        <v>1.6488309352517985</v>
      </c>
      <c r="F5" s="31">
        <v>1.65</v>
      </c>
      <c r="I5" s="34">
        <f t="shared" ref="I5:K10" si="2">100*(D5-D4)/($C5-$C4)</f>
        <v>3.7563085796683458E-2</v>
      </c>
      <c r="J5" s="34">
        <f t="shared" si="2"/>
        <v>4.6852517985611457E-2</v>
      </c>
      <c r="K5" s="34">
        <f t="shared" si="2"/>
        <v>2.7999999999999935E-2</v>
      </c>
    </row>
    <row r="6" spans="1:17" x14ac:dyDescent="0.3">
      <c r="A6">
        <v>15345</v>
      </c>
      <c r="C6">
        <v>1000</v>
      </c>
      <c r="D6" s="31">
        <f t="shared" si="0"/>
        <v>1.5812004325883202</v>
      </c>
      <c r="E6" s="31">
        <f t="shared" si="1"/>
        <v>1.7249325539568345</v>
      </c>
      <c r="F6" s="31">
        <v>1.7250000000000001</v>
      </c>
      <c r="I6" s="34">
        <f t="shared" si="2"/>
        <v>2.4405191059841423E-2</v>
      </c>
      <c r="J6" s="34">
        <f t="shared" si="2"/>
        <v>3.0440647482014426E-2</v>
      </c>
      <c r="K6" s="34">
        <f t="shared" si="2"/>
        <v>3.0000000000000072E-2</v>
      </c>
    </row>
    <row r="7" spans="1:17" x14ac:dyDescent="0.3">
      <c r="A7">
        <v>16738</v>
      </c>
      <c r="C7">
        <v>2000</v>
      </c>
      <c r="D7" s="31">
        <f t="shared" si="0"/>
        <v>1.7067411679884643</v>
      </c>
      <c r="E7" s="31">
        <f t="shared" si="1"/>
        <v>1.8815197841726619</v>
      </c>
      <c r="F7" s="31">
        <v>1.9</v>
      </c>
      <c r="I7" s="34">
        <f t="shared" si="2"/>
        <v>1.2554073540014411E-2</v>
      </c>
      <c r="J7" s="34">
        <f t="shared" si="2"/>
        <v>1.5658723021582732E-2</v>
      </c>
      <c r="K7" s="34">
        <f t="shared" si="2"/>
        <v>1.7499999999999981E-2</v>
      </c>
    </row>
    <row r="8" spans="1:17" x14ac:dyDescent="0.3">
      <c r="A8">
        <v>17390</v>
      </c>
      <c r="C8">
        <v>3000</v>
      </c>
      <c r="D8" s="31">
        <f t="shared" si="0"/>
        <v>1.7655010814708003</v>
      </c>
      <c r="E8" s="31">
        <f t="shared" si="1"/>
        <v>1.9548111510791366</v>
      </c>
      <c r="F8" s="31">
        <v>1.925</v>
      </c>
      <c r="I8" s="34">
        <f t="shared" si="2"/>
        <v>5.8759913482336005E-3</v>
      </c>
      <c r="J8" s="34">
        <f t="shared" si="2"/>
        <v>7.329136690647475E-3</v>
      </c>
      <c r="K8" s="34">
        <f t="shared" si="2"/>
        <v>2.5000000000000135E-3</v>
      </c>
    </row>
    <row r="9" spans="1:17" x14ac:dyDescent="0.3">
      <c r="A9">
        <v>17782</v>
      </c>
      <c r="C9">
        <v>4000</v>
      </c>
      <c r="D9" s="31">
        <f t="shared" si="0"/>
        <v>1.8008291276135544</v>
      </c>
      <c r="E9" s="31">
        <f t="shared" si="1"/>
        <v>1.9988758992805755</v>
      </c>
      <c r="F9" s="31">
        <v>2</v>
      </c>
      <c r="I9" s="34">
        <f t="shared" si="2"/>
        <v>3.5328046142754088E-3</v>
      </c>
      <c r="J9" s="34">
        <f t="shared" si="2"/>
        <v>4.4064748201438908E-3</v>
      </c>
      <c r="K9" s="34">
        <f t="shared" si="2"/>
        <v>7.4999999999999954E-3</v>
      </c>
    </row>
    <row r="10" spans="1:17" x14ac:dyDescent="0.3">
      <c r="A10">
        <v>18048</v>
      </c>
      <c r="C10">
        <v>5000</v>
      </c>
      <c r="D10" s="31">
        <f t="shared" si="0"/>
        <v>1.8248017303532804</v>
      </c>
      <c r="E10" s="31">
        <f t="shared" si="1"/>
        <v>2.028776978417266</v>
      </c>
      <c r="F10" s="31">
        <v>2.1</v>
      </c>
      <c r="I10" s="34">
        <f t="shared" si="2"/>
        <v>2.3972602739726011E-3</v>
      </c>
      <c r="J10" s="34">
        <f t="shared" si="2"/>
        <v>2.9901079136690489E-3</v>
      </c>
      <c r="K10" s="34">
        <f t="shared" si="2"/>
        <v>1.0000000000000009E-2</v>
      </c>
    </row>
    <row r="13" spans="1:17" x14ac:dyDescent="0.3">
      <c r="A13">
        <v>0.75</v>
      </c>
      <c r="D13">
        <v>2200</v>
      </c>
    </row>
    <row r="15" spans="1:17" x14ac:dyDescent="0.3">
      <c r="A15" s="36">
        <f>$A$13*Q15</f>
        <v>6675</v>
      </c>
      <c r="C15">
        <v>100</v>
      </c>
      <c r="D15" s="31">
        <f t="shared" ref="D15:D22" si="3">($A15+$D$13)/($A$15+$D$13)</f>
        <v>1</v>
      </c>
      <c r="E15" s="31">
        <f>($A15)/($A$15)</f>
        <v>1</v>
      </c>
      <c r="F15" s="31">
        <f>($A15)/($A$15)</f>
        <v>1</v>
      </c>
      <c r="N15" s="35">
        <f>F15*$A$15</f>
        <v>6675</v>
      </c>
      <c r="Q15">
        <v>8900</v>
      </c>
    </row>
    <row r="16" spans="1:17" x14ac:dyDescent="0.3">
      <c r="A16" s="36">
        <f t="shared" ref="A16:A22" si="4">$A$13*Q16</f>
        <v>10218.75</v>
      </c>
      <c r="C16">
        <v>500</v>
      </c>
      <c r="D16" s="31">
        <f t="shared" si="3"/>
        <v>1.3992957746478873</v>
      </c>
      <c r="E16" s="31">
        <f t="shared" ref="E16:E22" si="5">($A16)/($A$15)</f>
        <v>1.5308988764044944</v>
      </c>
      <c r="F16" s="31">
        <v>1.58</v>
      </c>
      <c r="I16" s="34">
        <f t="shared" ref="I16:K22" si="6">100*(D16-D15)/($C16-$C15)</f>
        <v>9.9823943661971837E-2</v>
      </c>
      <c r="J16" s="34">
        <f t="shared" si="6"/>
        <v>0.1327247191011236</v>
      </c>
      <c r="K16" s="34">
        <f t="shared" si="6"/>
        <v>0.14500000000000002</v>
      </c>
      <c r="N16" s="35">
        <f>F16*$A$15</f>
        <v>10546.5</v>
      </c>
      <c r="Q16">
        <v>13625</v>
      </c>
    </row>
    <row r="17" spans="1:22" x14ac:dyDescent="0.3">
      <c r="A17" s="36">
        <f t="shared" si="4"/>
        <v>11010</v>
      </c>
      <c r="C17">
        <v>750</v>
      </c>
      <c r="D17" s="31">
        <f t="shared" si="3"/>
        <v>1.4884507042253521</v>
      </c>
      <c r="E17" s="31">
        <f t="shared" si="5"/>
        <v>1.649438202247191</v>
      </c>
      <c r="F17" s="31">
        <v>1.65</v>
      </c>
      <c r="I17" s="34">
        <f t="shared" si="6"/>
        <v>3.5661971830985892E-2</v>
      </c>
      <c r="J17" s="34">
        <f t="shared" si="6"/>
        <v>4.7415730337078618E-2</v>
      </c>
      <c r="K17" s="34">
        <f t="shared" si="6"/>
        <v>2.7999999999999935E-2</v>
      </c>
      <c r="N17" s="35">
        <f t="shared" ref="N17:N22" si="7">F17*$A$15</f>
        <v>11013.75</v>
      </c>
      <c r="Q17">
        <v>14680</v>
      </c>
    </row>
    <row r="18" spans="1:22" x14ac:dyDescent="0.3">
      <c r="A18" s="36">
        <f t="shared" si="4"/>
        <v>11508.75</v>
      </c>
      <c r="C18">
        <v>1000</v>
      </c>
      <c r="D18" s="31">
        <f t="shared" si="3"/>
        <v>1.5446478873239438</v>
      </c>
      <c r="E18" s="31">
        <f t="shared" si="5"/>
        <v>1.7241573033707864</v>
      </c>
      <c r="F18" s="31">
        <v>1.7250000000000001</v>
      </c>
      <c r="I18" s="34">
        <f t="shared" si="6"/>
        <v>2.2478873239436668E-2</v>
      </c>
      <c r="J18" s="34">
        <f t="shared" si="6"/>
        <v>2.9887640449438192E-2</v>
      </c>
      <c r="K18" s="34">
        <f t="shared" si="6"/>
        <v>3.0000000000000072E-2</v>
      </c>
      <c r="N18" s="35">
        <f t="shared" si="7"/>
        <v>11514.375</v>
      </c>
      <c r="Q18">
        <v>15345</v>
      </c>
    </row>
    <row r="19" spans="1:22" x14ac:dyDescent="0.3">
      <c r="A19" s="36">
        <f t="shared" si="4"/>
        <v>12555</v>
      </c>
      <c r="C19">
        <v>2000</v>
      </c>
      <c r="D19" s="31">
        <f t="shared" si="3"/>
        <v>1.6625352112676057</v>
      </c>
      <c r="E19" s="31">
        <f t="shared" si="5"/>
        <v>1.8808988764044945</v>
      </c>
      <c r="F19" s="31">
        <v>1.9</v>
      </c>
      <c r="I19" s="34">
        <f t="shared" si="6"/>
        <v>1.1788732394366196E-2</v>
      </c>
      <c r="J19" s="34">
        <f t="shared" si="6"/>
        <v>1.5674157303370805E-2</v>
      </c>
      <c r="K19" s="34">
        <f t="shared" si="6"/>
        <v>1.7499999999999981E-2</v>
      </c>
      <c r="N19" s="35">
        <f t="shared" si="7"/>
        <v>12682.5</v>
      </c>
      <c r="Q19">
        <v>16740</v>
      </c>
    </row>
    <row r="20" spans="1:22" x14ac:dyDescent="0.3">
      <c r="A20" s="36">
        <f t="shared" si="4"/>
        <v>13042.5</v>
      </c>
      <c r="C20">
        <v>3000</v>
      </c>
      <c r="D20" s="31">
        <f t="shared" si="3"/>
        <v>1.7174647887323944</v>
      </c>
      <c r="E20" s="31">
        <f t="shared" si="5"/>
        <v>1.9539325842696629</v>
      </c>
      <c r="F20" s="31">
        <v>1.925</v>
      </c>
      <c r="I20" s="34">
        <f t="shared" si="6"/>
        <v>5.4929577464788663E-3</v>
      </c>
      <c r="J20" s="34">
        <f t="shared" si="6"/>
        <v>7.3033707865168386E-3</v>
      </c>
      <c r="K20" s="34">
        <f t="shared" si="6"/>
        <v>2.5000000000000135E-3</v>
      </c>
      <c r="N20" s="35">
        <f t="shared" si="7"/>
        <v>12849.375</v>
      </c>
      <c r="Q20">
        <v>17390</v>
      </c>
    </row>
    <row r="21" spans="1:22" x14ac:dyDescent="0.3">
      <c r="A21" s="36">
        <f t="shared" si="4"/>
        <v>13338.75</v>
      </c>
      <c r="C21">
        <v>4000</v>
      </c>
      <c r="D21" s="31">
        <f t="shared" si="3"/>
        <v>1.7508450704225351</v>
      </c>
      <c r="E21" s="31">
        <f t="shared" si="5"/>
        <v>1.9983146067415731</v>
      </c>
      <c r="F21" s="31">
        <v>2</v>
      </c>
      <c r="I21" s="34">
        <f t="shared" si="6"/>
        <v>3.3380281690140734E-3</v>
      </c>
      <c r="J21" s="34">
        <f t="shared" si="6"/>
        <v>4.4382022471910251E-3</v>
      </c>
      <c r="K21" s="34">
        <f t="shared" si="6"/>
        <v>7.4999999999999954E-3</v>
      </c>
      <c r="N21" s="35">
        <f t="shared" si="7"/>
        <v>13350</v>
      </c>
      <c r="Q21">
        <v>17785</v>
      </c>
    </row>
    <row r="22" spans="1:22" x14ac:dyDescent="0.3">
      <c r="A22" s="36">
        <f t="shared" si="4"/>
        <v>13537.5</v>
      </c>
      <c r="C22">
        <v>5000</v>
      </c>
      <c r="D22" s="31">
        <f t="shared" si="3"/>
        <v>1.7732394366197184</v>
      </c>
      <c r="E22" s="31">
        <f t="shared" si="5"/>
        <v>2.0280898876404496</v>
      </c>
      <c r="F22" s="31">
        <v>2.1</v>
      </c>
      <c r="I22" s="34">
        <f t="shared" si="6"/>
        <v>2.239436619718327E-3</v>
      </c>
      <c r="J22" s="34">
        <f t="shared" si="6"/>
        <v>2.9775280898876487E-3</v>
      </c>
      <c r="K22" s="34">
        <f t="shared" si="6"/>
        <v>1.0000000000000009E-2</v>
      </c>
      <c r="N22" s="35">
        <f t="shared" si="7"/>
        <v>14017.5</v>
      </c>
      <c r="Q22">
        <v>18050</v>
      </c>
    </row>
    <row r="26" spans="1:22" x14ac:dyDescent="0.3">
      <c r="F26" t="s">
        <v>13</v>
      </c>
    </row>
    <row r="27" spans="1:22" x14ac:dyDescent="0.3">
      <c r="E27" t="s">
        <v>14</v>
      </c>
      <c r="F27" t="s">
        <v>11</v>
      </c>
      <c r="G27" t="s">
        <v>12</v>
      </c>
      <c r="H27" t="s">
        <v>15</v>
      </c>
      <c r="L27" s="36">
        <v>3333</v>
      </c>
      <c r="M27" s="36">
        <v>858000</v>
      </c>
      <c r="N27" s="30">
        <f>M27/L27</f>
        <v>257.42574257425741</v>
      </c>
      <c r="P27" s="38">
        <f>SUM(L27:L29)</f>
        <v>9333</v>
      </c>
      <c r="Q27" s="38">
        <f>SUM(M27:M29)</f>
        <v>2112000</v>
      </c>
      <c r="R27" s="30">
        <f>Q27/P27</f>
        <v>226.2937962070074</v>
      </c>
      <c r="T27" s="38">
        <f>Q27+P30*1000+P32*1000</f>
        <v>2779000</v>
      </c>
      <c r="U27" s="38">
        <f>P27+P30+P32</f>
        <v>10000</v>
      </c>
      <c r="V27">
        <f>T27/U27</f>
        <v>277.89999999999998</v>
      </c>
    </row>
    <row r="28" spans="1:22" x14ac:dyDescent="0.3">
      <c r="C28">
        <v>500</v>
      </c>
      <c r="E28">
        <v>500</v>
      </c>
      <c r="F28" s="37">
        <v>0</v>
      </c>
      <c r="G28" s="37">
        <v>500</v>
      </c>
      <c r="H28">
        <v>4100</v>
      </c>
      <c r="L28" s="36">
        <v>2900</v>
      </c>
      <c r="M28" s="36">
        <v>629000</v>
      </c>
      <c r="N28" s="30">
        <f>M28/L28</f>
        <v>216.89655172413794</v>
      </c>
    </row>
    <row r="29" spans="1:22" x14ac:dyDescent="0.3">
      <c r="C29">
        <v>750</v>
      </c>
      <c r="E29">
        <v>1000</v>
      </c>
      <c r="F29" s="37">
        <v>0</v>
      </c>
      <c r="G29" s="37">
        <v>500</v>
      </c>
      <c r="H29">
        <v>2780</v>
      </c>
      <c r="L29" s="36">
        <v>3100</v>
      </c>
      <c r="M29" s="36">
        <v>625000</v>
      </c>
      <c r="N29" s="30">
        <f t="shared" ref="N29:N33" si="8">M29/L29</f>
        <v>201.61290322580646</v>
      </c>
    </row>
    <row r="30" spans="1:22" x14ac:dyDescent="0.3">
      <c r="C30">
        <v>1000</v>
      </c>
      <c r="E30">
        <v>5000</v>
      </c>
      <c r="F30" s="37">
        <v>0</v>
      </c>
      <c r="G30" s="37">
        <v>500</v>
      </c>
      <c r="H30">
        <v>451</v>
      </c>
      <c r="L30" s="36">
        <v>305</v>
      </c>
      <c r="M30" s="36">
        <v>470000</v>
      </c>
      <c r="N30" s="30">
        <f t="shared" si="8"/>
        <v>1540.983606557377</v>
      </c>
      <c r="P30" s="38">
        <f>SUM(L30:L31)</f>
        <v>635</v>
      </c>
      <c r="Q30" s="38">
        <f>SUM(M30:M31)</f>
        <v>1003000</v>
      </c>
      <c r="R30" s="30">
        <f>Q30/P30</f>
        <v>1579.5275590551182</v>
      </c>
      <c r="S30">
        <f>R30/R27</f>
        <v>6.9799861309949893</v>
      </c>
      <c r="T30" s="38">
        <f>Q30+P32*2000</f>
        <v>1067000</v>
      </c>
      <c r="U30" s="38">
        <f>P30+P32</f>
        <v>667</v>
      </c>
      <c r="V30">
        <f>T30/U30</f>
        <v>1599.7001499250375</v>
      </c>
    </row>
    <row r="31" spans="1:22" x14ac:dyDescent="0.3">
      <c r="C31">
        <v>2000</v>
      </c>
      <c r="E31">
        <v>1000</v>
      </c>
      <c r="F31" s="37">
        <v>500</v>
      </c>
      <c r="G31" s="37">
        <v>1000</v>
      </c>
      <c r="L31" s="36">
        <v>330</v>
      </c>
      <c r="M31" s="36">
        <v>533000</v>
      </c>
      <c r="N31" s="30">
        <f t="shared" si="8"/>
        <v>1615.1515151515152</v>
      </c>
    </row>
    <row r="32" spans="1:22" x14ac:dyDescent="0.3">
      <c r="E32">
        <v>2000</v>
      </c>
      <c r="F32" s="37">
        <v>500</v>
      </c>
      <c r="G32" s="37">
        <v>1000</v>
      </c>
      <c r="L32" s="36">
        <v>32</v>
      </c>
      <c r="M32" s="36">
        <v>77000</v>
      </c>
      <c r="N32" s="30">
        <f t="shared" si="8"/>
        <v>2406.25</v>
      </c>
      <c r="P32" s="38">
        <f>L32</f>
        <v>32</v>
      </c>
      <c r="Q32" s="38">
        <f>M32</f>
        <v>77000</v>
      </c>
      <c r="R32" s="30">
        <f>Q32/P32</f>
        <v>2406.25</v>
      </c>
      <c r="S32">
        <f>R32/R27</f>
        <v>10.63330078125</v>
      </c>
      <c r="T32" s="38">
        <f>Q32</f>
        <v>77000</v>
      </c>
      <c r="U32" s="38">
        <f>P32</f>
        <v>32</v>
      </c>
      <c r="V32">
        <f>T32/U32</f>
        <v>2406.25</v>
      </c>
    </row>
    <row r="33" spans="1:19" x14ac:dyDescent="0.3">
      <c r="E33">
        <v>5000</v>
      </c>
      <c r="F33" s="37">
        <v>500</v>
      </c>
      <c r="G33" s="37">
        <v>1000</v>
      </c>
      <c r="H33">
        <v>47</v>
      </c>
      <c r="L33" s="36">
        <f>SUM(L27:L32)</f>
        <v>10000</v>
      </c>
      <c r="M33" s="36">
        <f>SUM(M27:M32)</f>
        <v>3192000</v>
      </c>
      <c r="N33" s="30">
        <f t="shared" si="8"/>
        <v>319.2</v>
      </c>
      <c r="P33" s="36">
        <f>SUM(P27:P32)</f>
        <v>10000</v>
      </c>
      <c r="Q33" s="36">
        <f>SUM(Q27:Q32)</f>
        <v>3192000</v>
      </c>
      <c r="R33" s="30">
        <f t="shared" ref="R33" si="9">Q33/P33</f>
        <v>319.2</v>
      </c>
    </row>
    <row r="34" spans="1:19" x14ac:dyDescent="0.3">
      <c r="E34">
        <v>2000</v>
      </c>
      <c r="F34" s="37">
        <v>1000</v>
      </c>
      <c r="G34" s="37">
        <v>2000</v>
      </c>
      <c r="L34" s="36"/>
      <c r="M34" s="36"/>
      <c r="N34" s="30"/>
    </row>
    <row r="35" spans="1:19" x14ac:dyDescent="0.3">
      <c r="E35">
        <v>5000</v>
      </c>
      <c r="F35" s="37">
        <v>2000</v>
      </c>
      <c r="G35" s="37">
        <v>3000</v>
      </c>
      <c r="I35">
        <v>2680</v>
      </c>
      <c r="L35" t="s">
        <v>16</v>
      </c>
      <c r="M35" s="38">
        <f>(SUM(M27:M29)+SUM(L30:L32)*1000)/L33</f>
        <v>277.89999999999998</v>
      </c>
    </row>
    <row r="36" spans="1:19" x14ac:dyDescent="0.3">
      <c r="E36">
        <v>5000</v>
      </c>
      <c r="F36" s="37">
        <v>3000</v>
      </c>
      <c r="G36" s="37">
        <v>5000</v>
      </c>
      <c r="H36">
        <v>40</v>
      </c>
      <c r="I36">
        <v>4600</v>
      </c>
      <c r="L36" t="s">
        <v>17</v>
      </c>
      <c r="M36" s="38">
        <f>(M28+M30+M31+M29+M32*2000)/SUM(L28:L32)</f>
        <v>23437.378131093446</v>
      </c>
    </row>
    <row r="40" spans="1:19" x14ac:dyDescent="0.3">
      <c r="G40" t="s">
        <v>20</v>
      </c>
      <c r="H40" t="s">
        <v>21</v>
      </c>
      <c r="I40" t="s">
        <v>22</v>
      </c>
      <c r="J40" t="s">
        <v>23</v>
      </c>
      <c r="K40" t="s">
        <v>24</v>
      </c>
      <c r="L40" t="s">
        <v>25</v>
      </c>
      <c r="M40" t="s">
        <v>26</v>
      </c>
      <c r="N40" t="s">
        <v>27</v>
      </c>
    </row>
    <row r="41" spans="1:19" x14ac:dyDescent="0.3">
      <c r="F41">
        <v>0</v>
      </c>
      <c r="G41">
        <v>0</v>
      </c>
      <c r="H41">
        <v>0</v>
      </c>
      <c r="I41">
        <v>0</v>
      </c>
      <c r="J41">
        <v>0</v>
      </c>
      <c r="K41">
        <v>0</v>
      </c>
      <c r="L41">
        <v>0</v>
      </c>
      <c r="M41">
        <v>0</v>
      </c>
    </row>
    <row r="42" spans="1:19" x14ac:dyDescent="0.3">
      <c r="D42">
        <v>0</v>
      </c>
      <c r="E42" t="s">
        <v>18</v>
      </c>
      <c r="F42" s="39">
        <v>2000</v>
      </c>
      <c r="G42" s="39">
        <v>2704</v>
      </c>
      <c r="H42" s="39">
        <v>2704</v>
      </c>
      <c r="I42" s="40">
        <v>0.247</v>
      </c>
      <c r="J42" s="39">
        <v>2181588</v>
      </c>
      <c r="K42" s="39">
        <v>24554626</v>
      </c>
      <c r="L42" s="39">
        <v>26736214</v>
      </c>
      <c r="M42" s="39">
        <f>M41+L42</f>
        <v>26736214</v>
      </c>
      <c r="N42" s="36">
        <f t="shared" ref="N42:N49" si="10">J42/G42</f>
        <v>806.8002958579882</v>
      </c>
      <c r="O42">
        <f t="shared" ref="O42:O54" si="11">K42/J42</f>
        <v>11.255391027086691</v>
      </c>
    </row>
    <row r="43" spans="1:19" x14ac:dyDescent="0.3">
      <c r="D43" s="39">
        <v>2001</v>
      </c>
      <c r="E43" t="s">
        <v>18</v>
      </c>
      <c r="F43" s="39">
        <v>3000</v>
      </c>
      <c r="G43">
        <v>687</v>
      </c>
      <c r="H43" s="39">
        <v>3391</v>
      </c>
      <c r="I43" s="40">
        <v>0.31</v>
      </c>
      <c r="J43" s="39">
        <v>1737787</v>
      </c>
      <c r="K43" s="39">
        <v>958394</v>
      </c>
      <c r="L43" s="39">
        <v>2696181</v>
      </c>
      <c r="M43" s="39">
        <f t="shared" ref="M43:M55" si="12">M42+L43</f>
        <v>29432395</v>
      </c>
      <c r="N43" s="36">
        <f t="shared" si="10"/>
        <v>2529.5298398835516</v>
      </c>
      <c r="O43">
        <f t="shared" si="11"/>
        <v>0.55150257194926655</v>
      </c>
    </row>
    <row r="44" spans="1:19" x14ac:dyDescent="0.3">
      <c r="D44" s="39">
        <v>3001</v>
      </c>
      <c r="E44" t="s">
        <v>18</v>
      </c>
      <c r="F44" s="39">
        <v>5000</v>
      </c>
      <c r="G44">
        <v>958</v>
      </c>
      <c r="H44" s="39">
        <v>4349</v>
      </c>
      <c r="I44" s="40">
        <v>0.39800000000000002</v>
      </c>
      <c r="J44" s="39">
        <v>3973151</v>
      </c>
      <c r="K44" s="39">
        <v>1989278</v>
      </c>
      <c r="L44" s="39">
        <v>5962429</v>
      </c>
      <c r="M44" s="39">
        <f t="shared" si="12"/>
        <v>35394824</v>
      </c>
      <c r="N44" s="36">
        <f t="shared" si="10"/>
        <v>4147.3392484342376</v>
      </c>
      <c r="O44">
        <f t="shared" si="11"/>
        <v>0.50068019060941804</v>
      </c>
    </row>
    <row r="45" spans="1:19" x14ac:dyDescent="0.3">
      <c r="D45" s="39">
        <v>5001</v>
      </c>
      <c r="E45" t="s">
        <v>18</v>
      </c>
      <c r="F45" s="39">
        <v>7000</v>
      </c>
      <c r="G45">
        <v>602</v>
      </c>
      <c r="H45" s="39">
        <v>4951</v>
      </c>
      <c r="I45" s="40">
        <v>0.45300000000000001</v>
      </c>
      <c r="J45" s="39">
        <v>3646748</v>
      </c>
      <c r="K45" s="39">
        <v>1333984</v>
      </c>
      <c r="L45" s="39">
        <v>4980732</v>
      </c>
      <c r="M45" s="39">
        <f t="shared" si="12"/>
        <v>40375556</v>
      </c>
      <c r="N45" s="36">
        <f t="shared" si="10"/>
        <v>6057.7209302325582</v>
      </c>
      <c r="O45">
        <f t="shared" si="11"/>
        <v>0.3658009821353162</v>
      </c>
    </row>
    <row r="46" spans="1:19" x14ac:dyDescent="0.3">
      <c r="D46" s="39">
        <v>7001</v>
      </c>
      <c r="E46" t="s">
        <v>18</v>
      </c>
      <c r="F46" s="39">
        <v>8000</v>
      </c>
      <c r="G46">
        <v>283</v>
      </c>
      <c r="H46" s="39">
        <v>5234</v>
      </c>
      <c r="I46" s="40">
        <v>0.47899999999999998</v>
      </c>
      <c r="J46" s="39">
        <v>2140522</v>
      </c>
      <c r="K46" s="39">
        <v>1010011</v>
      </c>
      <c r="L46" s="39">
        <v>3150533</v>
      </c>
      <c r="M46" s="39">
        <f t="shared" si="12"/>
        <v>43526089</v>
      </c>
      <c r="N46" s="36">
        <f t="shared" si="10"/>
        <v>7563.6819787985869</v>
      </c>
      <c r="O46">
        <f t="shared" si="11"/>
        <v>0.47185266023895106</v>
      </c>
    </row>
    <row r="47" spans="1:19" x14ac:dyDescent="0.3">
      <c r="D47" s="39">
        <v>8001</v>
      </c>
      <c r="E47" t="s">
        <v>18</v>
      </c>
      <c r="F47" s="39">
        <v>10000</v>
      </c>
      <c r="G47">
        <v>504</v>
      </c>
      <c r="H47" s="39">
        <v>5738</v>
      </c>
      <c r="I47" s="40">
        <v>0.52500000000000002</v>
      </c>
      <c r="J47" s="39">
        <v>4714077</v>
      </c>
      <c r="K47" s="39">
        <v>2400964</v>
      </c>
      <c r="L47" s="39">
        <v>7115041</v>
      </c>
      <c r="M47" s="39">
        <f t="shared" si="12"/>
        <v>50641130</v>
      </c>
      <c r="N47" s="36">
        <f t="shared" si="10"/>
        <v>9353.3273809523816</v>
      </c>
      <c r="O47">
        <f t="shared" si="11"/>
        <v>0.50931794283377207</v>
      </c>
    </row>
    <row r="48" spans="1:19" x14ac:dyDescent="0.3">
      <c r="A48" s="41">
        <f t="shared" ref="A48:A54" si="13">D48*5/1000</f>
        <v>50.005000000000003</v>
      </c>
      <c r="B48" s="41"/>
      <c r="C48" s="41">
        <f t="shared" ref="C48:C54" si="14">F48*5/1000</f>
        <v>75</v>
      </c>
      <c r="D48" s="42">
        <v>10001</v>
      </c>
      <c r="E48" s="41" t="s">
        <v>18</v>
      </c>
      <c r="F48" s="42">
        <v>15000</v>
      </c>
      <c r="G48" s="41">
        <v>807</v>
      </c>
      <c r="H48" s="42">
        <v>6545</v>
      </c>
      <c r="I48" s="43">
        <v>0.59899999999999998</v>
      </c>
      <c r="J48" s="42">
        <v>10236553</v>
      </c>
      <c r="K48" s="42">
        <v>3319777</v>
      </c>
      <c r="L48" s="42">
        <v>13556330</v>
      </c>
      <c r="M48" s="42">
        <f t="shared" si="12"/>
        <v>64197460</v>
      </c>
      <c r="N48" s="44">
        <f t="shared" si="10"/>
        <v>12684.700123915738</v>
      </c>
      <c r="O48">
        <f t="shared" si="11"/>
        <v>0.32430614094412447</v>
      </c>
      <c r="S48" s="36">
        <f>K48/G48</f>
        <v>4113.7261462205697</v>
      </c>
    </row>
    <row r="49" spans="1:19" x14ac:dyDescent="0.3">
      <c r="A49" s="41">
        <f t="shared" si="13"/>
        <v>75.004999999999995</v>
      </c>
      <c r="B49" s="41"/>
      <c r="C49" s="41">
        <f t="shared" si="14"/>
        <v>500</v>
      </c>
      <c r="D49" s="42">
        <v>15001</v>
      </c>
      <c r="E49" s="41" t="s">
        <v>18</v>
      </c>
      <c r="F49" s="42">
        <v>100000</v>
      </c>
      <c r="G49" s="42">
        <v>3626</v>
      </c>
      <c r="H49" s="42">
        <v>10171</v>
      </c>
      <c r="I49" s="43">
        <v>0.93</v>
      </c>
      <c r="J49" s="42">
        <v>150955504</v>
      </c>
      <c r="K49" s="42">
        <v>32654185</v>
      </c>
      <c r="L49" s="42">
        <v>183609689</v>
      </c>
      <c r="M49" s="42">
        <f t="shared" si="12"/>
        <v>247807149</v>
      </c>
      <c r="N49" s="44">
        <f t="shared" si="10"/>
        <v>41631.413127413129</v>
      </c>
      <c r="O49">
        <f t="shared" si="11"/>
        <v>0.21631662400332219</v>
      </c>
      <c r="S49" s="36">
        <f t="shared" ref="S49:S55" si="15">K49/G49</f>
        <v>9005.5667402095969</v>
      </c>
    </row>
    <row r="50" spans="1:19" x14ac:dyDescent="0.3">
      <c r="A50" s="41">
        <f t="shared" si="13"/>
        <v>500.005</v>
      </c>
      <c r="B50" s="41"/>
      <c r="C50" s="41">
        <f t="shared" si="14"/>
        <v>1000</v>
      </c>
      <c r="D50" s="42">
        <v>100001</v>
      </c>
      <c r="E50" s="41" t="s">
        <v>18</v>
      </c>
      <c r="F50" s="42">
        <v>200000</v>
      </c>
      <c r="G50" s="41">
        <v>452</v>
      </c>
      <c r="H50" s="42">
        <v>10623</v>
      </c>
      <c r="I50" s="43">
        <v>0.97199999999999998</v>
      </c>
      <c r="J50" s="42">
        <v>63457137</v>
      </c>
      <c r="K50" s="42">
        <v>8925339</v>
      </c>
      <c r="L50" s="42">
        <v>72382476</v>
      </c>
      <c r="M50" s="42">
        <f t="shared" si="12"/>
        <v>320189625</v>
      </c>
      <c r="N50" s="44">
        <f t="shared" ref="N50:N54" si="16">J50/G50</f>
        <v>140391.89601769912</v>
      </c>
      <c r="O50">
        <f t="shared" si="11"/>
        <v>0.14065146052838784</v>
      </c>
      <c r="S50" s="36">
        <f t="shared" si="15"/>
        <v>19746.325221238938</v>
      </c>
    </row>
    <row r="51" spans="1:19" x14ac:dyDescent="0.3">
      <c r="A51" s="41">
        <f t="shared" si="13"/>
        <v>1000.005</v>
      </c>
      <c r="B51" s="41"/>
      <c r="C51" s="41">
        <f t="shared" si="14"/>
        <v>1500</v>
      </c>
      <c r="D51" s="42">
        <v>200001</v>
      </c>
      <c r="E51" s="41" t="s">
        <v>18</v>
      </c>
      <c r="F51" s="42">
        <v>300000</v>
      </c>
      <c r="G51" s="41">
        <v>141</v>
      </c>
      <c r="H51" s="42">
        <v>10764</v>
      </c>
      <c r="I51" s="43">
        <v>0.98499999999999999</v>
      </c>
      <c r="J51" s="42">
        <v>34323055</v>
      </c>
      <c r="K51" s="42">
        <v>5777615</v>
      </c>
      <c r="L51" s="42">
        <v>40100670</v>
      </c>
      <c r="M51" s="42">
        <f t="shared" si="12"/>
        <v>360290295</v>
      </c>
      <c r="N51" s="44">
        <f t="shared" si="16"/>
        <v>243425.9219858156</v>
      </c>
      <c r="O51">
        <f t="shared" si="11"/>
        <v>0.1683304414481753</v>
      </c>
      <c r="S51" s="36">
        <f t="shared" si="15"/>
        <v>40975.992907801417</v>
      </c>
    </row>
    <row r="52" spans="1:19" x14ac:dyDescent="0.3">
      <c r="A52" s="41">
        <f t="shared" si="13"/>
        <v>1500.0050000000001</v>
      </c>
      <c r="B52" s="41"/>
      <c r="C52" s="41">
        <f t="shared" si="14"/>
        <v>2500</v>
      </c>
      <c r="D52" s="42">
        <v>300001</v>
      </c>
      <c r="E52" s="41" t="s">
        <v>18</v>
      </c>
      <c r="F52" s="42">
        <v>500000</v>
      </c>
      <c r="G52" s="41">
        <v>94</v>
      </c>
      <c r="H52" s="42">
        <v>10858</v>
      </c>
      <c r="I52" s="43">
        <v>0.99299999999999999</v>
      </c>
      <c r="J52" s="42">
        <v>36576789</v>
      </c>
      <c r="K52" s="42">
        <v>5684773</v>
      </c>
      <c r="L52" s="42">
        <v>42261562</v>
      </c>
      <c r="M52" s="42">
        <f t="shared" si="12"/>
        <v>402551857</v>
      </c>
      <c r="N52" s="44">
        <f t="shared" si="16"/>
        <v>389114.77659574465</v>
      </c>
      <c r="O52">
        <f t="shared" si="11"/>
        <v>0.15542023111979567</v>
      </c>
      <c r="S52" s="36">
        <f t="shared" si="15"/>
        <v>60476.308510638301</v>
      </c>
    </row>
    <row r="53" spans="1:19" x14ac:dyDescent="0.3">
      <c r="A53" s="41">
        <f t="shared" si="13"/>
        <v>2500.0050000000001</v>
      </c>
      <c r="B53" s="41"/>
      <c r="C53" s="41">
        <f t="shared" si="14"/>
        <v>3500</v>
      </c>
      <c r="D53" s="42">
        <v>500001</v>
      </c>
      <c r="E53" s="41" t="s">
        <v>18</v>
      </c>
      <c r="F53" s="42">
        <v>700000</v>
      </c>
      <c r="G53" s="41">
        <v>27</v>
      </c>
      <c r="H53" s="42">
        <v>10885</v>
      </c>
      <c r="I53" s="43">
        <v>0.996</v>
      </c>
      <c r="J53" s="42">
        <v>15120645</v>
      </c>
      <c r="K53" s="42">
        <v>1626123</v>
      </c>
      <c r="L53" s="42">
        <v>16746768</v>
      </c>
      <c r="M53" s="42">
        <f t="shared" si="12"/>
        <v>419298625</v>
      </c>
      <c r="N53" s="44">
        <f t="shared" si="16"/>
        <v>560023.88888888888</v>
      </c>
      <c r="O53">
        <f t="shared" si="11"/>
        <v>0.10754322980269691</v>
      </c>
      <c r="P53" s="30">
        <f>M53+700000*(G54+G55)+K54+K55</f>
        <v>454753442</v>
      </c>
      <c r="Q53" s="32">
        <f>P53/G56</f>
        <v>41602.181136218096</v>
      </c>
      <c r="S53" s="36">
        <f t="shared" si="15"/>
        <v>60226.777777777781</v>
      </c>
    </row>
    <row r="54" spans="1:19" x14ac:dyDescent="0.3">
      <c r="A54" s="41">
        <f t="shared" si="13"/>
        <v>3500.0050000000001</v>
      </c>
      <c r="B54" s="41"/>
      <c r="C54" s="41">
        <f t="shared" si="14"/>
        <v>4000</v>
      </c>
      <c r="D54" s="42">
        <v>700001</v>
      </c>
      <c r="E54" s="41" t="s">
        <v>18</v>
      </c>
      <c r="F54" s="42">
        <v>800000</v>
      </c>
      <c r="G54" s="41">
        <v>13</v>
      </c>
      <c r="H54" s="42">
        <v>10898</v>
      </c>
      <c r="I54" s="43">
        <v>0.997</v>
      </c>
      <c r="J54" s="42">
        <v>9787681</v>
      </c>
      <c r="K54" s="42">
        <v>463687</v>
      </c>
      <c r="L54" s="42">
        <v>10251368</v>
      </c>
      <c r="M54" s="42">
        <f t="shared" si="12"/>
        <v>429549993</v>
      </c>
      <c r="N54" s="44">
        <f t="shared" si="16"/>
        <v>752898.5384615385</v>
      </c>
      <c r="O54">
        <f t="shared" si="11"/>
        <v>4.737455174519889E-2</v>
      </c>
      <c r="P54" s="30">
        <f>M54+G55*800000+K55</f>
        <v>458741123</v>
      </c>
      <c r="Q54" s="32">
        <f>P54/G56</f>
        <v>41966.985911627482</v>
      </c>
      <c r="S54" s="36">
        <f t="shared" si="15"/>
        <v>35668.230769230766</v>
      </c>
    </row>
    <row r="55" spans="1:19" x14ac:dyDescent="0.3">
      <c r="A55" s="41">
        <v>5000</v>
      </c>
      <c r="B55" s="41"/>
      <c r="C55" s="41">
        <v>5000</v>
      </c>
      <c r="D55" s="42">
        <v>800001</v>
      </c>
      <c r="E55" s="41" t="s">
        <v>18</v>
      </c>
      <c r="F55" s="41" t="s">
        <v>19</v>
      </c>
      <c r="G55" s="41">
        <v>33</v>
      </c>
      <c r="H55" s="42">
        <v>10931</v>
      </c>
      <c r="I55" s="43">
        <v>1</v>
      </c>
      <c r="J55" s="42">
        <v>46877755</v>
      </c>
      <c r="K55" s="42">
        <v>2791130</v>
      </c>
      <c r="L55" s="42">
        <v>49668885</v>
      </c>
      <c r="M55" s="42">
        <f t="shared" si="12"/>
        <v>479218878</v>
      </c>
      <c r="N55" s="44">
        <f>J55/G55</f>
        <v>1420538.0303030303</v>
      </c>
      <c r="O55">
        <f>K55/J55</f>
        <v>5.9540607266708914E-2</v>
      </c>
      <c r="P55" s="30">
        <f>M55</f>
        <v>479218878</v>
      </c>
      <c r="Q55" s="32">
        <f>P55/G56</f>
        <v>43840.351111517703</v>
      </c>
      <c r="S55" s="36">
        <f t="shared" si="15"/>
        <v>84579.696969696975</v>
      </c>
    </row>
    <row r="56" spans="1:19" x14ac:dyDescent="0.3">
      <c r="G56" s="39">
        <f>SUM(G42:G55)</f>
        <v>10931</v>
      </c>
      <c r="J56" s="39">
        <f>SUM(J42:J55)</f>
        <v>385728992</v>
      </c>
      <c r="K56" s="39">
        <f>SUM(K42:K55)</f>
        <v>93489886</v>
      </c>
      <c r="L56" s="39">
        <f>SUM(L42:L55)</f>
        <v>479218878</v>
      </c>
    </row>
    <row r="60" spans="1:19" x14ac:dyDescent="0.3">
      <c r="F60" s="39">
        <f>F50</f>
        <v>200000</v>
      </c>
      <c r="G60" s="39">
        <f>SUM(G42:G50)</f>
        <v>10623</v>
      </c>
      <c r="H60" s="39">
        <f>G60</f>
        <v>10623</v>
      </c>
      <c r="I60" s="33">
        <f>H60/$H$65</f>
        <v>0.97182325496294941</v>
      </c>
      <c r="J60" s="39">
        <f>SUM(J42:J50)</f>
        <v>243043067</v>
      </c>
      <c r="K60" s="39">
        <f>SUM(K42:K50)</f>
        <v>77146558</v>
      </c>
      <c r="L60" s="39">
        <f>SUM(J60:K60)</f>
        <v>320189625</v>
      </c>
      <c r="M60" s="39">
        <f>L60</f>
        <v>320189625</v>
      </c>
    </row>
    <row r="61" spans="1:19" x14ac:dyDescent="0.3">
      <c r="F61" s="39">
        <f t="shared" ref="F61:G65" si="17">F51</f>
        <v>300000</v>
      </c>
      <c r="G61">
        <f>G51</f>
        <v>141</v>
      </c>
      <c r="H61" s="39">
        <f>H60+G61</f>
        <v>10764</v>
      </c>
      <c r="I61" s="33">
        <f t="shared" ref="I61:I65" si="18">H61/$H$65</f>
        <v>0.98472234928185898</v>
      </c>
      <c r="J61" s="39">
        <f>J51</f>
        <v>34323055</v>
      </c>
      <c r="K61" s="39">
        <f>K51</f>
        <v>5777615</v>
      </c>
      <c r="L61" s="39">
        <f t="shared" ref="L61:L65" si="19">SUM(J61:K61)</f>
        <v>40100670</v>
      </c>
      <c r="M61" s="39">
        <f>L61+M60</f>
        <v>360290295</v>
      </c>
    </row>
    <row r="62" spans="1:19" x14ac:dyDescent="0.3">
      <c r="F62" s="39">
        <f t="shared" si="17"/>
        <v>500000</v>
      </c>
      <c r="G62">
        <f t="shared" si="17"/>
        <v>94</v>
      </c>
      <c r="H62" s="39">
        <f t="shared" ref="H62:H65" si="20">H61+G62</f>
        <v>10858</v>
      </c>
      <c r="I62" s="33">
        <f t="shared" si="18"/>
        <v>0.99332174549446528</v>
      </c>
      <c r="J62" s="39">
        <f t="shared" ref="J62:K65" si="21">J52</f>
        <v>36576789</v>
      </c>
      <c r="K62" s="39">
        <f t="shared" si="21"/>
        <v>5684773</v>
      </c>
      <c r="L62" s="39">
        <f t="shared" si="19"/>
        <v>42261562</v>
      </c>
      <c r="M62" s="39">
        <f t="shared" ref="M62:M65" si="22">L62+M61</f>
        <v>402551857</v>
      </c>
    </row>
    <row r="63" spans="1:19" x14ac:dyDescent="0.3">
      <c r="F63" s="39">
        <f t="shared" si="17"/>
        <v>700000</v>
      </c>
      <c r="G63">
        <f t="shared" si="17"/>
        <v>27</v>
      </c>
      <c r="H63" s="39">
        <f t="shared" si="20"/>
        <v>10885</v>
      </c>
      <c r="I63" s="33">
        <f t="shared" si="18"/>
        <v>0.99579178483212882</v>
      </c>
      <c r="J63" s="39">
        <f t="shared" si="21"/>
        <v>15120645</v>
      </c>
      <c r="K63" s="39">
        <f t="shared" si="21"/>
        <v>1626123</v>
      </c>
      <c r="L63" s="39">
        <f t="shared" si="19"/>
        <v>16746768</v>
      </c>
      <c r="M63" s="39">
        <f t="shared" si="22"/>
        <v>419298625</v>
      </c>
    </row>
    <row r="64" spans="1:19" x14ac:dyDescent="0.3">
      <c r="F64" s="39">
        <f t="shared" si="17"/>
        <v>800000</v>
      </c>
      <c r="G64">
        <f t="shared" si="17"/>
        <v>13</v>
      </c>
      <c r="H64" s="39">
        <f t="shared" si="20"/>
        <v>10898</v>
      </c>
      <c r="I64" s="33">
        <f t="shared" si="18"/>
        <v>0.99698106303174461</v>
      </c>
      <c r="J64" s="39">
        <f t="shared" si="21"/>
        <v>9787681</v>
      </c>
      <c r="K64" s="39">
        <f t="shared" si="21"/>
        <v>463687</v>
      </c>
      <c r="L64" s="39">
        <f t="shared" si="19"/>
        <v>10251368</v>
      </c>
      <c r="M64" s="39">
        <f t="shared" si="22"/>
        <v>429549993</v>
      </c>
    </row>
    <row r="65" spans="1:14" x14ac:dyDescent="0.3">
      <c r="F65" s="39" t="str">
        <f t="shared" si="17"/>
        <v>unlimited</v>
      </c>
      <c r="G65">
        <f t="shared" si="17"/>
        <v>33</v>
      </c>
      <c r="H65" s="39">
        <f t="shared" si="20"/>
        <v>10931</v>
      </c>
      <c r="I65" s="33">
        <f t="shared" si="18"/>
        <v>1</v>
      </c>
      <c r="J65" s="39">
        <f t="shared" si="21"/>
        <v>46877755</v>
      </c>
      <c r="K65" s="39">
        <f t="shared" si="21"/>
        <v>2791130</v>
      </c>
      <c r="L65" s="39">
        <f t="shared" si="19"/>
        <v>49668885</v>
      </c>
      <c r="M65" s="39">
        <f t="shared" si="22"/>
        <v>479218878</v>
      </c>
    </row>
    <row r="71" spans="1:14" x14ac:dyDescent="0.3">
      <c r="D71" t="s">
        <v>11</v>
      </c>
      <c r="E71" t="s">
        <v>12</v>
      </c>
    </row>
    <row r="72" spans="1:14" x14ac:dyDescent="0.3">
      <c r="D72">
        <v>50</v>
      </c>
      <c r="E72">
        <v>500</v>
      </c>
      <c r="G72" s="39">
        <f>G49+G48</f>
        <v>4433</v>
      </c>
      <c r="H72" s="38">
        <f t="shared" ref="H72:H77" si="23">J72/G72</f>
        <v>181809.22287390029</v>
      </c>
      <c r="J72" s="36">
        <f>(J49+J48)*5</f>
        <v>805960285</v>
      </c>
      <c r="K72" s="36">
        <f>(K49+K48)*5</f>
        <v>179869810</v>
      </c>
      <c r="L72" s="36">
        <f t="shared" ref="L72:L77" si="24">SUM(J72:K72)</f>
        <v>985830095</v>
      </c>
      <c r="N72">
        <f>K72/J72</f>
        <v>0.22317453272526946</v>
      </c>
    </row>
    <row r="73" spans="1:14" x14ac:dyDescent="0.3">
      <c r="D73">
        <f>E72+1</f>
        <v>501</v>
      </c>
      <c r="E73">
        <v>1000</v>
      </c>
      <c r="G73">
        <f>G50</f>
        <v>452</v>
      </c>
      <c r="H73" s="38">
        <f t="shared" si="23"/>
        <v>701959.48008849553</v>
      </c>
      <c r="J73" s="36">
        <f t="shared" ref="J73:K76" si="25">J50*5</f>
        <v>317285685</v>
      </c>
      <c r="K73" s="36">
        <f t="shared" si="25"/>
        <v>44626695</v>
      </c>
      <c r="L73" s="36">
        <f t="shared" si="24"/>
        <v>361912380</v>
      </c>
      <c r="N73">
        <f t="shared" ref="N73:N77" si="26">K73/J73</f>
        <v>0.14065146052838784</v>
      </c>
    </row>
    <row r="74" spans="1:14" x14ac:dyDescent="0.3">
      <c r="D74">
        <f>E73+1</f>
        <v>1001</v>
      </c>
      <c r="E74">
        <v>1500</v>
      </c>
      <c r="G74">
        <f>G51</f>
        <v>141</v>
      </c>
      <c r="H74" s="38">
        <f t="shared" si="23"/>
        <v>1217129.609929078</v>
      </c>
      <c r="J74" s="36">
        <f t="shared" si="25"/>
        <v>171615275</v>
      </c>
      <c r="K74" s="36">
        <f t="shared" si="25"/>
        <v>28888075</v>
      </c>
      <c r="L74" s="36">
        <f t="shared" si="24"/>
        <v>200503350</v>
      </c>
      <c r="N74">
        <f t="shared" si="26"/>
        <v>0.1683304414481753</v>
      </c>
    </row>
    <row r="75" spans="1:14" x14ac:dyDescent="0.3">
      <c r="A75">
        <f>E75/5</f>
        <v>500</v>
      </c>
      <c r="D75">
        <f t="shared" ref="D75:D77" si="27">E74+1</f>
        <v>1501</v>
      </c>
      <c r="E75">
        <v>2500</v>
      </c>
      <c r="G75">
        <f>G52</f>
        <v>94</v>
      </c>
      <c r="H75" s="38">
        <f t="shared" si="23"/>
        <v>1945573.8829787234</v>
      </c>
      <c r="J75" s="36">
        <f t="shared" si="25"/>
        <v>182883945</v>
      </c>
      <c r="K75" s="36">
        <f t="shared" si="25"/>
        <v>28423865</v>
      </c>
      <c r="L75" s="36">
        <f t="shared" si="24"/>
        <v>211307810</v>
      </c>
      <c r="N75">
        <f t="shared" si="26"/>
        <v>0.15542023111979567</v>
      </c>
    </row>
    <row r="76" spans="1:14" x14ac:dyDescent="0.3">
      <c r="A76">
        <f>E76/5</f>
        <v>700</v>
      </c>
      <c r="D76">
        <f t="shared" si="27"/>
        <v>2501</v>
      </c>
      <c r="E76">
        <v>3500</v>
      </c>
      <c r="G76">
        <f>G53</f>
        <v>27</v>
      </c>
      <c r="H76" s="38">
        <f t="shared" si="23"/>
        <v>2800119.4444444445</v>
      </c>
      <c r="J76" s="36">
        <f t="shared" si="25"/>
        <v>75603225</v>
      </c>
      <c r="K76" s="36">
        <f t="shared" si="25"/>
        <v>8130615</v>
      </c>
      <c r="L76" s="36">
        <f t="shared" si="24"/>
        <v>83733840</v>
      </c>
      <c r="N76">
        <f t="shared" si="26"/>
        <v>0.10754322980269691</v>
      </c>
    </row>
    <row r="77" spans="1:14" x14ac:dyDescent="0.3">
      <c r="A77">
        <f>E77/5</f>
        <v>1000</v>
      </c>
      <c r="D77">
        <f t="shared" si="27"/>
        <v>3501</v>
      </c>
      <c r="E77">
        <v>5000</v>
      </c>
      <c r="G77">
        <f>SUM(G54:G55)</f>
        <v>46</v>
      </c>
      <c r="H77" s="38">
        <f t="shared" si="23"/>
        <v>6159286.5217391308</v>
      </c>
      <c r="J77" s="36">
        <f>SUM(J54:J55)*5</f>
        <v>283327180</v>
      </c>
      <c r="K77" s="36">
        <f>SUM(K54:K55)*5</f>
        <v>16274085</v>
      </c>
      <c r="L77" s="36">
        <f t="shared" si="24"/>
        <v>299601265</v>
      </c>
      <c r="N77">
        <f t="shared" si="26"/>
        <v>5.743919450297709E-2</v>
      </c>
    </row>
    <row r="78" spans="1:14" x14ac:dyDescent="0.3">
      <c r="A78">
        <f>E78/5</f>
        <v>0</v>
      </c>
      <c r="J78" s="36"/>
      <c r="K78" s="36"/>
      <c r="L78" s="36"/>
    </row>
    <row r="79" spans="1:14" x14ac:dyDescent="0.3">
      <c r="A79">
        <f>E79/5</f>
        <v>0</v>
      </c>
      <c r="J79" s="36"/>
      <c r="K79" s="36"/>
      <c r="L79" s="36"/>
    </row>
    <row r="80" spans="1:14" x14ac:dyDescent="0.3">
      <c r="E80">
        <f>E72</f>
        <v>500</v>
      </c>
      <c r="F80">
        <v>0.65</v>
      </c>
      <c r="G80" s="36">
        <f>ROUND(G72*F80,0)</f>
        <v>2881</v>
      </c>
      <c r="H80" s="36">
        <v>235817</v>
      </c>
      <c r="J80" s="36">
        <f>H80*G80</f>
        <v>679388777</v>
      </c>
      <c r="K80" s="36"/>
      <c r="L80" s="36"/>
      <c r="N80" s="33">
        <v>0.20200000000000001</v>
      </c>
    </row>
    <row r="81" spans="1:14" x14ac:dyDescent="0.3">
      <c r="E81">
        <f t="shared" ref="E81:E85" si="28">E73</f>
        <v>1000</v>
      </c>
      <c r="F81">
        <v>0.85</v>
      </c>
      <c r="G81" s="36">
        <f t="shared" ref="G81:G85" si="29">ROUND(G73*F81,0)</f>
        <v>384</v>
      </c>
      <c r="H81" s="36">
        <v>715448</v>
      </c>
      <c r="J81" s="36">
        <f t="shared" ref="J81:J85" si="30">H81*G81</f>
        <v>274732032</v>
      </c>
      <c r="K81" s="36"/>
      <c r="L81" s="36"/>
      <c r="N81" s="33">
        <v>0.153</v>
      </c>
    </row>
    <row r="82" spans="1:14" x14ac:dyDescent="0.3">
      <c r="A82">
        <f>700*5</f>
        <v>3500</v>
      </c>
      <c r="E82">
        <f t="shared" si="28"/>
        <v>1500</v>
      </c>
      <c r="F82">
        <v>0.88</v>
      </c>
      <c r="G82" s="36">
        <f t="shared" si="29"/>
        <v>124</v>
      </c>
      <c r="H82" s="36">
        <v>1232765</v>
      </c>
      <c r="J82" s="36">
        <f t="shared" si="30"/>
        <v>152862860</v>
      </c>
      <c r="N82" s="33">
        <v>0.16500000000000001</v>
      </c>
    </row>
    <row r="83" spans="1:14" x14ac:dyDescent="0.3">
      <c r="E83">
        <f t="shared" si="28"/>
        <v>2500</v>
      </c>
      <c r="F83">
        <v>0.82</v>
      </c>
      <c r="G83" s="36">
        <f t="shared" si="29"/>
        <v>77</v>
      </c>
      <c r="H83" s="36">
        <v>1960198</v>
      </c>
      <c r="J83" s="36">
        <f t="shared" si="30"/>
        <v>150935246</v>
      </c>
      <c r="N83" s="33">
        <v>0.14000000000000001</v>
      </c>
    </row>
    <row r="84" spans="1:14" x14ac:dyDescent="0.3">
      <c r="E84">
        <f t="shared" si="28"/>
        <v>3500</v>
      </c>
      <c r="F84">
        <v>0.8</v>
      </c>
      <c r="G84" s="36">
        <f t="shared" si="29"/>
        <v>22</v>
      </c>
      <c r="H84" s="36">
        <v>2825640</v>
      </c>
      <c r="J84" s="36">
        <f t="shared" si="30"/>
        <v>62164080</v>
      </c>
      <c r="N84" s="33">
        <v>9.5000000000000001E-2</v>
      </c>
    </row>
    <row r="85" spans="1:14" x14ac:dyDescent="0.3">
      <c r="E85">
        <f t="shared" si="28"/>
        <v>5000</v>
      </c>
      <c r="F85">
        <v>0.9</v>
      </c>
      <c r="G85" s="36">
        <f t="shared" si="29"/>
        <v>41</v>
      </c>
      <c r="H85" s="36">
        <v>4243226</v>
      </c>
      <c r="J85" s="36">
        <f t="shared" si="30"/>
        <v>173972266</v>
      </c>
      <c r="N85" s="33">
        <v>7.3999999999999996E-2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Q1</vt:lpstr>
      <vt:lpstr>Q2</vt:lpstr>
      <vt:lpstr>Q3</vt:lpstr>
      <vt:lpstr>Q4</vt:lpstr>
      <vt:lpstr>Q5</vt:lpstr>
      <vt:lpstr>Q6</vt:lpstr>
      <vt:lpstr>Q7</vt:lpstr>
      <vt:lpstr>Q8</vt:lpstr>
      <vt:lpstr>Q9</vt:lpstr>
      <vt:lpstr>Q10</vt:lpstr>
      <vt:lpstr>Q11</vt:lpstr>
      <vt:lpstr>Q12</vt:lpstr>
      <vt:lpstr>Q13</vt:lpstr>
      <vt:lpstr>Sheet2</vt:lpstr>
      <vt:lpstr>attach2</vt:lpstr>
      <vt:lpstr>ILF_Tab</vt:lpstr>
      <vt:lpstr>layer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Aleshia Zionce</cp:lastModifiedBy>
  <cp:lastPrinted>2018-12-31T14:01:19Z</cp:lastPrinted>
  <dcterms:created xsi:type="dcterms:W3CDTF">2016-11-07T18:30:57Z</dcterms:created>
  <dcterms:modified xsi:type="dcterms:W3CDTF">2024-02-02T13:51:40Z</dcterms:modified>
</cp:coreProperties>
</file>