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Q:\Aleshia\Fall 2021 solutions\"/>
    </mc:Choice>
  </mc:AlternateContent>
  <xr:revisionPtr revIDLastSave="0" documentId="8_{CD38686B-07A5-459A-9288-84A0DC90CFCD}" xr6:coauthVersionLast="47" xr6:coauthVersionMax="47" xr10:uidLastSave="{00000000-0000-0000-0000-000000000000}"/>
  <bookViews>
    <workbookView xWindow="732" yWindow="732" windowWidth="17280" windowHeight="8964" activeTab="2" xr2:uid="{00000000-000D-0000-FFFF-FFFF00000000}"/>
  </bookViews>
  <sheets>
    <sheet name="Question 4" sheetId="10" r:id="rId1"/>
    <sheet name="Question 8" sheetId="8" r:id="rId2"/>
    <sheet name="Question 10" sheetId="9" r:id="rId3"/>
  </sheets>
  <externalReferences>
    <externalReference r:id="rId4"/>
  </externalReferences>
  <definedNames>
    <definedName name="_Hlk57124538" localSheetId="1">'Question 8'!#REF!</definedName>
    <definedName name="canflag">'[1]Overview - Canada'!$N$1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4" i="10" l="1"/>
  <c r="AF43" i="10"/>
  <c r="AF42" i="10"/>
  <c r="AF41" i="10"/>
  <c r="AF40" i="10"/>
  <c r="AF39" i="10"/>
  <c r="AF38" i="10"/>
  <c r="AF37" i="10"/>
  <c r="AF36" i="10"/>
  <c r="AF35" i="10"/>
  <c r="AD35" i="10"/>
  <c r="AD36" i="10" s="1"/>
  <c r="AE23" i="10"/>
  <c r="AF26" i="10" s="1"/>
  <c r="R16" i="10"/>
  <c r="R25" i="10" s="1"/>
  <c r="AF14" i="10"/>
  <c r="AF17" i="10" s="1"/>
  <c r="R13" i="10"/>
  <c r="R22" i="10" s="1"/>
  <c r="P10" i="10"/>
  <c r="AC10" i="10" s="1"/>
  <c r="AC7" i="10"/>
  <c r="P7" i="10"/>
  <c r="AE29" i="10" l="1"/>
  <c r="S28" i="10"/>
  <c r="T31" i="10" s="1"/>
  <c r="S34" i="10" s="1"/>
  <c r="R37" i="10" s="1"/>
  <c r="U40" i="10" s="1"/>
  <c r="AD37" i="10"/>
  <c r="AE36" i="10"/>
  <c r="AG36" i="10" s="1"/>
  <c r="AE35" i="10"/>
  <c r="AG35" i="10" s="1"/>
  <c r="R19" i="10"/>
  <c r="AE37" i="10" l="1"/>
  <c r="AG37" i="10" s="1"/>
  <c r="AD38" i="10"/>
  <c r="AE38" i="10" l="1"/>
  <c r="AG38" i="10" s="1"/>
  <c r="AD39" i="10"/>
  <c r="AD40" i="10" l="1"/>
  <c r="AE39" i="10"/>
  <c r="AG39" i="10" s="1"/>
  <c r="AD41" i="10" l="1"/>
  <c r="AE40" i="10"/>
  <c r="AG40" i="10" s="1"/>
  <c r="AD42" i="10" l="1"/>
  <c r="AE41" i="10"/>
  <c r="AG41" i="10" s="1"/>
  <c r="AD43" i="10" l="1"/>
  <c r="AE42" i="10"/>
  <c r="AG42" i="10" s="1"/>
  <c r="AD44" i="10" l="1"/>
  <c r="AE44" i="10" s="1"/>
  <c r="AG44" i="10" s="1"/>
  <c r="AE43" i="10"/>
  <c r="AG43" i="10" s="1"/>
  <c r="AG46" i="10" l="1"/>
  <c r="Q26" i="9" l="1"/>
  <c r="P26" i="9"/>
  <c r="O26" i="9"/>
  <c r="R26" i="9" s="1"/>
  <c r="Q28" i="9" s="1"/>
  <c r="Q18" i="9"/>
  <c r="O18" i="9"/>
  <c r="Q45" i="8"/>
  <c r="R18" i="9" l="1"/>
  <c r="Q20" i="9" s="1"/>
  <c r="Q100" i="8"/>
  <c r="Q94" i="8"/>
  <c r="Q76" i="8"/>
  <c r="Q65" i="8"/>
  <c r="Q61" i="8"/>
  <c r="Q54" i="8"/>
  <c r="Q68" i="8"/>
  <c r="Q131" i="8"/>
  <c r="Q132" i="8"/>
  <c r="Q70" i="8"/>
  <c r="Q69" i="8"/>
  <c r="Q51" i="8"/>
  <c r="Q50" i="8"/>
  <c r="S154" i="8"/>
  <c r="S152" i="8"/>
  <c r="Q46" i="8"/>
  <c r="R150" i="8" l="1"/>
  <c r="Q77" i="8"/>
  <c r="Q78" i="8" s="1"/>
  <c r="Q80" i="8"/>
  <c r="Q81" i="8" s="1"/>
  <c r="Q153" i="8" l="1"/>
  <c r="Q150" i="8"/>
  <c r="Q149" i="8"/>
  <c r="T159" i="8"/>
  <c r="T154" i="8"/>
  <c r="R159" i="8"/>
  <c r="R37" i="8"/>
  <c r="R36" i="8"/>
  <c r="R35" i="8"/>
  <c r="Q34" i="8"/>
  <c r="R34" i="8" s="1"/>
  <c r="Q33" i="8"/>
  <c r="R33" i="8" s="1"/>
  <c r="R32" i="8"/>
  <c r="Q87" i="8" l="1"/>
  <c r="Q86" i="8"/>
  <c r="Q88" i="8"/>
  <c r="Q74" i="8"/>
  <c r="Q83" i="8" s="1"/>
  <c r="Q101" i="8" s="1"/>
  <c r="Q138" i="8" s="1"/>
  <c r="Q139" i="8" s="1"/>
  <c r="Q142" i="8" s="1"/>
  <c r="S149" i="8"/>
  <c r="Q151" i="8"/>
  <c r="Q155" i="8" s="1"/>
  <c r="R157" i="8" s="1"/>
  <c r="S150" i="8"/>
  <c r="Q92" i="8"/>
  <c r="Q41" i="8"/>
  <c r="Q47" i="8" s="1"/>
  <c r="Q62" i="8" s="1"/>
  <c r="Q66" i="8"/>
  <c r="Q53" i="8"/>
  <c r="Q55" i="8" s="1"/>
  <c r="Q38" i="8"/>
  <c r="R38" i="8"/>
  <c r="Q110" i="8" l="1"/>
  <c r="Q89" i="8"/>
  <c r="Q102" i="8" s="1"/>
  <c r="Q134" i="8" s="1"/>
  <c r="Q135" i="8" s="1"/>
  <c r="T150" i="8" s="1"/>
  <c r="S151" i="8"/>
  <c r="Q108" i="8"/>
  <c r="R158" i="8"/>
  <c r="R160" i="8" s="1"/>
  <c r="R149" i="8"/>
  <c r="R151" i="8" s="1"/>
  <c r="Q140" i="8"/>
  <c r="T149" i="8"/>
  <c r="Q109" i="8"/>
  <c r="Q48" i="8"/>
  <c r="Q58" i="8" s="1"/>
  <c r="Q63" i="8" s="1"/>
  <c r="Q91" i="8" s="1"/>
  <c r="S158" i="8" l="1"/>
  <c r="Q143" i="8"/>
  <c r="Q144" i="8" s="1"/>
  <c r="Q136" i="8"/>
  <c r="Q119" i="8" s="1"/>
  <c r="S157" i="8"/>
  <c r="T151" i="8"/>
  <c r="R153" i="8"/>
  <c r="S153" i="8" s="1"/>
  <c r="S160" i="8" l="1"/>
  <c r="T157" i="8" s="1"/>
  <c r="R155" i="8"/>
  <c r="R162" i="8" s="1"/>
  <c r="Q93" i="8"/>
  <c r="Q95" i="8" s="1"/>
  <c r="Q96" i="8" s="1"/>
  <c r="Q104" i="8" s="1"/>
  <c r="Q117" i="8"/>
  <c r="Q106" i="8" l="1"/>
  <c r="Q111" i="8" s="1"/>
  <c r="T158" i="8" s="1"/>
  <c r="T160" i="8" s="1"/>
  <c r="Q118" i="8"/>
  <c r="Q120" i="8" s="1"/>
  <c r="S155" i="8"/>
  <c r="S162" i="8" s="1"/>
  <c r="T153" i="8" l="1"/>
  <c r="T155" i="8" s="1"/>
  <c r="T162" i="8" s="1"/>
  <c r="Q124" i="8"/>
  <c r="Q125" i="8" s="1"/>
  <c r="Q112" i="8"/>
</calcChain>
</file>

<file path=xl/sharedStrings.xml><?xml version="1.0" encoding="utf-8"?>
<sst xmlns="http://schemas.openxmlformats.org/spreadsheetml/2006/main" count="291" uniqueCount="240">
  <si>
    <t>Show all work.</t>
  </si>
  <si>
    <t>Interest Cost</t>
  </si>
  <si>
    <t>Design and Accounting Exam – U.S.</t>
  </si>
  <si>
    <t>Other actuarial gains or losses during 2021</t>
  </si>
  <si>
    <t>None</t>
  </si>
  <si>
    <t xml:space="preserve">Asset gain/loss at the end of the year  </t>
  </si>
  <si>
    <t xml:space="preserve">(i) Revised 2021 Net Periodic Pension Cost </t>
  </si>
  <si>
    <t xml:space="preserve">(ii) Accumulated Other Comprehensive Income as of December 31, 2021
</t>
  </si>
  <si>
    <t>Discount rate (BOY)</t>
  </si>
  <si>
    <t>EROA</t>
  </si>
  <si>
    <t>PBO</t>
  </si>
  <si>
    <t>Assets</t>
  </si>
  <si>
    <t>Expected employer contributions</t>
  </si>
  <si>
    <t>Full Year</t>
  </si>
  <si>
    <t>(half of full year)</t>
  </si>
  <si>
    <t>Service cost (BOY)</t>
  </si>
  <si>
    <t>Amort of PSC</t>
  </si>
  <si>
    <t>Amort of unrec gain/loss</t>
  </si>
  <si>
    <t>Amort TO</t>
  </si>
  <si>
    <t>NPPC</t>
  </si>
  <si>
    <t>Expected PBO at 7/1 at 3.75% (before ERW)</t>
  </si>
  <si>
    <t>Actual PBO at 7/1 at 4.00% (before ERW)</t>
  </si>
  <si>
    <t>Plan Duration</t>
  </si>
  <si>
    <t>Change in DR from 3.75% to 4.00%</t>
  </si>
  <si>
    <t>Factor to apply to PBO to adjust from 3.75% to 4.0%</t>
  </si>
  <si>
    <t>PBO at 7/1 at 4.00% before ERW</t>
  </si>
  <si>
    <t>Expected Assets</t>
  </si>
  <si>
    <t>Actual Assets</t>
  </si>
  <si>
    <t>Asset (gain)/loss</t>
  </si>
  <si>
    <t>unamort (gain)/loss at 1/1</t>
  </si>
  <si>
    <t>unamort (gain)/loss at 6/30, prior to ERW</t>
  </si>
  <si>
    <t>PBO at 7/1 at 4.0% reflecting immediate decrement</t>
  </si>
  <si>
    <t>PBO at 7/1 at 4.0% reflecting Enhanced Benefits</t>
  </si>
  <si>
    <t>Immediately Recognize Increase in PBO due to Enhanced Benefits</t>
  </si>
  <si>
    <t>Interest bft pmts</t>
  </si>
  <si>
    <t>Interest contr</t>
  </si>
  <si>
    <t>uamort (g)/L at 7/1</t>
  </si>
  <si>
    <t>corridor = greater PBO and assets</t>
  </si>
  <si>
    <t>amount to amortize</t>
  </si>
  <si>
    <t xml:space="preserve">FWY </t>
  </si>
  <si>
    <t>Amortization (full year)</t>
  </si>
  <si>
    <t>Amortization (partial year)</t>
  </si>
  <si>
    <t>Service cost (beg of period)</t>
  </si>
  <si>
    <t>1/1 - 6/30</t>
  </si>
  <si>
    <t>Imm Recog of Enhanced Benefits</t>
  </si>
  <si>
    <t>7/1 - 12/31</t>
  </si>
  <si>
    <t>Actual benefit payments 1/1 - 6/30</t>
  </si>
  <si>
    <t>Actual contributions 1/1 - 6/30</t>
  </si>
  <si>
    <t>Expected benefit payments 7/1 - 12/31</t>
  </si>
  <si>
    <t>Expected contributions 7/1 - 12/31</t>
  </si>
  <si>
    <t>Interest on assets 7/1 - 12/31</t>
  </si>
  <si>
    <t>EROA 7/1 - 12/31</t>
  </si>
  <si>
    <t>Expected assets 12/31/2021</t>
  </si>
  <si>
    <t>Actual assets 12/31/2021</t>
  </si>
  <si>
    <t>Asset G/L</t>
  </si>
  <si>
    <t>Expected PBO 12/31/2021</t>
  </si>
  <si>
    <t>Actual PBO 12/31/2021</t>
  </si>
  <si>
    <t>PBO G/L</t>
  </si>
  <si>
    <t>U(G)/L at 7/1</t>
  </si>
  <si>
    <t>Amount amortized</t>
  </si>
  <si>
    <t>New (G)/L</t>
  </si>
  <si>
    <t>U(G)/L at 12/31</t>
  </si>
  <si>
    <t>UPSC</t>
  </si>
  <si>
    <t>UTO</t>
  </si>
  <si>
    <t>U(G)/L</t>
  </si>
  <si>
    <t>AOCI</t>
  </si>
  <si>
    <t>at 1/1</t>
  </si>
  <si>
    <t>6/30 before ERW</t>
  </si>
  <si>
    <t>at 12/31</t>
  </si>
  <si>
    <t>Funded Status</t>
  </si>
  <si>
    <t>U(G)L</t>
  </si>
  <si>
    <t>(Accrued)/Prepaid</t>
  </si>
  <si>
    <t>Actual Benefit Payments 7/1 - 12/31</t>
  </si>
  <si>
    <t>Actual Contr 7/1 - 12/31</t>
  </si>
  <si>
    <t>NPPC 7/1-12/31</t>
  </si>
  <si>
    <t xml:space="preserve">(iii) Funded status as of December 31, 2021
</t>
  </si>
  <si>
    <t>Expected Benefit Payments - full year</t>
  </si>
  <si>
    <t>PBO (gain)/loss</t>
  </si>
  <si>
    <t>Information as of 7/1/2021:</t>
  </si>
  <si>
    <t>Imm Recog of Loss due to Immediate Decrement</t>
  </si>
  <si>
    <t>Loss due to immediate decrement</t>
  </si>
  <si>
    <t>unamort (gain)/loss at 6/30, after reflecting immediate decrement</t>
  </si>
  <si>
    <t>(NPPC)</t>
  </si>
  <si>
    <t>Contr</t>
  </si>
  <si>
    <t>(Accr)/Prepaid BOP</t>
  </si>
  <si>
    <t>(Accr)/Prepaid EOP</t>
  </si>
  <si>
    <t>6/30 after ERW</t>
  </si>
  <si>
    <t xml:space="preserve">Total NPPC </t>
  </si>
  <si>
    <t>Full yr SC</t>
  </si>
  <si>
    <t>so half year is</t>
  </si>
  <si>
    <t>Half Year Bft Pmts</t>
  </si>
  <si>
    <t>Interest full year</t>
  </si>
  <si>
    <t>Total Interest Cost</t>
  </si>
  <si>
    <t>Interest Cost Detail</t>
  </si>
  <si>
    <t>int on liability for 1/2 year</t>
  </si>
  <si>
    <t>Interest for 1/2 year, assuming mid period</t>
  </si>
  <si>
    <t>EROA Detail</t>
  </si>
  <si>
    <t>Exam RETDAU:  Fall 2021</t>
  </si>
  <si>
    <t>Question 8</t>
  </si>
  <si>
    <t xml:space="preserve">NOC is restructuring and has offered a voluntary retirement incentive program with enhanced early retirement subsidies to its employees.  
400 employees accepted the offer to retire at July 1, 2021.  
You are given the following (dollars in thousands): </t>
  </si>
  <si>
    <t>Provide answer here.  Show and label all work.</t>
  </si>
  <si>
    <r>
      <t>(</t>
    </r>
    <r>
      <rPr>
        <i/>
        <sz val="12"/>
        <color theme="1"/>
        <rFont val="Times New Roman"/>
        <family val="1"/>
      </rPr>
      <t>12 points</t>
    </r>
    <r>
      <rPr>
        <sz val="12"/>
        <color theme="1"/>
        <rFont val="Times New Roman"/>
        <family val="1"/>
      </rPr>
      <t xml:space="preserve">)  Calculate the following under U.S. Accounting Standard ASC 715:  
      (i) Revised 2021 Net Periodic Pension Cost 
      (ii) Accumulated Other Comprehensive Income as of December 31, 2021
      (iii) Funded status as of December 31, 2021
</t>
    </r>
  </si>
  <si>
    <t xml:space="preserve">Actual Benefit Payments, 1/1/2021 – 6/30/2021 </t>
  </si>
  <si>
    <t>Expected Benefit Payments, 7/1/2021 – 12/31/2021</t>
  </si>
  <si>
    <t>Actual Benefit Payments, 7/1/2021 – 12/31/2021</t>
  </si>
  <si>
    <t>Actual Contributions in 2021</t>
  </si>
  <si>
    <t xml:space="preserve">Discount Rate </t>
  </si>
  <si>
    <t xml:space="preserve">Market Value of Assets </t>
  </si>
  <si>
    <t>Total Plan Projected Benefit Obligation (PBO) reflecting immediate decrement of the 400 employees who accepted offer</t>
  </si>
  <si>
    <t>Total Plan PBO reflecting enhanced benefit of the 400 employees who accepted offer</t>
  </si>
  <si>
    <t xml:space="preserve">Full year Service Cost for the remaining employees </t>
  </si>
  <si>
    <t xml:space="preserve">Average Future Working Lifetime of remaining active employees </t>
  </si>
  <si>
    <t>Assume this is a 2021 event and all contributions and benefit payments are uniformly distributed.</t>
  </si>
  <si>
    <t>7/1-12/31 Calculations</t>
  </si>
  <si>
    <t>Discount rate (7/1)</t>
  </si>
  <si>
    <t>Check</t>
  </si>
  <si>
    <t xml:space="preserve">* this must be immediately recognized </t>
  </si>
  <si>
    <t>* ERW - Early Retirement Window</t>
  </si>
  <si>
    <t>* same as before since loss from immediate decrement is immediately recognized</t>
  </si>
  <si>
    <t>* actual=expected as no asset g/l at EOY</t>
  </si>
  <si>
    <t>* actual=expected as no PBO g/l at EOY</t>
  </si>
  <si>
    <t>Simple Interest</t>
  </si>
  <si>
    <t>* Shown for reference only; not required to receive full credit</t>
  </si>
  <si>
    <t>Balance Equation (Simple interest)</t>
  </si>
  <si>
    <t>Question 10</t>
  </si>
  <si>
    <t>Excerpt from question:</t>
  </si>
  <si>
    <t>Provide answer here for part (c).  Show and label all work.</t>
  </si>
  <si>
    <t>Part (c)</t>
  </si>
  <si>
    <t xml:space="preserve">(c)  </t>
  </si>
  <si>
    <r>
      <t xml:space="preserve">(2 </t>
    </r>
    <r>
      <rPr>
        <i/>
        <sz val="12"/>
        <color theme="1"/>
        <rFont val="Times New Roman"/>
        <family val="1"/>
      </rPr>
      <t>points</t>
    </r>
    <r>
      <rPr>
        <sz val="12"/>
        <color theme="1"/>
        <rFont val="Times New Roman"/>
        <family val="1"/>
      </rPr>
      <t xml:space="preserve">)  Calculate the replacement ratio provided by the pension plan as a percentage of final average earnings at retirement for </t>
    </r>
  </si>
  <si>
    <t>Employee A assuming all service was earned under:</t>
  </si>
  <si>
    <t>You are given the following:</t>
  </si>
  <si>
    <t>(i) Option 1</t>
  </si>
  <si>
    <t>Member A</t>
  </si>
  <si>
    <t>Expected final average pensionable earnings at retirement</t>
  </si>
  <si>
    <t xml:space="preserve">(ii) Option 2
</t>
  </si>
  <si>
    <t>Expected age at retirement</t>
  </si>
  <si>
    <t>Marital status</t>
  </si>
  <si>
    <t xml:space="preserve">       Not married</t>
  </si>
  <si>
    <t>Service at retirement</t>
  </si>
  <si>
    <t>years</t>
  </si>
  <si>
    <t>Plan options</t>
  </si>
  <si>
    <t>Pension Accrual</t>
  </si>
  <si>
    <t>Reduction</t>
  </si>
  <si>
    <t>Service</t>
  </si>
  <si>
    <t>Pension</t>
  </si>
  <si>
    <t>Plan provision</t>
  </si>
  <si>
    <t>Option 1</t>
  </si>
  <si>
    <t>Annual lifetime pension</t>
  </si>
  <si>
    <t>of final average pensionable earnings up to</t>
  </si>
  <si>
    <t>Replacement Ratio</t>
  </si>
  <si>
    <t>of final average pensionable earnings above</t>
  </si>
  <si>
    <t xml:space="preserve">  multipled by years of pensionable service</t>
  </si>
  <si>
    <t>Indexation</t>
  </si>
  <si>
    <t>of inflation</t>
  </si>
  <si>
    <t>(i) Option 2</t>
  </si>
  <si>
    <t>per month prior to age</t>
  </si>
  <si>
    <t>Normal form of pension</t>
  </si>
  <si>
    <t>joint survivor pension without reduction if married</t>
  </si>
  <si>
    <t xml:space="preserve">     Single life annuity if not married</t>
  </si>
  <si>
    <t>Option 2</t>
  </si>
  <si>
    <t>of final average pensionable earnings for all earnings
multiplied by years of pensionable service</t>
  </si>
  <si>
    <t>per year</t>
  </si>
  <si>
    <t xml:space="preserve">   Single life annuity for all members</t>
  </si>
  <si>
    <t xml:space="preserve">   Joint survivor pension available on an actuarially equivalent basis</t>
  </si>
  <si>
    <t>Question 4</t>
  </si>
  <si>
    <t>Company ABC wants to close and freeze their defined benefit (DB) plan.  They want to replace future DB plan accruals with a new defined contribution (DC) plan.  Company ABC has stated the following goals for the new DC plan:</t>
  </si>
  <si>
    <t xml:space="preserve">(a)  </t>
  </si>
  <si>
    <t>(b)</t>
  </si>
  <si>
    <t>• Provide the same lump sum value at retirement that the DB plan would provide if it was not frozen  
• Provide the same flat DC contribution percentage for all employees over each employee’s remaining career
• Does not increase the accounting cost of annual accruals of the DB plan, as a percentage of base pay</t>
  </si>
  <si>
    <t>Accrued Benefit (AB) Beginning of Year (BOY) Payable at Age 65 = 2% * base  pay * service BOY</t>
  </si>
  <si>
    <t>Assumed Retirement Age is 60</t>
  </si>
  <si>
    <t>AB BOY (Age 50) =</t>
  </si>
  <si>
    <t>Accrued Benefit At Age 60 (Payable at 65) = 2% * base pay * (1 + salary scale) ^ (Retirement Age - Current Age) * (Service at Retirement)</t>
  </si>
  <si>
    <t>Accrued Benefit At Age 60 (Payable at 65) =</t>
  </si>
  <si>
    <t>Accrued Benefit (AB) End of Year (EOY) Payable at Age 65 = 2% * base  pay * (1 + salary scale) * (service BOY + 1)</t>
  </si>
  <si>
    <t xml:space="preserve">You are given the following information:  </t>
  </si>
  <si>
    <t>AB EOY (Age 51) =</t>
  </si>
  <si>
    <t>Lump Sum Benefit Payable at Retirement for Average Participant = Accrued Benefit Payable at Normal Retirement Age * (1 - Early Retirement factor * (Normal Retirement Age - Actual Retirement Age)) * Lump Sum Conversion Factor At Actual Retirement Age</t>
  </si>
  <si>
    <t xml:space="preserve">Lump Sum Benefit Payable at Retirement (Age 60) for Average Participant = </t>
  </si>
  <si>
    <t>Defined Benefit Plan formula</t>
  </si>
  <si>
    <t xml:space="preserve">2% of final year base pay for each year of service </t>
  </si>
  <si>
    <t>Benefit Accrual During Year = AB EOY - AB BOY</t>
  </si>
  <si>
    <t>Benefit Accrual During Year =</t>
  </si>
  <si>
    <t>Assume DB Plan is Frozen at Age 50 - Have 10 years of DC Accruals to make up lost value of Lump Sum</t>
  </si>
  <si>
    <t>Early Retirement</t>
  </si>
  <si>
    <t>Reduced 3% per year for retirement before age 65</t>
  </si>
  <si>
    <t>AB BOY Payable at Early Retirement (Age 60) = AB BOY * (1 - ((Normal Retirement Age - Assumed Retirement Age)* Early Retirement Factor))</t>
  </si>
  <si>
    <t>Lump Sum Value Payable at Retirement under Plan Freeze:</t>
  </si>
  <si>
    <t>Number of active plan participants</t>
  </si>
  <si>
    <t xml:space="preserve">AB BOY Payable at 60 = </t>
  </si>
  <si>
    <t>Accrued Benefit At Age 50 (Payable at 65) = 2% * base pay * (Current Service)</t>
  </si>
  <si>
    <t>Average participant age</t>
  </si>
  <si>
    <t>Accrued Benefit At Age 50 (Payable at 65) =</t>
  </si>
  <si>
    <t>Average participant service</t>
  </si>
  <si>
    <t>AB EOY Payable at Early Retirement (Age 60) = AB EOY * (1 - ((Normal Retirement Age - Assumed Retirement Age)* Early Retirement Factor))</t>
  </si>
  <si>
    <t>Average participant base pay</t>
  </si>
  <si>
    <t xml:space="preserve">AB EOY Payable at 60 = </t>
  </si>
  <si>
    <t>Lump Sum Benefit Payable at Retirement for Average Participant Assuming Plan Freeze at Age 50 = Accrued Benefit Payable at Normal Retirement Age * (1 - Early Retirement factor * (Normal Retirement Age - Actual Retirement Age)) * Lump Sum Conversion Factor At Actual Retirement Age</t>
  </si>
  <si>
    <t xml:space="preserve">Lump Sum Benefit Payable at Retirement (Age 60) for Average Participant Assuming Plan Freeze at Age 50 = </t>
  </si>
  <si>
    <t xml:space="preserve">Company ABC has instructed you to use following assumptions for this analysis:  </t>
  </si>
  <si>
    <t>Benefit Accrual (Payable at 60) = AB EOY Payable at 60 - AB BOY Payable at 60</t>
  </si>
  <si>
    <t xml:space="preserve">Benefit Accrual (Payable at 60) = </t>
  </si>
  <si>
    <t>Lost Lump Sum Value due to Plan Freeze (Payable at Age 60) = Lump Sum Value ongoing DB Plan - Lump Sum Value of Frozen Plan</t>
  </si>
  <si>
    <t>All employees retire at age</t>
  </si>
  <si>
    <t xml:space="preserve">Lost Lump Sum Value due to Plan Freeze (Payable at Age 60) = </t>
  </si>
  <si>
    <t>Future salary increases</t>
  </si>
  <si>
    <t>Benefit Accrual Payable as Lump Sum at Age 60 = Benefit Accrual Payable at 60 * Lump sum Conversion Factor</t>
  </si>
  <si>
    <t>Return on assets for future DC contributions</t>
  </si>
  <si>
    <t xml:space="preserve">Benefit Accrual Payable as Lump Sum at Age 60 = </t>
  </si>
  <si>
    <t>New DC Plan needs to Accumulate $255,000 by Age 60 to make participants whole</t>
  </si>
  <si>
    <t>Required DC Contribution</t>
  </si>
  <si>
    <t>Form of payment at retirement</t>
  </si>
  <si>
    <t>100% lump sum</t>
  </si>
  <si>
    <t>DC Plan contributions made at Beginning of Year and Earn 6% interest</t>
  </si>
  <si>
    <t>Pre-retirement decrements</t>
  </si>
  <si>
    <t>none</t>
  </si>
  <si>
    <t>Service Cost for Average Participant = Present Value of Benefit Accrual = Benefit Accrual Payable at 60 as a Lump Sum / (1 + DR) ^ (Early Retirement Age - Current Age)</t>
  </si>
  <si>
    <t>Lump sum conversion factor at age 60</t>
  </si>
  <si>
    <t xml:space="preserve">Service Cost for Average Participant = </t>
  </si>
  <si>
    <t>Age</t>
  </si>
  <si>
    <t>Base Pay</t>
  </si>
  <si>
    <t>DC Contributions</t>
  </si>
  <si>
    <t>Accumulation with Interest to Retirement (Age 60)</t>
  </si>
  <si>
    <t>Accumulated Value of Contribution</t>
  </si>
  <si>
    <t>Discount Rate</t>
  </si>
  <si>
    <t>Contribution timing</t>
  </si>
  <si>
    <t>beginning of year</t>
  </si>
  <si>
    <t>Service Cost for Plan = Service Cost for Average Participant * Number of Active Participants</t>
  </si>
  <si>
    <t xml:space="preserve">Service Cost for Plan = </t>
  </si>
  <si>
    <r>
      <t>(</t>
    </r>
    <r>
      <rPr>
        <i/>
        <sz val="12"/>
        <color theme="1"/>
        <rFont val="Times New Roman"/>
        <family val="1"/>
      </rPr>
      <t>2 points</t>
    </r>
    <r>
      <rPr>
        <sz val="12"/>
        <color theme="1"/>
        <rFont val="Times New Roman"/>
        <family val="1"/>
      </rPr>
      <t xml:space="preserve">)  Calculate the Service Cost under U.S. Accounting Standard ASC 715 as a percentage of base pay for the existing DB plan for the average participant.  </t>
    </r>
  </si>
  <si>
    <t>Service Cost as Percentage of Base Pay for Average Participant = Service Cost for Plan / Number of Participants in the Plan /Average Participant Base Pay</t>
  </si>
  <si>
    <t xml:space="preserve">Service Cost as Percentage of Base Pay for Average Participant = </t>
  </si>
  <si>
    <t>The response to this part is to be provided in the Excel spreadsheet.</t>
  </si>
  <si>
    <r>
      <t>(</t>
    </r>
    <r>
      <rPr>
        <i/>
        <sz val="12"/>
        <color theme="1"/>
        <rFont val="Times New Roman"/>
        <family val="1"/>
      </rPr>
      <t>4 points</t>
    </r>
    <r>
      <rPr>
        <sz val="12"/>
        <color theme="1"/>
        <rFont val="Times New Roman"/>
        <family val="1"/>
      </rPr>
      <t>)  Calculate the flat DC contribution as a percentage of base pay for the average participant necessary to restore the lump sum value lost due to the DB plan freeze. 
Show all work.</t>
    </r>
  </si>
  <si>
    <t>Lump Sum Value of DC Plan at Age 60</t>
  </si>
  <si>
    <t>can use goal seek to set value in Cell AG46 to value in cell AE29 by changing AG31</t>
  </si>
  <si>
    <t>The Required level DC Contribution Per Year to Make Participants Whole in the DB Plan is 18.25% Per Year.</t>
  </si>
  <si>
    <t>Exam RETDAU: 2021</t>
  </si>
  <si>
    <t>Design and Accounting Exam –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</si>
</sst>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4" formatCode="_(&quot;$&quot;* #,##0.00_);_(&quot;$&quot;* \(#,##0.00\);_(&quot;$&quot;* &quot;-&quot;??_);_(@_)"/>
    <numFmt numFmtId="43" formatCode="_(* #,##0.00_);_(* \(#,##0.00\);_(* &quot;-&quot;??_);_(@_)"/>
    <numFmt numFmtId="164" formatCode="_-&quot;$&quot;* #,##0.00_-;\-&quot;$&quot;* #,##0.00_-;_-&quot;$&quot;* &quot;-&quot;??_-;_-@_-"/>
    <numFmt numFmtId="165" formatCode="_-&quot;$&quot;* #,##0_-;\-&quot;$&quot;* #,##0_-;_-&quot;$&quot;* &quot;-&quot;??_-;_-@_-"/>
    <numFmt numFmtId="166" formatCode="_-* #,##0_-;\-* #,##0_-;_-* &quot;-&quot;??_-;_-@_-"/>
    <numFmt numFmtId="167" formatCode="_-* #,##0.0_-;\-* #,##0.0_-;_-* &quot;-&quot;??_-;_-@_-"/>
    <numFmt numFmtId="168" formatCode="_(* #,##0_);_(* \(#,##0\);_(* &quot;-&quot;??_);_(@_)"/>
    <numFmt numFmtId="169" formatCode="0.0"/>
    <numFmt numFmtId="170" formatCode="&quot;$&quot;#,##0"/>
    <numFmt numFmtId="171" formatCode="_(&quot;$&quot;* #,##0_);_(&quot;$&quot;* \(#,##0\);_(&quot;$&quot;* &quot;-&quot;??_);_(@_)"/>
  </numFmts>
  <fonts count="17"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b/>
      <i/>
      <sz val="12"/>
      <color theme="1"/>
      <name val="Times New Roman"/>
      <family val="1"/>
    </font>
    <font>
      <sz val="11"/>
      <color theme="1"/>
      <name val="Calibri"/>
      <family val="2"/>
      <scheme val="minor"/>
    </font>
    <font>
      <u val="singleAccounting"/>
      <sz val="12"/>
      <color theme="1"/>
      <name val="Times New Roman"/>
      <family val="1"/>
    </font>
    <font>
      <sz val="12"/>
      <color rgb="FF000000"/>
      <name val="Times New Roman"/>
      <family val="1"/>
    </font>
    <font>
      <u/>
      <sz val="12"/>
      <color theme="1"/>
      <name val="Times New Roman"/>
      <family val="1"/>
    </font>
    <font>
      <sz val="12"/>
      <color rgb="FFFF0000"/>
      <name val="Times New Roman"/>
      <family val="1"/>
    </font>
    <font>
      <b/>
      <sz val="12"/>
      <color rgb="FF000000"/>
      <name val="Times New Roman"/>
      <family val="1"/>
    </font>
    <font>
      <b/>
      <u/>
      <sz val="12"/>
      <color theme="1"/>
      <name val="Times New Roman"/>
      <family val="1"/>
    </font>
    <font>
      <sz val="11"/>
      <color rgb="FFFF0000"/>
      <name val="Calibri"/>
      <family val="2"/>
      <scheme val="minor"/>
    </font>
    <font>
      <b/>
      <sz val="11"/>
      <color theme="1"/>
      <name val="Calibri"/>
      <family val="2"/>
      <scheme val="minor"/>
    </font>
    <font>
      <sz val="11"/>
      <name val="Calibri"/>
      <family val="2"/>
      <scheme val="minor"/>
    </font>
    <font>
      <sz val="12"/>
      <name val="Times New Roman"/>
      <family val="1"/>
    </font>
    <font>
      <b/>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5">
    <xf numFmtId="0" fontId="0" fillId="0" borderId="0"/>
    <xf numFmtId="43"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cellStyleXfs>
  <cellXfs count="242">
    <xf numFmtId="0" fontId="0" fillId="0" borderId="0" xfId="0"/>
    <xf numFmtId="0" fontId="1" fillId="0" borderId="0" xfId="0" applyFont="1" applyProtection="1">
      <protection locked="0"/>
    </xf>
    <xf numFmtId="0" fontId="1" fillId="3" borderId="0" xfId="0" applyFont="1" applyFill="1" applyProtection="1"/>
    <xf numFmtId="0" fontId="1" fillId="3" borderId="0" xfId="0" applyFont="1" applyFill="1" applyAlignment="1" applyProtection="1">
      <alignment vertical="top" wrapText="1"/>
    </xf>
    <xf numFmtId="0" fontId="1" fillId="2" borderId="0" xfId="0" applyFont="1" applyFill="1" applyProtection="1">
      <protection locked="0"/>
    </xf>
    <xf numFmtId="0" fontId="1" fillId="3" borderId="0" xfId="0" applyFont="1" applyFill="1" applyAlignment="1" applyProtection="1">
      <alignment horizontal="left" indent="3"/>
    </xf>
    <xf numFmtId="9" fontId="1" fillId="3" borderId="0" xfId="0" applyNumberFormat="1" applyFont="1" applyFill="1" applyProtection="1"/>
    <xf numFmtId="10" fontId="1" fillId="0" borderId="0" xfId="0" applyNumberFormat="1" applyFont="1" applyProtection="1">
      <protection locked="0"/>
    </xf>
    <xf numFmtId="43" fontId="1" fillId="0" borderId="0" xfId="1" applyFont="1" applyProtection="1">
      <protection locked="0"/>
    </xf>
    <xf numFmtId="43" fontId="6" fillId="0" borderId="0" xfId="1" applyFont="1" applyProtection="1">
      <protection locked="0"/>
    </xf>
    <xf numFmtId="43" fontId="1" fillId="0" borderId="0" xfId="0" applyNumberFormat="1" applyFont="1" applyProtection="1">
      <protection locked="0"/>
    </xf>
    <xf numFmtId="0" fontId="1" fillId="0" borderId="0" xfId="0" applyFont="1" applyAlignment="1" applyProtection="1">
      <alignment horizontal="right" wrapText="1"/>
      <protection locked="0"/>
    </xf>
    <xf numFmtId="0" fontId="2" fillId="3" borderId="0" xfId="0" applyFont="1" applyFill="1"/>
    <xf numFmtId="0" fontId="1" fillId="3" borderId="0" xfId="0" applyFont="1" applyFill="1"/>
    <xf numFmtId="0" fontId="1" fillId="2" borderId="0" xfId="0" applyFont="1" applyFill="1"/>
    <xf numFmtId="0" fontId="2" fillId="0" borderId="0" xfId="0" applyFont="1" applyAlignment="1" applyProtection="1">
      <alignment horizontal="left" vertical="center"/>
      <protection locked="0"/>
    </xf>
    <xf numFmtId="0" fontId="7" fillId="3" borderId="1" xfId="0" applyFont="1" applyFill="1" applyBorder="1" applyAlignment="1">
      <alignment vertical="center" wrapText="1"/>
    </xf>
    <xf numFmtId="0" fontId="7" fillId="3" borderId="1" xfId="0" applyFont="1" applyFill="1" applyBorder="1" applyAlignment="1">
      <alignment horizontal="right" vertical="center" wrapText="1"/>
    </xf>
    <xf numFmtId="0" fontId="1" fillId="0" borderId="0" xfId="0" applyFont="1"/>
    <xf numFmtId="10" fontId="1" fillId="0" borderId="0" xfId="0" applyNumberFormat="1" applyFont="1"/>
    <xf numFmtId="165" fontId="1" fillId="0" borderId="0" xfId="2" quotePrefix="1" applyNumberFormat="1" applyFont="1"/>
    <xf numFmtId="0" fontId="1" fillId="0" borderId="0" xfId="0" quotePrefix="1" applyFont="1" applyAlignment="1">
      <alignment horizontal="left"/>
    </xf>
    <xf numFmtId="166" fontId="1" fillId="0" borderId="0" xfId="1" applyNumberFormat="1" applyFont="1"/>
    <xf numFmtId="165" fontId="1" fillId="0" borderId="0" xfId="2" applyNumberFormat="1" applyFont="1"/>
    <xf numFmtId="37" fontId="1" fillId="0" borderId="0" xfId="1" applyNumberFormat="1" applyFont="1"/>
    <xf numFmtId="0" fontId="8" fillId="0" borderId="0" xfId="0" applyFont="1"/>
    <xf numFmtId="167" fontId="1" fillId="0" borderId="0" xfId="0" applyNumberFormat="1" applyFont="1"/>
    <xf numFmtId="166" fontId="1" fillId="0" borderId="2" xfId="1" applyNumberFormat="1" applyFont="1" applyBorder="1"/>
    <xf numFmtId="0" fontId="2" fillId="4" borderId="0" xfId="0" applyFont="1" applyFill="1"/>
    <xf numFmtId="166" fontId="2" fillId="4" borderId="0" xfId="1" applyNumberFormat="1" applyFont="1" applyFill="1"/>
    <xf numFmtId="0" fontId="3" fillId="0" borderId="0" xfId="0" applyFont="1"/>
    <xf numFmtId="0" fontId="1" fillId="0" borderId="0" xfId="0" applyFont="1" applyAlignment="1">
      <alignment horizontal="center"/>
    </xf>
    <xf numFmtId="37" fontId="3" fillId="0" borderId="0" xfId="1" applyNumberFormat="1" applyFont="1"/>
    <xf numFmtId="166" fontId="1" fillId="0" borderId="0" xfId="1" applyNumberFormat="1" applyFont="1" applyAlignment="1">
      <alignment horizontal="center"/>
    </xf>
    <xf numFmtId="166" fontId="1" fillId="0" borderId="0" xfId="0" applyNumberFormat="1" applyFont="1"/>
    <xf numFmtId="43" fontId="1" fillId="0" borderId="0" xfId="0" applyNumberFormat="1" applyFont="1"/>
    <xf numFmtId="37" fontId="1" fillId="0" borderId="0" xfId="1" applyNumberFormat="1" applyFont="1" applyAlignment="1">
      <alignment horizontal="right"/>
    </xf>
    <xf numFmtId="37" fontId="1" fillId="0" borderId="0" xfId="1" quotePrefix="1" applyNumberFormat="1" applyFont="1" applyAlignment="1">
      <alignment horizontal="right"/>
    </xf>
    <xf numFmtId="37" fontId="8" fillId="0" borderId="0" xfId="1" applyNumberFormat="1" applyFont="1"/>
    <xf numFmtId="168" fontId="1" fillId="0" borderId="0" xfId="1" applyNumberFormat="1" applyFont="1"/>
    <xf numFmtId="168" fontId="2" fillId="4" borderId="0" xfId="1" applyNumberFormat="1" applyFont="1" applyFill="1"/>
    <xf numFmtId="166" fontId="9" fillId="0" borderId="0" xfId="1" applyNumberFormat="1" applyFont="1"/>
    <xf numFmtId="37" fontId="1" fillId="0" borderId="0" xfId="0" applyNumberFormat="1" applyFont="1" applyProtection="1">
      <protection locked="0"/>
    </xf>
    <xf numFmtId="37" fontId="8" fillId="0" borderId="0" xfId="0" applyNumberFormat="1" applyFont="1" applyProtection="1">
      <protection locked="0"/>
    </xf>
    <xf numFmtId="168" fontId="1" fillId="0" borderId="0" xfId="1" applyNumberFormat="1" applyFont="1" applyProtection="1">
      <protection locked="0"/>
    </xf>
    <xf numFmtId="37" fontId="11" fillId="0" borderId="0" xfId="1" applyNumberFormat="1" applyFont="1"/>
    <xf numFmtId="166" fontId="1" fillId="0" borderId="0" xfId="1" applyNumberFormat="1" applyFont="1" applyFill="1"/>
    <xf numFmtId="0" fontId="1" fillId="0" borderId="3" xfId="0" applyFont="1" applyBorder="1" applyProtection="1">
      <protection locked="0"/>
    </xf>
    <xf numFmtId="0" fontId="1" fillId="0" borderId="5" xfId="0" applyFont="1" applyBorder="1" applyProtection="1">
      <protection locked="0"/>
    </xf>
    <xf numFmtId="168" fontId="1" fillId="0" borderId="6" xfId="1" applyNumberFormat="1" applyFont="1" applyBorder="1" applyProtection="1">
      <protection locked="0"/>
    </xf>
    <xf numFmtId="0" fontId="1" fillId="0" borderId="7" xfId="0" applyFont="1" applyBorder="1" applyProtection="1">
      <protection locked="0"/>
    </xf>
    <xf numFmtId="168" fontId="1" fillId="0" borderId="8" xfId="1" applyNumberFormat="1" applyFont="1" applyBorder="1" applyProtection="1">
      <protection locked="0"/>
    </xf>
    <xf numFmtId="0" fontId="1" fillId="0" borderId="4" xfId="0" applyFont="1" applyBorder="1" applyAlignment="1" applyProtection="1">
      <alignment horizontal="center"/>
      <protection locked="0"/>
    </xf>
    <xf numFmtId="0" fontId="1" fillId="0" borderId="3" xfId="0" applyFont="1" applyBorder="1"/>
    <xf numFmtId="0" fontId="1" fillId="0" borderId="5" xfId="0" applyFont="1" applyBorder="1"/>
    <xf numFmtId="166" fontId="1" fillId="0" borderId="6" xfId="1" applyNumberFormat="1" applyFont="1" applyBorder="1"/>
    <xf numFmtId="0" fontId="1" fillId="0" borderId="7" xfId="0" applyFont="1" applyBorder="1"/>
    <xf numFmtId="166" fontId="1" fillId="0" borderId="8" xfId="1" applyNumberFormat="1" applyFont="1" applyBorder="1"/>
    <xf numFmtId="0" fontId="4" fillId="3" borderId="0" xfId="0" applyFont="1" applyFill="1"/>
    <xf numFmtId="6" fontId="7" fillId="3" borderId="1" xfId="0" applyNumberFormat="1" applyFont="1" applyFill="1" applyBorder="1" applyAlignment="1">
      <alignment horizontal="right" vertical="center" wrapText="1"/>
    </xf>
    <xf numFmtId="0" fontId="1" fillId="3" borderId="0" xfId="0" applyFont="1" applyFill="1" applyAlignment="1">
      <alignment horizontal="left" vertical="top" wrapText="1"/>
    </xf>
    <xf numFmtId="10" fontId="7" fillId="3" borderId="1" xfId="3" applyNumberFormat="1" applyFont="1" applyFill="1" applyBorder="1" applyAlignment="1">
      <alignment vertical="center" wrapText="1"/>
    </xf>
    <xf numFmtId="169" fontId="7" fillId="3" borderId="1" xfId="0" applyNumberFormat="1" applyFont="1" applyFill="1" applyBorder="1" applyAlignment="1">
      <alignment horizontal="right" vertical="center" wrapText="1"/>
    </xf>
    <xf numFmtId="0" fontId="1" fillId="3" borderId="0" xfId="0" applyFont="1" applyFill="1" applyAlignment="1">
      <alignment wrapText="1"/>
    </xf>
    <xf numFmtId="5" fontId="1" fillId="3" borderId="0" xfId="2" applyNumberFormat="1" applyFont="1" applyFill="1" applyBorder="1" applyAlignment="1">
      <alignment horizontal="center"/>
    </xf>
    <xf numFmtId="0" fontId="4" fillId="3" borderId="0" xfId="0" applyFont="1" applyFill="1" applyAlignment="1">
      <alignment horizontal="left" vertical="top"/>
    </xf>
    <xf numFmtId="0" fontId="1" fillId="3" borderId="0" xfId="0" applyFont="1" applyFill="1" applyAlignment="1">
      <alignment horizontal="left" vertical="top"/>
    </xf>
    <xf numFmtId="37" fontId="1" fillId="0" borderId="0" xfId="1" applyNumberFormat="1" applyFont="1" applyFill="1"/>
    <xf numFmtId="0" fontId="2" fillId="0" borderId="0" xfId="0" applyFont="1" applyProtection="1">
      <protection locked="0"/>
    </xf>
    <xf numFmtId="0" fontId="1" fillId="0" borderId="0" xfId="0" applyFont="1" applyAlignment="1">
      <alignment horizontal="left" vertical="center"/>
    </xf>
    <xf numFmtId="0" fontId="1" fillId="0" borderId="0" xfId="0" applyFont="1" applyAlignment="1" applyProtection="1">
      <alignment horizontal="right"/>
      <protection locked="0"/>
    </xf>
    <xf numFmtId="0" fontId="3" fillId="0" borderId="0" xfId="0" applyFont="1" applyAlignment="1">
      <alignment horizontal="center"/>
    </xf>
    <xf numFmtId="0" fontId="1" fillId="3" borderId="0" xfId="0" applyFont="1" applyFill="1" applyAlignment="1">
      <alignment vertical="top" wrapText="1"/>
    </xf>
    <xf numFmtId="37" fontId="3" fillId="0" borderId="0" xfId="1" quotePrefix="1" applyNumberFormat="1" applyFont="1"/>
    <xf numFmtId="43" fontId="1" fillId="0" borderId="0" xfId="1" applyFont="1"/>
    <xf numFmtId="0" fontId="3" fillId="0" borderId="0" xfId="0" quotePrefix="1" applyFont="1" applyProtection="1">
      <protection locked="0"/>
    </xf>
    <xf numFmtId="0" fontId="3" fillId="0" borderId="0" xfId="0" quotePrefix="1" applyFont="1"/>
    <xf numFmtId="0" fontId="1" fillId="3" borderId="0" xfId="0" applyFont="1" applyFill="1" applyAlignment="1">
      <alignment horizontal="left" vertical="top" wrapText="1"/>
    </xf>
    <xf numFmtId="0" fontId="1" fillId="3" borderId="0" xfId="0" applyFont="1" applyFill="1" applyAlignment="1">
      <alignment horizontal="left" vertical="top" wrapText="1"/>
    </xf>
    <xf numFmtId="0" fontId="3" fillId="3" borderId="0" xfId="0" applyFont="1" applyFill="1"/>
    <xf numFmtId="0" fontId="1" fillId="3" borderId="0" xfId="0" applyFont="1" applyFill="1" applyAlignment="1">
      <alignment horizontal="left" vertical="center"/>
    </xf>
    <xf numFmtId="0" fontId="1" fillId="3" borderId="0" xfId="0" applyFont="1" applyFill="1" applyAlignment="1">
      <alignment horizontal="left" indent="3"/>
    </xf>
    <xf numFmtId="10" fontId="1" fillId="3" borderId="0" xfId="0" applyNumberFormat="1" applyFont="1" applyFill="1"/>
    <xf numFmtId="0" fontId="1" fillId="3" borderId="0" xfId="0" applyFont="1" applyFill="1" applyAlignment="1">
      <alignment horizontal="left" vertical="center" indent="10"/>
    </xf>
    <xf numFmtId="0" fontId="1" fillId="3" borderId="1" xfId="0" applyFont="1" applyFill="1" applyBorder="1" applyAlignment="1">
      <alignment vertical="center" wrapText="1"/>
    </xf>
    <xf numFmtId="9" fontId="1" fillId="3" borderId="0" xfId="0" applyNumberFormat="1" applyFont="1" applyFill="1"/>
    <xf numFmtId="0" fontId="1" fillId="3" borderId="0" xfId="0" applyFont="1" applyFill="1" applyAlignment="1">
      <alignment horizontal="left" vertical="center" indent="3"/>
    </xf>
    <xf numFmtId="0" fontId="1" fillId="3" borderId="9" xfId="0" applyFont="1" applyFill="1" applyBorder="1" applyAlignment="1">
      <alignment vertical="center" wrapText="1"/>
    </xf>
    <xf numFmtId="168" fontId="1" fillId="3" borderId="9" xfId="1" applyNumberFormat="1" applyFont="1" applyFill="1" applyBorder="1" applyAlignment="1" applyProtection="1">
      <alignment vertical="center" wrapText="1"/>
    </xf>
    <xf numFmtId="0" fontId="1" fillId="3" borderId="10" xfId="0" applyFont="1" applyFill="1" applyBorder="1" applyAlignment="1">
      <alignment vertical="center" wrapText="1"/>
    </xf>
    <xf numFmtId="10" fontId="1" fillId="3" borderId="5" xfId="0" applyNumberFormat="1" applyFont="1" applyFill="1" applyBorder="1" applyAlignment="1">
      <alignment vertical="center" wrapText="1"/>
    </xf>
    <xf numFmtId="0" fontId="1" fillId="3" borderId="0" xfId="0" applyFont="1" applyFill="1" applyAlignment="1">
      <alignment vertical="center" wrapText="1"/>
    </xf>
    <xf numFmtId="10" fontId="1" fillId="3" borderId="0" xfId="0" applyNumberFormat="1" applyFont="1" applyFill="1" applyAlignment="1">
      <alignment vertical="center" wrapText="1"/>
    </xf>
    <xf numFmtId="0" fontId="1" fillId="3" borderId="0" xfId="0" applyFont="1" applyFill="1" applyAlignment="1">
      <alignment horizontal="left"/>
    </xf>
    <xf numFmtId="0" fontId="2" fillId="3" borderId="0" xfId="0" applyFont="1" applyFill="1" applyAlignment="1">
      <alignment horizontal="left" vertical="top"/>
    </xf>
    <xf numFmtId="0" fontId="1" fillId="3" borderId="0" xfId="0" applyFont="1" applyFill="1" applyAlignment="1">
      <alignment horizontal="right"/>
    </xf>
    <xf numFmtId="0" fontId="1" fillId="3" borderId="0" xfId="0" applyFont="1" applyFill="1" applyProtection="1">
      <protection locked="0"/>
    </xf>
    <xf numFmtId="0" fontId="2" fillId="3" borderId="0" xfId="0" applyFont="1" applyFill="1" applyAlignment="1">
      <alignment horizontal="left"/>
    </xf>
    <xf numFmtId="0" fontId="1" fillId="3" borderId="0" xfId="0" applyFont="1" applyFill="1" applyAlignment="1" applyProtection="1">
      <alignment horizontal="right"/>
      <protection locked="0"/>
    </xf>
    <xf numFmtId="0" fontId="2" fillId="3" borderId="0" xfId="0" applyFont="1" applyFill="1" applyAlignment="1">
      <alignment horizontal="left" indent="3"/>
    </xf>
    <xf numFmtId="44" fontId="1" fillId="3" borderId="0" xfId="4" applyFont="1" applyFill="1" applyProtection="1">
      <protection locked="0"/>
    </xf>
    <xf numFmtId="9" fontId="1" fillId="3" borderId="0" xfId="0" applyNumberFormat="1" applyFont="1" applyFill="1" applyProtection="1">
      <protection locked="0"/>
    </xf>
    <xf numFmtId="168" fontId="1" fillId="3" borderId="0" xfId="0" applyNumberFormat="1" applyFont="1" applyFill="1" applyProtection="1">
      <protection locked="0"/>
    </xf>
    <xf numFmtId="0" fontId="2" fillId="3" borderId="1" xfId="0" applyFont="1" applyFill="1" applyBorder="1" applyAlignment="1">
      <alignment vertical="center" wrapText="1"/>
    </xf>
    <xf numFmtId="10" fontId="1" fillId="3" borderId="3" xfId="0" applyNumberFormat="1" applyFont="1" applyFill="1" applyBorder="1" applyAlignment="1">
      <alignment vertical="center" wrapText="1"/>
    </xf>
    <xf numFmtId="171" fontId="1" fillId="3" borderId="13" xfId="4" applyNumberFormat="1" applyFont="1" applyFill="1" applyBorder="1" applyAlignment="1" applyProtection="1">
      <alignment vertical="center" wrapText="1"/>
    </xf>
    <xf numFmtId="0" fontId="1" fillId="3" borderId="4" xfId="0" applyFont="1" applyFill="1" applyBorder="1"/>
    <xf numFmtId="10" fontId="1" fillId="3" borderId="0" xfId="3" applyNumberFormat="1" applyFont="1" applyFill="1" applyProtection="1">
      <protection locked="0"/>
    </xf>
    <xf numFmtId="0" fontId="0" fillId="0" borderId="0" xfId="0"/>
    <xf numFmtId="171" fontId="1" fillId="3" borderId="0" xfId="4" applyNumberFormat="1" applyFont="1" applyFill="1" applyBorder="1" applyAlignment="1" applyProtection="1">
      <alignment vertical="center" wrapText="1"/>
    </xf>
    <xf numFmtId="0" fontId="1" fillId="3" borderId="6" xfId="0" applyFont="1" applyFill="1" applyBorder="1"/>
    <xf numFmtId="0" fontId="2" fillId="3" borderId="0" xfId="0" applyFont="1" applyFill="1" applyAlignment="1" applyProtection="1">
      <alignment horizontal="left" vertical="center"/>
      <protection locked="0"/>
    </xf>
    <xf numFmtId="0" fontId="0" fillId="3" borderId="0" xfId="0" quotePrefix="1" applyFill="1" applyAlignment="1">
      <alignment wrapText="1"/>
    </xf>
    <xf numFmtId="10" fontId="1" fillId="3" borderId="7" xfId="0" applyNumberFormat="1" applyFont="1" applyFill="1" applyBorder="1" applyAlignment="1">
      <alignment vertical="center"/>
    </xf>
    <xf numFmtId="0" fontId="1" fillId="3" borderId="2" xfId="0" applyFont="1" applyFill="1" applyBorder="1" applyAlignment="1">
      <alignment vertical="center" wrapText="1"/>
    </xf>
    <xf numFmtId="0" fontId="0" fillId="3" borderId="2" xfId="0" applyFill="1" applyBorder="1"/>
    <xf numFmtId="171" fontId="1" fillId="3" borderId="2" xfId="4" applyNumberFormat="1" applyFont="1" applyFill="1" applyBorder="1" applyAlignment="1" applyProtection="1">
      <alignment vertical="center" wrapText="1"/>
    </xf>
    <xf numFmtId="0" fontId="1" fillId="3" borderId="8" xfId="0" applyFont="1" applyFill="1" applyBorder="1"/>
    <xf numFmtId="0" fontId="0" fillId="3" borderId="0" xfId="0" applyFill="1"/>
    <xf numFmtId="0" fontId="0" fillId="3" borderId="0" xfId="0" applyFill="1" applyAlignment="1">
      <alignment wrapText="1"/>
    </xf>
    <xf numFmtId="0" fontId="0" fillId="3" borderId="0" xfId="0" applyFill="1" applyAlignment="1">
      <alignment horizontal="center" wrapText="1"/>
    </xf>
    <xf numFmtId="9" fontId="1" fillId="3" borderId="9" xfId="0" applyNumberFormat="1" applyFont="1" applyFill="1" applyBorder="1" applyAlignment="1">
      <alignment horizontal="right" vertical="center" wrapText="1"/>
    </xf>
    <xf numFmtId="0" fontId="1" fillId="3" borderId="11" xfId="0" applyFont="1" applyFill="1" applyBorder="1"/>
    <xf numFmtId="9" fontId="1" fillId="3" borderId="11" xfId="0" applyNumberFormat="1" applyFont="1" applyFill="1" applyBorder="1" applyAlignment="1">
      <alignment horizontal="center"/>
    </xf>
    <xf numFmtId="0" fontId="1" fillId="3" borderId="10" xfId="0" applyFont="1" applyFill="1" applyBorder="1"/>
    <xf numFmtId="10" fontId="1" fillId="3" borderId="9" xfId="3" applyNumberFormat="1" applyFont="1" applyFill="1" applyBorder="1" applyAlignment="1" applyProtection="1">
      <alignment vertical="center" wrapText="1"/>
    </xf>
    <xf numFmtId="0" fontId="1" fillId="3" borderId="11" xfId="0" applyFont="1" applyFill="1" applyBorder="1" applyAlignment="1">
      <alignment horizontal="left"/>
    </xf>
    <xf numFmtId="0" fontId="1" fillId="3" borderId="11" xfId="0" applyFont="1" applyFill="1" applyBorder="1" applyAlignment="1">
      <alignment horizontal="left" indent="3"/>
    </xf>
    <xf numFmtId="0" fontId="1" fillId="3" borderId="10" xfId="0" applyFont="1" applyFill="1" applyBorder="1" applyAlignment="1">
      <alignment horizontal="left" indent="3"/>
    </xf>
    <xf numFmtId="44" fontId="0" fillId="3" borderId="0" xfId="0" applyNumberFormat="1" applyFill="1"/>
    <xf numFmtId="44" fontId="0" fillId="3" borderId="0" xfId="4" applyFont="1" applyFill="1"/>
    <xf numFmtId="9" fontId="1" fillId="3" borderId="3" xfId="0" applyNumberFormat="1" applyFont="1" applyFill="1" applyBorder="1" applyAlignment="1">
      <alignment horizontal="right" vertical="center" wrapText="1"/>
    </xf>
    <xf numFmtId="0" fontId="1" fillId="3" borderId="13" xfId="0" applyFont="1" applyFill="1" applyBorder="1" applyAlignment="1">
      <alignment horizontal="left"/>
    </xf>
    <xf numFmtId="9" fontId="1" fillId="3" borderId="13" xfId="0" applyNumberFormat="1" applyFont="1" applyFill="1" applyBorder="1" applyAlignment="1">
      <alignment horizontal="center"/>
    </xf>
    <xf numFmtId="0" fontId="1" fillId="3" borderId="13" xfId="0" applyFont="1" applyFill="1" applyBorder="1" applyAlignment="1">
      <alignment horizontal="left" indent="3"/>
    </xf>
    <xf numFmtId="0" fontId="1" fillId="3" borderId="4" xfId="0" applyFont="1" applyFill="1" applyBorder="1" applyAlignment="1">
      <alignment horizontal="left" indent="3"/>
    </xf>
    <xf numFmtId="0" fontId="1" fillId="3" borderId="7" xfId="0" applyFont="1" applyFill="1" applyBorder="1"/>
    <xf numFmtId="0" fontId="1" fillId="3" borderId="2" xfId="0" applyFont="1" applyFill="1" applyBorder="1"/>
    <xf numFmtId="0" fontId="2" fillId="3" borderId="0" xfId="0" applyFont="1" applyFill="1" applyAlignment="1" applyProtection="1">
      <alignment horizontal="left" vertical="center" indent="4"/>
      <protection locked="0"/>
    </xf>
    <xf numFmtId="170" fontId="1" fillId="3" borderId="0" xfId="0" applyNumberFormat="1" applyFont="1" applyFill="1" applyProtection="1">
      <protection locked="0"/>
    </xf>
    <xf numFmtId="10" fontId="1" fillId="3" borderId="0" xfId="0" applyNumberFormat="1" applyFont="1" applyFill="1" applyProtection="1">
      <protection locked="0"/>
    </xf>
    <xf numFmtId="43" fontId="1" fillId="3" borderId="0" xfId="1" applyFont="1" applyFill="1" applyProtection="1">
      <protection locked="0"/>
    </xf>
    <xf numFmtId="10" fontId="1" fillId="3" borderId="9" xfId="0" applyNumberFormat="1" applyFont="1" applyFill="1" applyBorder="1" applyAlignment="1">
      <alignment horizontal="right" vertical="center" wrapText="1"/>
    </xf>
    <xf numFmtId="10" fontId="1" fillId="3" borderId="11" xfId="0" applyNumberFormat="1" applyFont="1" applyFill="1" applyBorder="1" applyAlignment="1">
      <alignment horizontal="center"/>
    </xf>
    <xf numFmtId="0" fontId="1" fillId="3" borderId="3" xfId="0" applyFont="1" applyFill="1" applyBorder="1" applyAlignment="1">
      <alignment horizontal="left"/>
    </xf>
    <xf numFmtId="43" fontId="6" fillId="3" borderId="0" xfId="1" applyFont="1" applyFill="1" applyProtection="1">
      <protection locked="0"/>
    </xf>
    <xf numFmtId="0" fontId="0" fillId="3" borderId="0" xfId="0" quotePrefix="1" applyFill="1"/>
    <xf numFmtId="0" fontId="1" fillId="3" borderId="0" xfId="0" quotePrefix="1" applyFont="1" applyFill="1" applyProtection="1">
      <protection locked="0"/>
    </xf>
    <xf numFmtId="0" fontId="1" fillId="3" borderId="0" xfId="0" applyFont="1" applyFill="1" applyAlignment="1" applyProtection="1">
      <alignment horizontal="right" wrapText="1"/>
      <protection locked="0"/>
    </xf>
    <xf numFmtId="0" fontId="1" fillId="3" borderId="0" xfId="0" quotePrefix="1" applyFont="1" applyFill="1" applyAlignment="1" applyProtection="1">
      <alignment wrapText="1"/>
      <protection locked="0"/>
    </xf>
    <xf numFmtId="171" fontId="0" fillId="3" borderId="0" xfId="4" applyNumberFormat="1" applyFont="1" applyFill="1"/>
    <xf numFmtId="9" fontId="0" fillId="3" borderId="0" xfId="0" applyNumberFormat="1" applyFill="1"/>
    <xf numFmtId="44" fontId="1" fillId="3" borderId="0" xfId="0" applyNumberFormat="1" applyFont="1" applyFill="1" applyProtection="1">
      <protection locked="0"/>
    </xf>
    <xf numFmtId="43" fontId="1" fillId="3" borderId="0" xfId="0" applyNumberFormat="1" applyFont="1" applyFill="1" applyProtection="1">
      <protection locked="0"/>
    </xf>
    <xf numFmtId="0" fontId="0" fillId="0" borderId="0" xfId="0" applyProtection="1">
      <protection locked="0"/>
    </xf>
    <xf numFmtId="0" fontId="14" fillId="0" borderId="0" xfId="0" applyFont="1" applyProtection="1">
      <protection locked="0"/>
    </xf>
    <xf numFmtId="168" fontId="0" fillId="0" borderId="0" xfId="1" applyNumberFormat="1" applyFont="1" applyProtection="1">
      <protection locked="0"/>
    </xf>
    <xf numFmtId="0" fontId="12" fillId="0" borderId="0" xfId="0" applyFont="1" applyProtection="1">
      <protection locked="0"/>
    </xf>
    <xf numFmtId="168" fontId="0" fillId="0" borderId="0" xfId="0" applyNumberFormat="1" applyProtection="1">
      <protection locked="0"/>
    </xf>
    <xf numFmtId="0" fontId="1" fillId="3" borderId="1" xfId="0" applyFont="1" applyFill="1" applyBorder="1"/>
    <xf numFmtId="171" fontId="0" fillId="0" borderId="0" xfId="4" applyNumberFormat="1" applyFont="1" applyProtection="1">
      <protection locked="0"/>
    </xf>
    <xf numFmtId="171" fontId="0" fillId="0" borderId="0" xfId="0" applyNumberFormat="1" applyProtection="1">
      <protection locked="0"/>
    </xf>
    <xf numFmtId="0" fontId="13" fillId="0" borderId="16" xfId="0" applyFont="1" applyBorder="1" applyProtection="1">
      <protection locked="0"/>
    </xf>
    <xf numFmtId="10" fontId="13" fillId="0" borderId="17" xfId="0" applyNumberFormat="1" applyFont="1" applyBorder="1" applyProtection="1">
      <protection locked="0"/>
    </xf>
    <xf numFmtId="0" fontId="14" fillId="0" borderId="0" xfId="0" applyFont="1" applyAlignment="1" applyProtection="1">
      <alignment horizontal="center"/>
      <protection locked="0"/>
    </xf>
    <xf numFmtId="0" fontId="0" fillId="0" borderId="0" xfId="0" applyAlignment="1" applyProtection="1">
      <alignment horizontal="center" wrapText="1"/>
      <protection locked="0"/>
    </xf>
    <xf numFmtId="0" fontId="1" fillId="3" borderId="1" xfId="0" applyFont="1" applyFill="1" applyBorder="1" applyAlignment="1">
      <alignment horizontal="left"/>
    </xf>
    <xf numFmtId="168" fontId="14" fillId="0" borderId="0" xfId="1" applyNumberFormat="1" applyFont="1" applyProtection="1">
      <protection locked="0"/>
    </xf>
    <xf numFmtId="43" fontId="0" fillId="0" borderId="0" xfId="1" applyFont="1" applyProtection="1">
      <protection locked="0"/>
    </xf>
    <xf numFmtId="0" fontId="1" fillId="3" borderId="0" xfId="0" applyFont="1" applyFill="1" applyAlignment="1">
      <alignment horizontal="center"/>
    </xf>
    <xf numFmtId="0" fontId="13" fillId="0" borderId="18" xfId="0" applyFont="1" applyBorder="1" applyProtection="1">
      <protection locked="0"/>
    </xf>
    <xf numFmtId="0" fontId="13" fillId="0" borderId="19" xfId="0" applyFont="1" applyBorder="1" applyProtection="1">
      <protection locked="0"/>
    </xf>
    <xf numFmtId="168" fontId="13" fillId="0" borderId="19" xfId="0" applyNumberFormat="1" applyFont="1" applyBorder="1" applyProtection="1">
      <protection locked="0"/>
    </xf>
    <xf numFmtId="0" fontId="13" fillId="0" borderId="20" xfId="0" applyFont="1" applyBorder="1" applyProtection="1">
      <protection locked="0"/>
    </xf>
    <xf numFmtId="0" fontId="13" fillId="0" borderId="21" xfId="0" applyFont="1" applyBorder="1" applyProtection="1">
      <protection locked="0"/>
    </xf>
    <xf numFmtId="0" fontId="13" fillId="0" borderId="22" xfId="0" applyFont="1" applyBorder="1" applyProtection="1">
      <protection locked="0"/>
    </xf>
    <xf numFmtId="168" fontId="13" fillId="0" borderId="22" xfId="0" applyNumberFormat="1" applyFont="1" applyBorder="1" applyProtection="1">
      <protection locked="0"/>
    </xf>
    <xf numFmtId="10" fontId="13" fillId="0" borderId="22" xfId="3" applyNumberFormat="1" applyFont="1" applyBorder="1" applyProtection="1">
      <protection locked="0"/>
    </xf>
    <xf numFmtId="0" fontId="13" fillId="0" borderId="23" xfId="0" applyFont="1" applyBorder="1" applyProtection="1">
      <protection locked="0"/>
    </xf>
    <xf numFmtId="0" fontId="16" fillId="0" borderId="16" xfId="0" applyFont="1" applyBorder="1" applyProtection="1">
      <protection locked="0"/>
    </xf>
    <xf numFmtId="0" fontId="16" fillId="0" borderId="24" xfId="0" applyFont="1" applyBorder="1" applyProtection="1">
      <protection locked="0"/>
    </xf>
    <xf numFmtId="0" fontId="13" fillId="0" borderId="17" xfId="0" applyFont="1" applyBorder="1" applyProtection="1">
      <protection locked="0"/>
    </xf>
    <xf numFmtId="14" fontId="0" fillId="0" borderId="0" xfId="0" applyNumberFormat="1" applyProtection="1">
      <protection locked="0"/>
    </xf>
    <xf numFmtId="13" fontId="0" fillId="0" borderId="0" xfId="1" applyNumberFormat="1" applyFont="1" applyProtection="1">
      <protection locked="0"/>
    </xf>
    <xf numFmtId="44" fontId="0" fillId="0" borderId="0" xfId="4" applyFont="1" applyProtection="1">
      <protection locked="0"/>
    </xf>
    <xf numFmtId="16" fontId="0" fillId="0" borderId="0" xfId="0" quotePrefix="1" applyNumberFormat="1" applyProtection="1">
      <protection locked="0"/>
    </xf>
    <xf numFmtId="16" fontId="0" fillId="0" borderId="0" xfId="0" applyNumberFormat="1" applyAlignment="1" applyProtection="1">
      <alignment wrapText="1"/>
      <protection locked="0"/>
    </xf>
    <xf numFmtId="10" fontId="0" fillId="0" borderId="0" xfId="3" applyNumberFormat="1" applyFont="1" applyProtection="1">
      <protection locked="0"/>
    </xf>
    <xf numFmtId="13" fontId="0" fillId="0" borderId="0" xfId="1" applyNumberFormat="1" applyFont="1" applyFill="1" applyProtection="1">
      <protection locked="0"/>
    </xf>
    <xf numFmtId="43" fontId="0" fillId="0" borderId="0" xfId="0" applyNumberFormat="1" applyProtection="1">
      <protection locked="0"/>
    </xf>
    <xf numFmtId="0" fontId="0" fillId="0" borderId="0" xfId="0" quotePrefix="1" applyAlignment="1" applyProtection="1">
      <alignment horizontal="center"/>
      <protection locked="0"/>
    </xf>
    <xf numFmtId="0" fontId="0" fillId="0" borderId="0" xfId="0" applyAlignment="1" applyProtection="1">
      <alignment horizontal="center"/>
      <protection locked="0"/>
    </xf>
    <xf numFmtId="168" fontId="0" fillId="0" borderId="6" xfId="0" applyNumberFormat="1" applyBorder="1" applyProtection="1">
      <protection locked="0"/>
    </xf>
    <xf numFmtId="0" fontId="0" fillId="0" borderId="2" xfId="0" applyBorder="1" applyProtection="1">
      <protection locked="0"/>
    </xf>
    <xf numFmtId="168" fontId="0" fillId="0" borderId="8" xfId="0" applyNumberFormat="1" applyBorder="1" applyProtection="1">
      <protection locked="0"/>
    </xf>
    <xf numFmtId="10" fontId="1" fillId="3" borderId="9" xfId="0" applyNumberFormat="1" applyFont="1" applyFill="1" applyBorder="1" applyAlignment="1">
      <alignment horizontal="center"/>
    </xf>
    <xf numFmtId="0" fontId="1" fillId="3" borderId="10" xfId="0" applyFont="1" applyFill="1" applyBorder="1" applyAlignment="1">
      <alignment horizontal="center"/>
    </xf>
    <xf numFmtId="0" fontId="1" fillId="3" borderId="0" xfId="0" applyFont="1" applyFill="1" applyAlignment="1">
      <alignment horizontal="left" vertical="top" wrapText="1"/>
    </xf>
    <xf numFmtId="0" fontId="1" fillId="3" borderId="0" xfId="0" applyFont="1" applyFill="1" applyAlignment="1">
      <alignment horizontal="left" wrapText="1"/>
    </xf>
    <xf numFmtId="169" fontId="15" fillId="3" borderId="9" xfId="3" applyNumberFormat="1" applyFont="1" applyFill="1" applyBorder="1" applyAlignment="1">
      <alignment horizontal="center"/>
    </xf>
    <xf numFmtId="169" fontId="15" fillId="3" borderId="10" xfId="3" applyNumberFormat="1" applyFont="1" applyFill="1" applyBorder="1" applyAlignment="1">
      <alignment horizontal="center"/>
    </xf>
    <xf numFmtId="10" fontId="1" fillId="3" borderId="9" xfId="3" applyNumberFormat="1" applyFont="1" applyFill="1" applyBorder="1" applyAlignment="1">
      <alignment horizontal="center"/>
    </xf>
    <xf numFmtId="10" fontId="1" fillId="3" borderId="10" xfId="3" applyNumberFormat="1" applyFont="1" applyFill="1" applyBorder="1" applyAlignment="1">
      <alignment horizontal="center"/>
    </xf>
    <xf numFmtId="169" fontId="1" fillId="3" borderId="9" xfId="3" applyNumberFormat="1" applyFont="1" applyFill="1" applyBorder="1" applyAlignment="1">
      <alignment horizontal="center"/>
    </xf>
    <xf numFmtId="169" fontId="1" fillId="3" borderId="10" xfId="3" applyNumberFormat="1" applyFont="1" applyFill="1" applyBorder="1" applyAlignment="1">
      <alignment horizontal="center"/>
    </xf>
    <xf numFmtId="5" fontId="1" fillId="3" borderId="1" xfId="4" applyNumberFormat="1" applyFont="1" applyFill="1" applyBorder="1" applyAlignment="1">
      <alignment horizontal="center"/>
    </xf>
    <xf numFmtId="0" fontId="1" fillId="3" borderId="0" xfId="0" applyFont="1" applyFill="1" applyAlignment="1">
      <alignment wrapText="1"/>
    </xf>
    <xf numFmtId="0" fontId="1" fillId="3" borderId="12" xfId="0" applyFont="1" applyFill="1" applyBorder="1"/>
    <xf numFmtId="0" fontId="1" fillId="3" borderId="15" xfId="0" applyFont="1" applyFill="1" applyBorder="1"/>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3" borderId="1" xfId="0" applyFont="1" applyFill="1" applyBorder="1" applyAlignment="1">
      <alignment horizontal="center"/>
    </xf>
    <xf numFmtId="0" fontId="10" fillId="3" borderId="1" xfId="0" applyFont="1" applyFill="1" applyBorder="1" applyAlignment="1">
      <alignment vertical="center" wrapText="1"/>
    </xf>
    <xf numFmtId="0" fontId="0" fillId="0" borderId="0" xfId="0" applyAlignment="1">
      <alignment horizontal="left" vertical="top"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5" xfId="0" applyFont="1" applyFill="1" applyBorder="1" applyAlignment="1">
      <alignment horizontal="right" vertical="center" wrapText="1"/>
    </xf>
    <xf numFmtId="0" fontId="1" fillId="3" borderId="0" xfId="0" applyFont="1" applyFill="1" applyAlignment="1">
      <alignment horizontal="right" vertical="center" wrapText="1"/>
    </xf>
    <xf numFmtId="0" fontId="2" fillId="3" borderId="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0" fillId="0" borderId="11" xfId="0" applyBorder="1" applyAlignment="1">
      <alignment horizontal="center"/>
    </xf>
    <xf numFmtId="0" fontId="0" fillId="0" borderId="10" xfId="0" applyBorder="1"/>
    <xf numFmtId="170" fontId="1" fillId="3" borderId="9" xfId="0" applyNumberFormat="1" applyFont="1" applyFill="1" applyBorder="1" applyAlignment="1">
      <alignment horizontal="center" vertical="center" wrapText="1"/>
    </xf>
    <xf numFmtId="170" fontId="1" fillId="3" borderId="10" xfId="0" applyNumberFormat="1" applyFont="1" applyFill="1" applyBorder="1" applyAlignment="1">
      <alignment horizontal="center" vertical="center" wrapText="1"/>
    </xf>
    <xf numFmtId="170" fontId="1" fillId="3" borderId="5" xfId="0" applyNumberFormat="1" applyFont="1" applyFill="1" applyBorder="1" applyAlignment="1">
      <alignment horizontal="right" vertical="center" wrapText="1"/>
    </xf>
    <xf numFmtId="170" fontId="1" fillId="3" borderId="0" xfId="0" applyNumberFormat="1" applyFont="1" applyFill="1" applyAlignment="1">
      <alignment horizontal="right" vertical="center" wrapText="1"/>
    </xf>
    <xf numFmtId="0" fontId="1" fillId="3" borderId="9" xfId="0" applyFont="1" applyFill="1" applyBorder="1" applyAlignment="1">
      <alignment horizontal="left" vertical="center" wrapText="1"/>
    </xf>
    <xf numFmtId="0" fontId="0" fillId="0" borderId="10" xfId="0" applyBorder="1" applyAlignment="1">
      <alignment horizontal="left" vertical="center" wrapText="1"/>
    </xf>
    <xf numFmtId="0" fontId="1" fillId="3" borderId="12" xfId="0" applyFont="1" applyFill="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1" fillId="3" borderId="13" xfId="0" applyFont="1" applyFill="1" applyBorder="1" applyAlignment="1">
      <alignment vertical="center" wrapText="1"/>
    </xf>
    <xf numFmtId="0" fontId="0" fillId="0" borderId="13" xfId="0" applyBorder="1"/>
    <xf numFmtId="0" fontId="1" fillId="3" borderId="0" xfId="0" applyFont="1" applyFill="1" applyAlignment="1">
      <alignment vertical="center" wrapText="1"/>
    </xf>
    <xf numFmtId="0" fontId="0" fillId="0" borderId="0" xfId="0"/>
    <xf numFmtId="0" fontId="1" fillId="3" borderId="11" xfId="0" applyFont="1" applyFill="1" applyBorder="1" applyAlignment="1">
      <alignment vertical="center" wrapText="1"/>
    </xf>
    <xf numFmtId="0" fontId="0" fillId="0" borderId="11" xfId="0" applyBorder="1"/>
    <xf numFmtId="0" fontId="1" fillId="3" borderId="7" xfId="0" applyFont="1" applyFill="1" applyBorder="1" applyAlignment="1">
      <alignment vertical="center" wrapText="1"/>
    </xf>
    <xf numFmtId="0" fontId="0" fillId="0" borderId="2" xfId="0" applyBorder="1"/>
    <xf numFmtId="0" fontId="0" fillId="0" borderId="8" xfId="0" applyBorder="1"/>
  </cellXfs>
  <cellStyles count="5">
    <cellStyle name="Comma" xfId="1" builtinId="3"/>
    <cellStyle name="Currency" xfId="2" builtinId="4"/>
    <cellStyle name="Currency 2" xfId="4" xr:uid="{00000000-0005-0000-0000-000002000000}"/>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aon.net/Users/Paul/Dropbox/Documents/Paul/SOA%20Exam%20Committee/2017/Dec%202017%20-%20San%20Francisco/DA_Retirement_Case_Study_2018%20FINAL%201218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 Canad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43"/>
  <sheetViews>
    <sheetView topLeftCell="AC28" zoomScale="85" zoomScaleNormal="85" workbookViewId="0">
      <selection activeCell="AD48" sqref="AD48"/>
    </sheetView>
  </sheetViews>
  <sheetFormatPr defaultColWidth="9.21875" defaultRowHeight="15.6" x14ac:dyDescent="0.3"/>
  <cols>
    <col min="1" max="1" width="3.77734375" style="13" customWidth="1"/>
    <col min="2" max="2" width="48.21875" style="13" customWidth="1"/>
    <col min="3" max="3" width="24.21875" style="13" customWidth="1"/>
    <col min="4" max="4" width="13.77734375" style="13" customWidth="1"/>
    <col min="5" max="5" width="6.77734375" style="13" bestFit="1" customWidth="1"/>
    <col min="6" max="6" width="10" style="13" hidden="1" customWidth="1"/>
    <col min="7" max="7" width="6.77734375" style="13" hidden="1" customWidth="1"/>
    <col min="8" max="8" width="10" style="13" hidden="1" customWidth="1"/>
    <col min="9" max="9" width="6.77734375" style="13" hidden="1" customWidth="1"/>
    <col min="10" max="10" width="10" style="13" hidden="1" customWidth="1"/>
    <col min="11" max="11" width="6.77734375" style="13" hidden="1" customWidth="1"/>
    <col min="12" max="12" width="10" style="13" hidden="1" customWidth="1"/>
    <col min="13" max="13" width="2.77734375" style="13" customWidth="1"/>
    <col min="14" max="14" width="1" style="14" customWidth="1"/>
    <col min="15" max="15" width="5.44140625" style="154" customWidth="1"/>
    <col min="16" max="16" width="12" style="154" customWidth="1"/>
    <col min="17" max="17" width="17.21875" style="154" customWidth="1"/>
    <col min="18" max="18" width="13.44140625" style="154" customWidth="1"/>
    <col min="19" max="19" width="12.5546875" style="154" bestFit="1" customWidth="1"/>
    <col min="20" max="20" width="15" style="154" customWidth="1"/>
    <col min="21" max="21" width="9.21875" style="154"/>
    <col min="22" max="22" width="11" style="154" customWidth="1"/>
    <col min="23" max="23" width="9.21875" style="154"/>
    <col min="24" max="25" width="14.77734375" style="154" customWidth="1"/>
    <col min="26" max="26" width="22" style="154" customWidth="1"/>
    <col min="27" max="27" width="1" style="14" customWidth="1"/>
    <col min="28" max="28" width="6.44140625" style="154" customWidth="1"/>
    <col min="29" max="30" width="34.21875" style="155" customWidth="1"/>
    <col min="31" max="31" width="34.21875" style="154" customWidth="1"/>
    <col min="32" max="32" width="39.5546875" style="154" customWidth="1"/>
    <col min="33" max="36" width="34.21875" style="154" customWidth="1"/>
    <col min="37" max="37" width="22.77734375" style="154" customWidth="1"/>
    <col min="38" max="38" width="1" style="14" customWidth="1"/>
    <col min="39" max="16384" width="9.21875" style="108"/>
  </cols>
  <sheetData>
    <row r="1" spans="1:37" x14ac:dyDescent="0.3">
      <c r="A1" s="12" t="s">
        <v>97</v>
      </c>
      <c r="O1" s="12" t="s">
        <v>97</v>
      </c>
      <c r="P1" s="13"/>
      <c r="Q1" s="13"/>
      <c r="R1" s="13"/>
      <c r="S1" s="13"/>
      <c r="T1" s="13"/>
      <c r="U1" s="13"/>
      <c r="V1" s="13"/>
      <c r="W1" s="13"/>
      <c r="X1" s="13"/>
      <c r="Y1" s="13"/>
      <c r="Z1" s="13"/>
      <c r="AB1" s="12" t="s">
        <v>97</v>
      </c>
      <c r="AC1" s="13"/>
      <c r="AD1" s="13"/>
      <c r="AE1" s="13"/>
      <c r="AF1" s="13"/>
      <c r="AG1" s="13"/>
      <c r="AH1" s="13"/>
      <c r="AI1" s="13"/>
      <c r="AJ1" s="13"/>
      <c r="AK1" s="13"/>
    </row>
    <row r="2" spans="1:37" x14ac:dyDescent="0.3">
      <c r="A2" s="12" t="s">
        <v>2</v>
      </c>
      <c r="O2" s="12" t="s">
        <v>2</v>
      </c>
      <c r="P2" s="13"/>
      <c r="Q2" s="13"/>
      <c r="R2" s="13"/>
      <c r="S2" s="13"/>
      <c r="T2" s="13"/>
      <c r="U2" s="13"/>
      <c r="V2" s="13"/>
      <c r="W2" s="13"/>
      <c r="X2" s="13"/>
      <c r="Y2" s="13"/>
      <c r="Z2" s="13"/>
      <c r="AB2" s="12" t="s">
        <v>2</v>
      </c>
      <c r="AC2" s="13"/>
      <c r="AD2" s="13"/>
      <c r="AE2" s="13"/>
      <c r="AF2" s="13"/>
      <c r="AG2" s="13"/>
      <c r="AH2" s="13"/>
      <c r="AI2" s="13"/>
      <c r="AJ2" s="13"/>
      <c r="AK2" s="13"/>
    </row>
    <row r="3" spans="1:37" x14ac:dyDescent="0.3">
      <c r="A3" s="12" t="s">
        <v>165</v>
      </c>
      <c r="O3" s="12" t="s">
        <v>165</v>
      </c>
      <c r="P3" s="13"/>
      <c r="Q3" s="13"/>
      <c r="R3" s="13"/>
      <c r="S3" s="13"/>
      <c r="T3" s="13"/>
      <c r="U3" s="13"/>
      <c r="V3" s="13"/>
      <c r="W3" s="13"/>
      <c r="X3" s="13"/>
      <c r="Y3" s="13"/>
      <c r="Z3" s="13"/>
      <c r="AB3" s="12" t="s">
        <v>165</v>
      </c>
      <c r="AC3" s="13"/>
      <c r="AD3" s="13"/>
      <c r="AE3" s="13"/>
      <c r="AF3" s="13"/>
      <c r="AG3" s="13"/>
      <c r="AH3" s="13"/>
      <c r="AI3" s="13"/>
      <c r="AJ3" s="13"/>
      <c r="AK3" s="13"/>
    </row>
    <row r="4" spans="1:37" x14ac:dyDescent="0.3">
      <c r="O4" s="13"/>
      <c r="P4" s="13"/>
      <c r="Q4" s="13"/>
      <c r="R4" s="13"/>
      <c r="S4" s="13"/>
      <c r="T4" s="13"/>
      <c r="U4" s="13"/>
      <c r="V4" s="13"/>
      <c r="W4" s="13"/>
      <c r="X4" s="13"/>
      <c r="Y4" s="13"/>
      <c r="Z4" s="13"/>
      <c r="AB4" s="13"/>
      <c r="AC4" s="13"/>
      <c r="AD4" s="13"/>
      <c r="AE4" s="13"/>
      <c r="AF4" s="13"/>
      <c r="AG4" s="13"/>
      <c r="AH4" s="13"/>
      <c r="AI4" s="13"/>
      <c r="AJ4" s="13"/>
      <c r="AK4" s="13"/>
    </row>
    <row r="5" spans="1:37" ht="16.2" customHeight="1" x14ac:dyDescent="0.35">
      <c r="A5" s="206" t="s">
        <v>166</v>
      </c>
      <c r="B5" s="206"/>
      <c r="C5" s="206"/>
      <c r="D5" s="206"/>
      <c r="E5" s="206"/>
      <c r="F5" s="206"/>
      <c r="G5" s="206"/>
      <c r="H5" s="206"/>
      <c r="I5" s="206"/>
      <c r="J5" s="206"/>
      <c r="K5" s="206"/>
      <c r="L5" s="206"/>
      <c r="M5" s="206"/>
      <c r="O5" s="58" t="s">
        <v>100</v>
      </c>
      <c r="P5" s="13"/>
      <c r="Q5" s="13"/>
      <c r="R5" s="13"/>
      <c r="S5" s="13"/>
      <c r="T5" s="13"/>
      <c r="U5" s="13"/>
      <c r="V5" s="13"/>
      <c r="W5" s="13"/>
      <c r="X5" s="13"/>
      <c r="Y5" s="13"/>
      <c r="Z5" s="13"/>
      <c r="AB5" s="58" t="s">
        <v>100</v>
      </c>
      <c r="AC5" s="13"/>
      <c r="AD5" s="13"/>
      <c r="AE5" s="13"/>
      <c r="AF5" s="13"/>
      <c r="AG5" s="13"/>
      <c r="AH5" s="13"/>
      <c r="AI5" s="13"/>
      <c r="AJ5" s="13"/>
      <c r="AK5" s="13"/>
    </row>
    <row r="6" spans="1:37" x14ac:dyDescent="0.3">
      <c r="A6" s="206"/>
      <c r="B6" s="206"/>
      <c r="C6" s="206"/>
      <c r="D6" s="206"/>
      <c r="E6" s="206"/>
      <c r="F6" s="206"/>
      <c r="G6" s="206"/>
      <c r="H6" s="206"/>
      <c r="I6" s="206"/>
      <c r="J6" s="206"/>
      <c r="K6" s="206"/>
      <c r="L6" s="206"/>
      <c r="M6" s="206"/>
      <c r="O6" s="13"/>
      <c r="P6" s="13"/>
      <c r="Q6" s="13"/>
      <c r="R6" s="13"/>
      <c r="S6" s="13"/>
      <c r="T6" s="13"/>
      <c r="U6" s="13"/>
      <c r="V6" s="13"/>
      <c r="W6" s="13"/>
      <c r="X6" s="13"/>
      <c r="Y6" s="13"/>
      <c r="Z6" s="13"/>
      <c r="AB6" s="13"/>
      <c r="AC6" s="13"/>
      <c r="AD6" s="13"/>
      <c r="AE6" s="13"/>
      <c r="AF6" s="13"/>
      <c r="AG6" s="13"/>
      <c r="AH6" s="13"/>
      <c r="AI6" s="13"/>
      <c r="AJ6" s="13"/>
      <c r="AK6" s="13"/>
    </row>
    <row r="7" spans="1:37" ht="15.6" customHeight="1" x14ac:dyDescent="0.3">
      <c r="A7" s="206"/>
      <c r="B7" s="206"/>
      <c r="C7" s="206"/>
      <c r="D7" s="206"/>
      <c r="E7" s="206"/>
      <c r="F7" s="206"/>
      <c r="G7" s="206"/>
      <c r="H7" s="206"/>
      <c r="I7" s="206"/>
      <c r="J7" s="206"/>
      <c r="K7" s="206"/>
      <c r="L7" s="206"/>
      <c r="M7" s="206"/>
      <c r="O7" s="13" t="s">
        <v>167</v>
      </c>
      <c r="P7" s="197" t="str">
        <f>B38</f>
        <v xml:space="preserve">(2 points)  Calculate the Service Cost under U.S. Accounting Standard ASC 715 as a percentage of base pay for the existing DB plan for the average participant.  </v>
      </c>
      <c r="Q7" s="197"/>
      <c r="R7" s="197"/>
      <c r="S7" s="197"/>
      <c r="T7" s="197"/>
      <c r="U7" s="197"/>
      <c r="V7" s="197"/>
      <c r="W7" s="197"/>
      <c r="X7" s="197"/>
      <c r="Y7" s="197"/>
      <c r="Z7" s="197"/>
      <c r="AB7" s="13" t="s">
        <v>168</v>
      </c>
      <c r="AC7" s="197" t="str">
        <f>B45</f>
        <v>(4 points)  Calculate the flat DC contribution as a percentage of base pay for the average participant necessary to restore the lump sum value lost due to the DB plan freeze. 
Show all work.</v>
      </c>
      <c r="AD7" s="197"/>
      <c r="AE7" s="197"/>
      <c r="AF7" s="197"/>
      <c r="AG7" s="197"/>
      <c r="AH7" s="197"/>
      <c r="AI7" s="197"/>
      <c r="AJ7" s="197"/>
      <c r="AK7" s="197"/>
    </row>
    <row r="8" spans="1:37" ht="15.6" customHeight="1" x14ac:dyDescent="0.3">
      <c r="A8" s="206"/>
      <c r="B8" s="206"/>
      <c r="C8" s="206"/>
      <c r="D8" s="206"/>
      <c r="E8" s="206"/>
      <c r="F8" s="206"/>
      <c r="G8" s="206"/>
      <c r="H8" s="206"/>
      <c r="I8" s="206"/>
      <c r="J8" s="206"/>
      <c r="K8" s="206"/>
      <c r="L8" s="206"/>
      <c r="M8" s="206"/>
      <c r="O8" s="13"/>
      <c r="P8" s="197"/>
      <c r="Q8" s="197"/>
      <c r="R8" s="197"/>
      <c r="S8" s="197"/>
      <c r="T8" s="197"/>
      <c r="U8" s="197"/>
      <c r="V8" s="197"/>
      <c r="W8" s="197"/>
      <c r="X8" s="197"/>
      <c r="Y8" s="197"/>
      <c r="Z8" s="197"/>
      <c r="AB8" s="13"/>
      <c r="AC8" s="197"/>
      <c r="AD8" s="197"/>
      <c r="AE8" s="197"/>
      <c r="AF8" s="197"/>
      <c r="AG8" s="197"/>
      <c r="AH8" s="197"/>
      <c r="AI8" s="197"/>
      <c r="AJ8" s="197"/>
      <c r="AK8" s="197"/>
    </row>
    <row r="9" spans="1:37" ht="15.75" customHeight="1" x14ac:dyDescent="0.3">
      <c r="B9" s="206" t="s">
        <v>169</v>
      </c>
      <c r="C9" s="206"/>
      <c r="D9" s="206"/>
      <c r="E9" s="206"/>
      <c r="O9" s="13"/>
      <c r="P9" s="197"/>
      <c r="Q9" s="197"/>
      <c r="R9" s="197"/>
      <c r="S9" s="197"/>
      <c r="T9" s="197"/>
      <c r="U9" s="197"/>
      <c r="V9" s="197"/>
      <c r="W9" s="197"/>
      <c r="X9" s="197"/>
      <c r="Y9" s="197"/>
      <c r="Z9" s="197"/>
      <c r="AB9" s="13"/>
      <c r="AC9" s="197"/>
      <c r="AD9" s="197"/>
      <c r="AE9" s="197"/>
      <c r="AF9" s="197"/>
      <c r="AG9" s="197"/>
      <c r="AH9" s="197"/>
      <c r="AI9" s="197"/>
      <c r="AJ9" s="197"/>
      <c r="AK9" s="197"/>
    </row>
    <row r="10" spans="1:37" x14ac:dyDescent="0.3">
      <c r="B10" s="206"/>
      <c r="C10" s="206"/>
      <c r="D10" s="206"/>
      <c r="E10" s="206"/>
      <c r="O10" s="13"/>
      <c r="P10" s="66" t="str">
        <f>B41</f>
        <v>Show all work.</v>
      </c>
      <c r="Q10" s="78"/>
      <c r="R10" s="78"/>
      <c r="S10" s="78"/>
      <c r="T10" s="78"/>
      <c r="U10" s="78"/>
      <c r="V10" s="78"/>
      <c r="W10" s="78"/>
      <c r="X10" s="78"/>
      <c r="Y10" s="78"/>
      <c r="Z10" s="78"/>
      <c r="AB10" s="13"/>
      <c r="AC10" s="66" t="str">
        <f>P10</f>
        <v>Show all work.</v>
      </c>
      <c r="AD10" s="78"/>
      <c r="AE10" s="78"/>
      <c r="AF10" s="78"/>
      <c r="AG10" s="78"/>
      <c r="AH10" s="78"/>
      <c r="AI10" s="78"/>
      <c r="AJ10" s="78"/>
      <c r="AK10" s="78"/>
    </row>
    <row r="11" spans="1:37" x14ac:dyDescent="0.3">
      <c r="B11" s="206"/>
      <c r="C11" s="206"/>
      <c r="D11" s="206"/>
      <c r="E11" s="206"/>
      <c r="O11" s="78"/>
      <c r="P11" s="78"/>
      <c r="Q11" s="78"/>
      <c r="R11" s="78"/>
      <c r="S11" s="78"/>
      <c r="T11" s="78"/>
      <c r="U11" s="78"/>
      <c r="V11" s="78"/>
      <c r="W11" s="78"/>
      <c r="X11" s="78"/>
      <c r="Y11" s="78"/>
      <c r="Z11" s="78"/>
      <c r="AB11" s="78"/>
      <c r="AC11" s="78"/>
      <c r="AD11" s="78"/>
      <c r="AE11" s="78"/>
      <c r="AF11" s="78"/>
      <c r="AG11" s="78"/>
      <c r="AH11" s="78"/>
      <c r="AI11" s="78"/>
      <c r="AJ11" s="78"/>
      <c r="AK11" s="78"/>
    </row>
    <row r="12" spans="1:37" x14ac:dyDescent="0.3">
      <c r="B12" s="206"/>
      <c r="C12" s="206"/>
      <c r="D12" s="206"/>
      <c r="E12" s="206"/>
      <c r="P12" s="154" t="s">
        <v>170</v>
      </c>
      <c r="AC12" s="155" t="s">
        <v>171</v>
      </c>
    </row>
    <row r="13" spans="1:37" x14ac:dyDescent="0.3">
      <c r="B13" s="206"/>
      <c r="C13" s="206"/>
      <c r="D13" s="206"/>
      <c r="E13" s="206"/>
      <c r="P13" s="154" t="s">
        <v>172</v>
      </c>
      <c r="R13" s="156">
        <f>0.02*C25*C24</f>
        <v>30000</v>
      </c>
      <c r="AC13" s="155" t="s">
        <v>173</v>
      </c>
    </row>
    <row r="14" spans="1:37" x14ac:dyDescent="0.3">
      <c r="B14" s="206"/>
      <c r="C14" s="206"/>
      <c r="D14" s="206"/>
      <c r="E14" s="206"/>
      <c r="AC14" s="155" t="s">
        <v>174</v>
      </c>
      <c r="AF14" s="156">
        <f>0.02*C25*((1+C30)^(C29-C23))*(C24+ (C29-C23))</f>
        <v>50000</v>
      </c>
    </row>
    <row r="15" spans="1:37" x14ac:dyDescent="0.3">
      <c r="P15" s="154" t="s">
        <v>175</v>
      </c>
    </row>
    <row r="16" spans="1:37" x14ac:dyDescent="0.3">
      <c r="A16" s="13" t="s">
        <v>176</v>
      </c>
      <c r="P16" s="154" t="s">
        <v>177</v>
      </c>
      <c r="R16" s="156">
        <f>0.02*C25*(1+C30)*(C24+1)</f>
        <v>32000</v>
      </c>
      <c r="AC16" s="155" t="s">
        <v>178</v>
      </c>
      <c r="AH16" s="157"/>
      <c r="AI16" s="157"/>
    </row>
    <row r="17" spans="1:33" x14ac:dyDescent="0.3">
      <c r="AC17" s="155" t="s">
        <v>179</v>
      </c>
      <c r="AF17" s="156">
        <f>AF14*(1-0.03*(65-C29))*C34</f>
        <v>637500</v>
      </c>
    </row>
    <row r="18" spans="1:33" ht="15.75" customHeight="1" x14ac:dyDescent="0.3">
      <c r="B18" s="207" t="s">
        <v>180</v>
      </c>
      <c r="C18" s="209" t="s">
        <v>181</v>
      </c>
      <c r="D18" s="210"/>
      <c r="P18" s="154" t="s">
        <v>182</v>
      </c>
    </row>
    <row r="19" spans="1:33" x14ac:dyDescent="0.3">
      <c r="B19" s="208"/>
      <c r="C19" s="211"/>
      <c r="D19" s="212"/>
      <c r="P19" s="154" t="s">
        <v>183</v>
      </c>
      <c r="R19" s="158">
        <f>R16-R13</f>
        <v>2000</v>
      </c>
      <c r="AC19" s="155" t="s">
        <v>184</v>
      </c>
    </row>
    <row r="20" spans="1:33" ht="15.75" customHeight="1" x14ac:dyDescent="0.3">
      <c r="B20" s="207" t="s">
        <v>185</v>
      </c>
      <c r="C20" s="209" t="s">
        <v>186</v>
      </c>
      <c r="D20" s="210"/>
    </row>
    <row r="21" spans="1:33" x14ac:dyDescent="0.3">
      <c r="B21" s="208"/>
      <c r="C21" s="211"/>
      <c r="D21" s="212"/>
      <c r="P21" s="154" t="s">
        <v>187</v>
      </c>
      <c r="AC21" s="155" t="s">
        <v>188</v>
      </c>
    </row>
    <row r="22" spans="1:33" x14ac:dyDescent="0.3">
      <c r="B22" s="159" t="s">
        <v>189</v>
      </c>
      <c r="C22" s="213">
        <v>100</v>
      </c>
      <c r="D22" s="213"/>
      <c r="P22" s="154" t="s">
        <v>190</v>
      </c>
      <c r="R22" s="156">
        <f>R13*(1-(65-C29)*(3%))</f>
        <v>25500</v>
      </c>
      <c r="AC22" s="155" t="s">
        <v>191</v>
      </c>
    </row>
    <row r="23" spans="1:33" x14ac:dyDescent="0.3">
      <c r="B23" s="159" t="s">
        <v>192</v>
      </c>
      <c r="C23" s="213">
        <v>50</v>
      </c>
      <c r="D23" s="213"/>
      <c r="AC23" s="155" t="s">
        <v>193</v>
      </c>
      <c r="AE23" s="156">
        <f>0.02*C25*C24</f>
        <v>30000</v>
      </c>
    </row>
    <row r="24" spans="1:33" x14ac:dyDescent="0.3">
      <c r="B24" s="159" t="s">
        <v>194</v>
      </c>
      <c r="C24" s="213">
        <v>15</v>
      </c>
      <c r="D24" s="213"/>
      <c r="P24" s="154" t="s">
        <v>195</v>
      </c>
    </row>
    <row r="25" spans="1:33" x14ac:dyDescent="0.3">
      <c r="B25" s="159" t="s">
        <v>196</v>
      </c>
      <c r="C25" s="205">
        <v>100000</v>
      </c>
      <c r="D25" s="205"/>
      <c r="P25" s="154" t="s">
        <v>197</v>
      </c>
      <c r="R25" s="156">
        <f>R16*(1-(65-C29)*(3%))</f>
        <v>27200</v>
      </c>
      <c r="AC25" s="155" t="s">
        <v>198</v>
      </c>
    </row>
    <row r="26" spans="1:33" x14ac:dyDescent="0.3">
      <c r="R26" s="160"/>
      <c r="AC26" s="155" t="s">
        <v>199</v>
      </c>
      <c r="AF26" s="156">
        <f>AE23*(1-0.03*(65-C29))*C34</f>
        <v>382500</v>
      </c>
    </row>
    <row r="27" spans="1:33" x14ac:dyDescent="0.3">
      <c r="A27" s="13" t="s">
        <v>200</v>
      </c>
      <c r="P27" s="154" t="s">
        <v>201</v>
      </c>
      <c r="R27" s="160"/>
    </row>
    <row r="28" spans="1:33" x14ac:dyDescent="0.3">
      <c r="P28" s="154" t="s">
        <v>202</v>
      </c>
      <c r="S28" s="160">
        <f>R25-R22</f>
        <v>1700</v>
      </c>
      <c r="AC28" s="155" t="s">
        <v>203</v>
      </c>
    </row>
    <row r="29" spans="1:33" x14ac:dyDescent="0.3">
      <c r="B29" s="159" t="s">
        <v>204</v>
      </c>
      <c r="C29" s="199">
        <v>60</v>
      </c>
      <c r="D29" s="200"/>
      <c r="G29" s="81"/>
      <c r="H29" s="81"/>
      <c r="I29" s="81"/>
      <c r="J29" s="81"/>
      <c r="K29" s="81"/>
      <c r="L29" s="81"/>
      <c r="R29" s="160"/>
      <c r="S29" s="161"/>
      <c r="AC29" s="155" t="s">
        <v>205</v>
      </c>
      <c r="AE29" s="158">
        <f>AF17-AF26</f>
        <v>255000</v>
      </c>
    </row>
    <row r="30" spans="1:33" ht="16.2" thickBot="1" x14ac:dyDescent="0.35">
      <c r="B30" s="159" t="s">
        <v>206</v>
      </c>
      <c r="C30" s="201">
        <v>0</v>
      </c>
      <c r="D30" s="202"/>
      <c r="G30" s="81"/>
      <c r="H30" s="81"/>
      <c r="I30" s="81"/>
      <c r="J30" s="81"/>
      <c r="K30" s="81"/>
      <c r="L30" s="81"/>
      <c r="P30" s="154" t="s">
        <v>207</v>
      </c>
    </row>
    <row r="31" spans="1:33" ht="16.2" thickBot="1" x14ac:dyDescent="0.35">
      <c r="B31" s="159" t="s">
        <v>208</v>
      </c>
      <c r="C31" s="201">
        <v>0.06</v>
      </c>
      <c r="D31" s="202"/>
      <c r="P31" s="154" t="s">
        <v>209</v>
      </c>
      <c r="T31" s="161">
        <f>S28*C34</f>
        <v>25500</v>
      </c>
      <c r="AC31" s="155" t="s">
        <v>210</v>
      </c>
      <c r="AF31" s="162" t="s">
        <v>211</v>
      </c>
      <c r="AG31" s="163">
        <v>0.18251249999999999</v>
      </c>
    </row>
    <row r="32" spans="1:33" x14ac:dyDescent="0.3">
      <c r="B32" s="159" t="s">
        <v>212</v>
      </c>
      <c r="C32" s="201" t="s">
        <v>213</v>
      </c>
      <c r="D32" s="202"/>
      <c r="AC32" s="155" t="s">
        <v>214</v>
      </c>
    </row>
    <row r="33" spans="1:34" x14ac:dyDescent="0.3">
      <c r="B33" s="159" t="s">
        <v>215</v>
      </c>
      <c r="C33" s="203" t="s">
        <v>216</v>
      </c>
      <c r="D33" s="204"/>
      <c r="P33" s="154" t="s">
        <v>217</v>
      </c>
      <c r="R33" s="160"/>
    </row>
    <row r="34" spans="1:34" ht="28.8" x14ac:dyDescent="0.3">
      <c r="B34" s="159" t="s">
        <v>218</v>
      </c>
      <c r="C34" s="203">
        <v>15</v>
      </c>
      <c r="D34" s="204"/>
      <c r="P34" s="154" t="s">
        <v>219</v>
      </c>
      <c r="S34" s="160">
        <f>T31/((1+C35)^(C29-C23))</f>
        <v>18974.394829866491</v>
      </c>
      <c r="AC34" s="164" t="s">
        <v>220</v>
      </c>
      <c r="AD34" s="164" t="s">
        <v>221</v>
      </c>
      <c r="AE34" s="164" t="s">
        <v>222</v>
      </c>
      <c r="AF34" s="165" t="s">
        <v>223</v>
      </c>
      <c r="AG34" s="154" t="s">
        <v>224</v>
      </c>
    </row>
    <row r="35" spans="1:34" x14ac:dyDescent="0.3">
      <c r="B35" s="166" t="s">
        <v>225</v>
      </c>
      <c r="C35" s="195">
        <v>0.03</v>
      </c>
      <c r="D35" s="196"/>
      <c r="AC35" s="155">
        <v>50</v>
      </c>
      <c r="AD35" s="167">
        <f>C25</f>
        <v>100000</v>
      </c>
      <c r="AE35" s="158">
        <f>AD35*$AG$31</f>
        <v>18251.25</v>
      </c>
      <c r="AF35" s="168">
        <f>(1+$C$31)^(60-AC35)</f>
        <v>1.7908476965428546</v>
      </c>
      <c r="AG35" s="156">
        <f>AE35*AF35</f>
        <v>32685.209021527775</v>
      </c>
    </row>
    <row r="36" spans="1:34" x14ac:dyDescent="0.3">
      <c r="B36" s="166" t="s">
        <v>226</v>
      </c>
      <c r="C36" s="195" t="s">
        <v>227</v>
      </c>
      <c r="D36" s="196"/>
      <c r="P36" s="154" t="s">
        <v>228</v>
      </c>
      <c r="R36" s="160"/>
      <c r="S36" s="161"/>
      <c r="AC36" s="155">
        <v>51</v>
      </c>
      <c r="AD36" s="167">
        <f>AD35*(1+$C$30)</f>
        <v>100000</v>
      </c>
      <c r="AE36" s="158">
        <f t="shared" ref="AE36:AE44" si="0">AD36*$AG$31</f>
        <v>18251.25</v>
      </c>
      <c r="AF36" s="168">
        <f t="shared" ref="AF36:AF44" si="1">(1+$C$31)^(60-AC36)</f>
        <v>1.6894789590026928</v>
      </c>
      <c r="AG36" s="156">
        <f t="shared" ref="AG36:AG44" si="2">AE36*AF36</f>
        <v>30835.102850497897</v>
      </c>
    </row>
    <row r="37" spans="1:34" ht="15.6" customHeight="1" x14ac:dyDescent="0.3">
      <c r="B37" s="169"/>
      <c r="C37" s="169"/>
      <c r="D37" s="169"/>
      <c r="P37" s="154" t="s">
        <v>229</v>
      </c>
      <c r="R37" s="156">
        <f>S34*C22</f>
        <v>1897439.482986649</v>
      </c>
      <c r="AC37" s="155">
        <v>52</v>
      </c>
      <c r="AD37" s="167">
        <f t="shared" ref="AD37:AD44" si="3">AD36*(1+$C$30)</f>
        <v>100000</v>
      </c>
      <c r="AE37" s="158">
        <f t="shared" si="0"/>
        <v>18251.25</v>
      </c>
      <c r="AF37" s="168">
        <f t="shared" si="1"/>
        <v>1.5938480745308423</v>
      </c>
      <c r="AG37" s="156">
        <f t="shared" si="2"/>
        <v>29089.719670281036</v>
      </c>
    </row>
    <row r="38" spans="1:34" ht="15.6" customHeight="1" thickBot="1" x14ac:dyDescent="0.35">
      <c r="A38" s="13" t="s">
        <v>167</v>
      </c>
      <c r="B38" s="197" t="s">
        <v>230</v>
      </c>
      <c r="C38" s="197"/>
      <c r="D38" s="197"/>
      <c r="E38" s="197"/>
      <c r="F38" s="197"/>
      <c r="G38" s="197"/>
      <c r="H38" s="197"/>
      <c r="I38" s="197"/>
      <c r="J38" s="197"/>
      <c r="K38" s="197"/>
      <c r="L38" s="197"/>
      <c r="R38" s="160"/>
      <c r="S38" s="161"/>
      <c r="AC38" s="155">
        <v>53</v>
      </c>
      <c r="AD38" s="167">
        <f t="shared" si="3"/>
        <v>100000</v>
      </c>
      <c r="AE38" s="158">
        <f t="shared" si="0"/>
        <v>18251.25</v>
      </c>
      <c r="AF38" s="168">
        <f t="shared" si="1"/>
        <v>1.5036302589913608</v>
      </c>
      <c r="AG38" s="156">
        <f t="shared" si="2"/>
        <v>27443.131764416074</v>
      </c>
    </row>
    <row r="39" spans="1:34" ht="18.75" customHeight="1" x14ac:dyDescent="0.3">
      <c r="B39" s="197"/>
      <c r="C39" s="197"/>
      <c r="D39" s="197"/>
      <c r="E39" s="197"/>
      <c r="F39" s="197"/>
      <c r="G39" s="197"/>
      <c r="H39" s="197"/>
      <c r="I39" s="197"/>
      <c r="J39" s="197"/>
      <c r="K39" s="197"/>
      <c r="L39" s="197"/>
      <c r="P39" s="170" t="s">
        <v>231</v>
      </c>
      <c r="Q39" s="171"/>
      <c r="R39" s="172"/>
      <c r="S39" s="171"/>
      <c r="T39" s="171"/>
      <c r="U39" s="171"/>
      <c r="V39" s="171"/>
      <c r="W39" s="171"/>
      <c r="X39" s="171"/>
      <c r="Y39" s="171"/>
      <c r="Z39" s="173"/>
      <c r="AC39" s="155">
        <v>54</v>
      </c>
      <c r="AD39" s="167">
        <f t="shared" si="3"/>
        <v>100000</v>
      </c>
      <c r="AE39" s="158">
        <f t="shared" si="0"/>
        <v>18251.25</v>
      </c>
      <c r="AF39" s="168">
        <f t="shared" si="1"/>
        <v>1.4185191122560006</v>
      </c>
      <c r="AG39" s="156">
        <f t="shared" si="2"/>
        <v>25889.746947562329</v>
      </c>
    </row>
    <row r="40" spans="1:34" ht="16.2" thickBot="1" x14ac:dyDescent="0.35">
      <c r="B40" s="78"/>
      <c r="C40" s="78"/>
      <c r="D40" s="78"/>
      <c r="E40" s="78"/>
      <c r="F40" s="78"/>
      <c r="G40" s="78"/>
      <c r="H40" s="78"/>
      <c r="I40" s="78"/>
      <c r="J40" s="78"/>
      <c r="K40" s="78"/>
      <c r="L40" s="78"/>
      <c r="P40" s="174" t="s">
        <v>232</v>
      </c>
      <c r="Q40" s="175"/>
      <c r="R40" s="176"/>
      <c r="S40" s="175"/>
      <c r="T40" s="175"/>
      <c r="U40" s="177">
        <f>R37/C22/C25</f>
        <v>0.18974394829866492</v>
      </c>
      <c r="V40" s="175"/>
      <c r="W40" s="175"/>
      <c r="X40" s="175"/>
      <c r="Y40" s="175"/>
      <c r="Z40" s="178"/>
      <c r="AC40" s="155">
        <v>55</v>
      </c>
      <c r="AD40" s="167">
        <f t="shared" si="3"/>
        <v>100000</v>
      </c>
      <c r="AE40" s="158">
        <f t="shared" si="0"/>
        <v>18251.25</v>
      </c>
      <c r="AF40" s="168">
        <f t="shared" si="1"/>
        <v>1.3382255776000005</v>
      </c>
      <c r="AG40" s="156">
        <f t="shared" si="2"/>
        <v>24424.289573172009</v>
      </c>
    </row>
    <row r="41" spans="1:34" x14ac:dyDescent="0.3">
      <c r="B41" s="66" t="s">
        <v>0</v>
      </c>
      <c r="C41" s="78"/>
      <c r="D41" s="78"/>
      <c r="E41" s="78"/>
      <c r="F41" s="78"/>
      <c r="G41" s="78"/>
      <c r="H41" s="78"/>
      <c r="I41" s="78"/>
      <c r="J41" s="78"/>
      <c r="K41" s="78"/>
      <c r="L41" s="78"/>
      <c r="R41" s="158"/>
      <c r="AC41" s="155">
        <v>56</v>
      </c>
      <c r="AD41" s="167">
        <f t="shared" si="3"/>
        <v>100000</v>
      </c>
      <c r="AE41" s="158">
        <f t="shared" si="0"/>
        <v>18251.25</v>
      </c>
      <c r="AF41" s="168">
        <f t="shared" si="1"/>
        <v>1.2624769600000003</v>
      </c>
      <c r="AG41" s="156">
        <f t="shared" si="2"/>
        <v>23041.782616200006</v>
      </c>
    </row>
    <row r="42" spans="1:34" ht="16.2" x14ac:dyDescent="0.3">
      <c r="B42" s="65" t="s">
        <v>233</v>
      </c>
      <c r="C42" s="78"/>
      <c r="D42" s="78"/>
      <c r="E42" s="78"/>
      <c r="F42" s="78"/>
      <c r="G42" s="78"/>
      <c r="H42" s="78"/>
      <c r="I42" s="78"/>
      <c r="J42" s="78"/>
      <c r="K42" s="78"/>
      <c r="L42" s="78"/>
      <c r="AC42" s="155">
        <v>57</v>
      </c>
      <c r="AD42" s="167">
        <f t="shared" si="3"/>
        <v>100000</v>
      </c>
      <c r="AE42" s="158">
        <f t="shared" si="0"/>
        <v>18251.25</v>
      </c>
      <c r="AF42" s="168">
        <f t="shared" si="1"/>
        <v>1.1910160000000003</v>
      </c>
      <c r="AG42" s="156">
        <f t="shared" si="2"/>
        <v>21737.530770000005</v>
      </c>
    </row>
    <row r="43" spans="1:34" ht="16.2" x14ac:dyDescent="0.3">
      <c r="B43" s="65"/>
      <c r="C43" s="78"/>
      <c r="D43" s="78"/>
      <c r="E43" s="78"/>
      <c r="F43" s="78"/>
      <c r="G43" s="78"/>
      <c r="H43" s="78"/>
      <c r="I43" s="78"/>
      <c r="J43" s="78"/>
      <c r="K43" s="78"/>
      <c r="L43" s="78"/>
      <c r="AC43" s="155">
        <v>58</v>
      </c>
      <c r="AD43" s="167">
        <f t="shared" si="3"/>
        <v>100000</v>
      </c>
      <c r="AE43" s="158">
        <f t="shared" si="0"/>
        <v>18251.25</v>
      </c>
      <c r="AF43" s="168">
        <f t="shared" si="1"/>
        <v>1.1236000000000002</v>
      </c>
      <c r="AG43" s="156">
        <f t="shared" si="2"/>
        <v>20507.104500000001</v>
      </c>
    </row>
    <row r="44" spans="1:34" ht="15.75" customHeight="1" x14ac:dyDescent="0.3">
      <c r="AC44" s="155">
        <v>59</v>
      </c>
      <c r="AD44" s="167">
        <f t="shared" si="3"/>
        <v>100000</v>
      </c>
      <c r="AE44" s="158">
        <f t="shared" si="0"/>
        <v>18251.25</v>
      </c>
      <c r="AF44" s="168">
        <f t="shared" si="1"/>
        <v>1.06</v>
      </c>
      <c r="AG44" s="156">
        <f t="shared" si="2"/>
        <v>19346.325000000001</v>
      </c>
    </row>
    <row r="45" spans="1:34" x14ac:dyDescent="0.3">
      <c r="A45" s="13" t="s">
        <v>168</v>
      </c>
      <c r="B45" s="198" t="s">
        <v>234</v>
      </c>
      <c r="C45" s="198"/>
      <c r="D45" s="198"/>
      <c r="E45" s="198"/>
      <c r="F45" s="198"/>
      <c r="G45" s="198"/>
      <c r="H45" s="198"/>
      <c r="I45" s="198"/>
      <c r="J45" s="198"/>
      <c r="K45" s="198"/>
      <c r="L45" s="198"/>
      <c r="M45" s="198"/>
      <c r="Q45" s="156"/>
    </row>
    <row r="46" spans="1:34" x14ac:dyDescent="0.3">
      <c r="B46" s="198"/>
      <c r="C46" s="198"/>
      <c r="D46" s="198"/>
      <c r="E46" s="198"/>
      <c r="F46" s="198"/>
      <c r="G46" s="198"/>
      <c r="H46" s="198"/>
      <c r="I46" s="198"/>
      <c r="J46" s="198"/>
      <c r="K46" s="198"/>
      <c r="L46" s="198"/>
      <c r="M46" s="198"/>
      <c r="Q46" s="156"/>
      <c r="AF46" s="154" t="s">
        <v>235</v>
      </c>
      <c r="AG46" s="158">
        <f>SUM(AG35:AG44)</f>
        <v>254999.94271365716</v>
      </c>
      <c r="AH46" s="154" t="s">
        <v>236</v>
      </c>
    </row>
    <row r="47" spans="1:34" ht="16.2" thickBot="1" x14ac:dyDescent="0.35">
      <c r="B47" s="198"/>
      <c r="C47" s="198"/>
      <c r="D47" s="198"/>
      <c r="E47" s="198"/>
      <c r="F47" s="198"/>
      <c r="G47" s="198"/>
      <c r="H47" s="198"/>
      <c r="I47" s="198"/>
      <c r="J47" s="198"/>
      <c r="K47" s="198"/>
      <c r="L47" s="198"/>
      <c r="M47" s="198"/>
    </row>
    <row r="48" spans="1:34" ht="16.2" thickBot="1" x14ac:dyDescent="0.35">
      <c r="B48" s="198"/>
      <c r="C48" s="198"/>
      <c r="D48" s="198"/>
      <c r="E48" s="198"/>
      <c r="F48" s="198"/>
      <c r="G48" s="198"/>
      <c r="H48" s="198"/>
      <c r="I48" s="198"/>
      <c r="J48" s="198"/>
      <c r="K48" s="198"/>
      <c r="L48" s="198"/>
      <c r="M48" s="198"/>
      <c r="AC48" s="179" t="s">
        <v>237</v>
      </c>
      <c r="AD48" s="180"/>
      <c r="AE48" s="181"/>
    </row>
    <row r="49" spans="2:17" ht="16.2" x14ac:dyDescent="0.3">
      <c r="B49" s="65" t="s">
        <v>233</v>
      </c>
      <c r="Q49" s="156"/>
    </row>
    <row r="50" spans="2:17" x14ac:dyDescent="0.3">
      <c r="Q50" s="156"/>
    </row>
    <row r="52" spans="2:17" x14ac:dyDescent="0.3">
      <c r="Q52" s="158"/>
    </row>
    <row r="55" spans="2:17" x14ac:dyDescent="0.3">
      <c r="Q55" s="156"/>
    </row>
    <row r="56" spans="2:17" x14ac:dyDescent="0.3">
      <c r="Q56" s="156"/>
    </row>
    <row r="57" spans="2:17" x14ac:dyDescent="0.3">
      <c r="Q57" s="156"/>
    </row>
    <row r="58" spans="2:17" x14ac:dyDescent="0.3">
      <c r="Q58" s="156"/>
    </row>
    <row r="59" spans="2:17" x14ac:dyDescent="0.3">
      <c r="Q59" s="156"/>
    </row>
    <row r="60" spans="2:17" x14ac:dyDescent="0.3">
      <c r="Q60" s="156"/>
    </row>
    <row r="62" spans="2:17" x14ac:dyDescent="0.3">
      <c r="Q62" s="168"/>
    </row>
    <row r="64" spans="2:17" x14ac:dyDescent="0.3">
      <c r="P64" s="182"/>
    </row>
    <row r="67" spans="16:16" x14ac:dyDescent="0.3">
      <c r="P67" s="183"/>
    </row>
    <row r="69" spans="16:16" x14ac:dyDescent="0.3">
      <c r="P69" s="158"/>
    </row>
    <row r="70" spans="16:16" ht="15.75" customHeight="1" x14ac:dyDescent="0.3">
      <c r="P70" s="158"/>
    </row>
    <row r="71" spans="16:16" x14ac:dyDescent="0.3">
      <c r="P71" s="156"/>
    </row>
    <row r="72" spans="16:16" x14ac:dyDescent="0.3">
      <c r="P72" s="158"/>
    </row>
    <row r="73" spans="16:16" x14ac:dyDescent="0.3">
      <c r="P73" s="158"/>
    </row>
    <row r="74" spans="16:16" x14ac:dyDescent="0.3">
      <c r="P74" s="158"/>
    </row>
    <row r="78" spans="16:16" x14ac:dyDescent="0.3">
      <c r="P78" s="156"/>
    </row>
    <row r="81" spans="16:18" x14ac:dyDescent="0.3">
      <c r="P81" s="168"/>
    </row>
    <row r="82" spans="16:18" x14ac:dyDescent="0.3">
      <c r="P82" s="168"/>
    </row>
    <row r="83" spans="16:18" x14ac:dyDescent="0.3">
      <c r="P83" s="156"/>
      <c r="R83" s="161"/>
    </row>
    <row r="84" spans="16:18" x14ac:dyDescent="0.3">
      <c r="P84" s="156"/>
    </row>
    <row r="85" spans="16:18" x14ac:dyDescent="0.3">
      <c r="P85" s="156"/>
    </row>
    <row r="86" spans="16:18" x14ac:dyDescent="0.3">
      <c r="P86" s="168"/>
    </row>
    <row r="87" spans="16:18" x14ac:dyDescent="0.3">
      <c r="P87" s="156"/>
    </row>
    <row r="88" spans="16:18" x14ac:dyDescent="0.3">
      <c r="P88" s="156"/>
    </row>
    <row r="89" spans="16:18" x14ac:dyDescent="0.3">
      <c r="P89" s="156"/>
    </row>
    <row r="90" spans="16:18" x14ac:dyDescent="0.3">
      <c r="P90" s="168"/>
    </row>
    <row r="91" spans="16:18" x14ac:dyDescent="0.3">
      <c r="P91" s="156"/>
    </row>
    <row r="92" spans="16:18" x14ac:dyDescent="0.3">
      <c r="P92" s="156"/>
    </row>
    <row r="93" spans="16:18" x14ac:dyDescent="0.3">
      <c r="P93" s="168"/>
    </row>
    <row r="94" spans="16:18" x14ac:dyDescent="0.3">
      <c r="P94" s="168"/>
    </row>
    <row r="95" spans="16:18" x14ac:dyDescent="0.3">
      <c r="P95" s="168"/>
    </row>
    <row r="103" spans="18:18" x14ac:dyDescent="0.3">
      <c r="R103" s="156"/>
    </row>
    <row r="105" spans="18:18" x14ac:dyDescent="0.3">
      <c r="R105" s="156"/>
    </row>
    <row r="106" spans="18:18" x14ac:dyDescent="0.3">
      <c r="R106" s="156"/>
    </row>
    <row r="109" spans="18:18" x14ac:dyDescent="0.3">
      <c r="R109" s="160"/>
    </row>
    <row r="110" spans="18:18" x14ac:dyDescent="0.3">
      <c r="R110" s="156"/>
    </row>
    <row r="112" spans="18:18" x14ac:dyDescent="0.3">
      <c r="R112" s="161"/>
    </row>
    <row r="113" spans="16:20" x14ac:dyDescent="0.3">
      <c r="R113" s="184"/>
    </row>
    <row r="114" spans="16:20" x14ac:dyDescent="0.3">
      <c r="Q114" s="156"/>
    </row>
    <row r="115" spans="16:20" x14ac:dyDescent="0.3">
      <c r="Q115" s="156"/>
    </row>
    <row r="117" spans="16:20" x14ac:dyDescent="0.3">
      <c r="Q117" s="185"/>
      <c r="R117" s="186"/>
      <c r="T117" s="186"/>
    </row>
    <row r="118" spans="16:20" x14ac:dyDescent="0.3">
      <c r="Q118" s="161"/>
      <c r="R118" s="161"/>
      <c r="S118" s="160"/>
      <c r="T118" s="161"/>
    </row>
    <row r="119" spans="16:20" x14ac:dyDescent="0.3">
      <c r="Q119" s="161"/>
      <c r="R119" s="161"/>
      <c r="S119" s="160"/>
      <c r="T119" s="161"/>
    </row>
    <row r="120" spans="16:20" x14ac:dyDescent="0.3">
      <c r="Q120" s="161"/>
      <c r="R120" s="161"/>
      <c r="S120" s="160"/>
      <c r="T120" s="161"/>
    </row>
    <row r="121" spans="16:20" x14ac:dyDescent="0.3">
      <c r="Q121" s="187"/>
      <c r="R121" s="187"/>
      <c r="S121" s="187"/>
      <c r="T121" s="187"/>
    </row>
    <row r="126" spans="16:20" x14ac:dyDescent="0.3">
      <c r="P126" s="188"/>
    </row>
    <row r="128" spans="16:20" x14ac:dyDescent="0.3">
      <c r="P128" s="158"/>
    </row>
    <row r="129" spans="15:20" x14ac:dyDescent="0.3">
      <c r="P129" s="158"/>
    </row>
    <row r="130" spans="15:20" x14ac:dyDescent="0.3">
      <c r="P130" s="158"/>
    </row>
    <row r="131" spans="15:20" x14ac:dyDescent="0.3">
      <c r="P131" s="158"/>
    </row>
    <row r="132" spans="15:20" x14ac:dyDescent="0.3">
      <c r="Q132" s="189"/>
    </row>
    <row r="135" spans="15:20" x14ac:dyDescent="0.3">
      <c r="P135" s="160"/>
      <c r="R135" s="190"/>
      <c r="S135" s="190"/>
      <c r="T135" s="191"/>
    </row>
    <row r="136" spans="15:20" x14ac:dyDescent="0.3">
      <c r="R136" s="158"/>
      <c r="S136" s="192"/>
      <c r="T136" s="158"/>
    </row>
    <row r="137" spans="15:20" x14ac:dyDescent="0.3">
      <c r="R137" s="158"/>
      <c r="S137" s="192"/>
      <c r="T137" s="158"/>
    </row>
    <row r="138" spans="15:20" x14ac:dyDescent="0.3">
      <c r="R138" s="193"/>
      <c r="S138" s="194"/>
      <c r="T138" s="158"/>
    </row>
    <row r="139" spans="15:20" x14ac:dyDescent="0.3">
      <c r="R139" s="158"/>
      <c r="S139" s="158"/>
      <c r="T139" s="158"/>
    </row>
    <row r="143" spans="15:20" x14ac:dyDescent="0.3">
      <c r="O143" s="157"/>
    </row>
  </sheetData>
  <sheetProtection algorithmName="SHA-512" hashValue="aMgtJ5UJaFCj6ER7KaaolEUuvFegMGdZd42GNZttkLMr2dbfpiitn1YGt7DXQI1WaiF5iAoSxJ9trQQeGYytMg==" saltValue="be2ppYpHGSAdaY2MaXeB5g==" spinCount="100000" sheet="1" objects="1" scenarios="1" formatCells="0" formatColumns="0" formatRows="0" insertColumns="0" insertRows="0"/>
  <mergeCells count="22">
    <mergeCell ref="C25:D25"/>
    <mergeCell ref="A5:M8"/>
    <mergeCell ref="P7:Z9"/>
    <mergeCell ref="AC7:AK9"/>
    <mergeCell ref="B9:E14"/>
    <mergeCell ref="B18:B19"/>
    <mergeCell ref="C18:D19"/>
    <mergeCell ref="B20:B21"/>
    <mergeCell ref="C20:D21"/>
    <mergeCell ref="C22:D22"/>
    <mergeCell ref="C23:D23"/>
    <mergeCell ref="C24:D24"/>
    <mergeCell ref="C35:D35"/>
    <mergeCell ref="C36:D36"/>
    <mergeCell ref="B38:L39"/>
    <mergeCell ref="B45:M48"/>
    <mergeCell ref="C29:D29"/>
    <mergeCell ref="C30:D30"/>
    <mergeCell ref="C31:D31"/>
    <mergeCell ref="C32:D32"/>
    <mergeCell ref="C33:D33"/>
    <mergeCell ref="C34:D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62"/>
  <sheetViews>
    <sheetView topLeftCell="C1" zoomScale="77" zoomScaleNormal="70" zoomScaleSheetLayoutView="100" workbookViewId="0">
      <selection activeCell="S22" sqref="S22"/>
    </sheetView>
  </sheetViews>
  <sheetFormatPr defaultColWidth="9.21875" defaultRowHeight="15.6" x14ac:dyDescent="0.3"/>
  <cols>
    <col min="1" max="1" width="3.77734375" style="13" customWidth="1"/>
    <col min="2" max="2" width="56.5546875" style="13" customWidth="1"/>
    <col min="3" max="3" width="24.21875" style="13" customWidth="1"/>
    <col min="4" max="4" width="9.77734375" style="13" customWidth="1"/>
    <col min="5" max="5" width="5.21875" style="13" customWidth="1"/>
    <col min="6" max="6" width="10" style="13" hidden="1" customWidth="1"/>
    <col min="7" max="7" width="6.77734375" style="13" hidden="1" customWidth="1"/>
    <col min="8" max="8" width="10" style="13" hidden="1" customWidth="1"/>
    <col min="9" max="9" width="6.77734375" style="13" hidden="1" customWidth="1"/>
    <col min="10" max="10" width="10" style="13" hidden="1" customWidth="1"/>
    <col min="11" max="11" width="6.77734375" style="13" hidden="1" customWidth="1"/>
    <col min="12" max="12" width="10" style="13" hidden="1" customWidth="1"/>
    <col min="13" max="13" width="2.77734375" style="13" customWidth="1"/>
    <col min="14" max="14" width="1" style="14" customWidth="1"/>
    <col min="15" max="15" width="4" style="1" customWidth="1"/>
    <col min="16" max="16" width="59.5546875" style="1" customWidth="1"/>
    <col min="17" max="17" width="18.5546875" style="1" customWidth="1"/>
    <col min="18" max="18" width="34.44140625" style="1" customWidth="1"/>
    <col min="19" max="21" width="18.77734375" style="1" customWidth="1"/>
    <col min="22" max="22" width="15.21875" style="1" customWidth="1"/>
    <col min="23" max="23" width="14" style="1" customWidth="1"/>
    <col min="24" max="24" width="21.21875" style="1" customWidth="1"/>
    <col min="25" max="25" width="10.21875" style="1" customWidth="1"/>
    <col min="26" max="26" width="33" style="1" customWidth="1"/>
    <col min="27" max="27" width="1" style="4" customWidth="1"/>
    <col min="28" max="28" width="17.21875" style="1" customWidth="1"/>
    <col min="29" max="16384" width="9.21875" style="1"/>
  </cols>
  <sheetData>
    <row r="1" spans="1:26" x14ac:dyDescent="0.3">
      <c r="A1" s="12" t="s">
        <v>97</v>
      </c>
      <c r="O1" s="12" t="s">
        <v>97</v>
      </c>
      <c r="P1" s="13"/>
      <c r="Q1" s="13"/>
      <c r="R1" s="13"/>
      <c r="S1" s="13"/>
      <c r="T1" s="13"/>
      <c r="U1" s="13"/>
      <c r="V1" s="13"/>
      <c r="W1" s="13"/>
      <c r="X1" s="13"/>
      <c r="Y1" s="13"/>
      <c r="Z1" s="13"/>
    </row>
    <row r="2" spans="1:26" x14ac:dyDescent="0.3">
      <c r="A2" s="12" t="s">
        <v>2</v>
      </c>
      <c r="O2" s="12" t="s">
        <v>2</v>
      </c>
      <c r="P2" s="13"/>
      <c r="Q2" s="13"/>
      <c r="R2" s="13"/>
      <c r="S2" s="13"/>
      <c r="T2" s="13"/>
      <c r="U2" s="13"/>
      <c r="V2" s="13"/>
      <c r="W2" s="13"/>
      <c r="X2" s="13"/>
      <c r="Y2" s="13"/>
      <c r="Z2" s="13"/>
    </row>
    <row r="3" spans="1:26" x14ac:dyDescent="0.3">
      <c r="A3" s="12" t="s">
        <v>98</v>
      </c>
      <c r="O3" s="12" t="s">
        <v>98</v>
      </c>
      <c r="P3" s="13"/>
      <c r="Q3" s="13"/>
      <c r="R3" s="13"/>
      <c r="S3" s="13"/>
      <c r="T3" s="13"/>
      <c r="U3" s="13"/>
      <c r="V3" s="13"/>
      <c r="W3" s="13"/>
      <c r="X3" s="13"/>
      <c r="Y3" s="13"/>
      <c r="Z3" s="13"/>
    </row>
    <row r="4" spans="1:26" x14ac:dyDescent="0.3">
      <c r="O4" s="13"/>
      <c r="P4" s="13"/>
      <c r="Q4" s="13"/>
      <c r="R4" s="13"/>
      <c r="S4" s="13"/>
      <c r="T4" s="13"/>
      <c r="U4" s="13"/>
      <c r="V4" s="13"/>
      <c r="W4" s="13"/>
      <c r="X4" s="13"/>
      <c r="Y4" s="13"/>
      <c r="Z4" s="13"/>
    </row>
    <row r="5" spans="1:26" ht="16.2" x14ac:dyDescent="0.35">
      <c r="A5" s="206" t="s">
        <v>99</v>
      </c>
      <c r="B5" s="206"/>
      <c r="C5" s="206"/>
      <c r="D5" s="206"/>
      <c r="E5" s="206"/>
      <c r="F5" s="206"/>
      <c r="G5" s="206"/>
      <c r="H5" s="206"/>
      <c r="I5" s="206"/>
      <c r="J5" s="206"/>
      <c r="K5" s="206"/>
      <c r="L5" s="206"/>
      <c r="M5" s="206"/>
      <c r="O5" s="58" t="s">
        <v>100</v>
      </c>
      <c r="P5" s="13"/>
      <c r="Q5" s="13"/>
      <c r="R5" s="13"/>
      <c r="S5" s="13"/>
      <c r="T5" s="13"/>
      <c r="U5" s="13"/>
      <c r="V5" s="13"/>
      <c r="W5" s="13"/>
      <c r="X5" s="13"/>
      <c r="Y5" s="13"/>
      <c r="Z5" s="13"/>
    </row>
    <row r="6" spans="1:26" x14ac:dyDescent="0.3">
      <c r="A6" s="206"/>
      <c r="B6" s="206"/>
      <c r="C6" s="206"/>
      <c r="D6" s="206"/>
      <c r="E6" s="206"/>
      <c r="F6" s="206"/>
      <c r="G6" s="206"/>
      <c r="H6" s="206"/>
      <c r="I6" s="206"/>
      <c r="J6" s="206"/>
      <c r="K6" s="206"/>
      <c r="L6" s="206"/>
      <c r="M6" s="206"/>
      <c r="O6" s="13"/>
      <c r="P6" s="13"/>
      <c r="Q6" s="13"/>
      <c r="R6" s="13"/>
      <c r="S6" s="13"/>
      <c r="T6" s="13"/>
      <c r="U6" s="13"/>
      <c r="V6" s="13"/>
      <c r="W6" s="13"/>
      <c r="X6" s="13"/>
      <c r="Y6" s="13"/>
      <c r="Z6" s="13"/>
    </row>
    <row r="7" spans="1:26" ht="15.75" customHeight="1" x14ac:dyDescent="0.3">
      <c r="A7" s="206"/>
      <c r="B7" s="206"/>
      <c r="C7" s="206"/>
      <c r="D7" s="206"/>
      <c r="E7" s="206"/>
      <c r="F7" s="206"/>
      <c r="G7" s="206"/>
      <c r="H7" s="206"/>
      <c r="I7" s="206"/>
      <c r="J7" s="206"/>
      <c r="K7" s="206"/>
      <c r="L7" s="206"/>
      <c r="M7" s="206"/>
      <c r="O7" s="13"/>
      <c r="P7" s="197" t="s">
        <v>101</v>
      </c>
      <c r="Q7" s="197"/>
      <c r="R7" s="197"/>
      <c r="S7" s="197"/>
      <c r="T7" s="197"/>
      <c r="U7" s="197"/>
      <c r="V7" s="197"/>
      <c r="W7" s="197"/>
      <c r="X7" s="197"/>
      <c r="Y7" s="197"/>
      <c r="Z7" s="197"/>
    </row>
    <row r="8" spans="1:26" x14ac:dyDescent="0.3">
      <c r="A8" s="206"/>
      <c r="B8" s="206"/>
      <c r="C8" s="206"/>
      <c r="D8" s="206"/>
      <c r="E8" s="206"/>
      <c r="F8" s="206"/>
      <c r="G8" s="206"/>
      <c r="H8" s="206"/>
      <c r="I8" s="206"/>
      <c r="J8" s="206"/>
      <c r="K8" s="206"/>
      <c r="L8" s="206"/>
      <c r="M8" s="206"/>
      <c r="O8" s="13"/>
      <c r="P8" s="197"/>
      <c r="Q8" s="197"/>
      <c r="R8" s="197"/>
      <c r="S8" s="197"/>
      <c r="T8" s="197"/>
      <c r="U8" s="197"/>
      <c r="V8" s="197"/>
      <c r="W8" s="197"/>
      <c r="X8" s="197"/>
      <c r="Y8" s="197"/>
      <c r="Z8" s="197"/>
    </row>
    <row r="9" spans="1:26" x14ac:dyDescent="0.3">
      <c r="A9" s="206"/>
      <c r="B9" s="206"/>
      <c r="C9" s="206"/>
      <c r="D9" s="206"/>
      <c r="E9" s="206"/>
      <c r="F9" s="206"/>
      <c r="G9" s="206"/>
      <c r="H9" s="206"/>
      <c r="I9" s="206"/>
      <c r="J9" s="206"/>
      <c r="K9" s="206"/>
      <c r="L9" s="206"/>
      <c r="M9" s="206"/>
      <c r="O9" s="13"/>
      <c r="P9" s="197"/>
      <c r="Q9" s="197"/>
      <c r="R9" s="197"/>
      <c r="S9" s="197"/>
      <c r="T9" s="197"/>
      <c r="U9" s="197"/>
      <c r="V9" s="197"/>
      <c r="W9" s="197"/>
      <c r="X9" s="197"/>
      <c r="Y9" s="197"/>
      <c r="Z9" s="197"/>
    </row>
    <row r="10" spans="1:26" x14ac:dyDescent="0.3">
      <c r="A10" s="206"/>
      <c r="B10" s="206"/>
      <c r="C10" s="206"/>
      <c r="D10" s="206"/>
      <c r="E10" s="206"/>
      <c r="F10" s="206"/>
      <c r="G10" s="206"/>
      <c r="H10" s="206"/>
      <c r="I10" s="206"/>
      <c r="J10" s="206"/>
      <c r="K10" s="206"/>
      <c r="L10" s="206"/>
      <c r="M10" s="206"/>
      <c r="O10" s="13"/>
      <c r="P10" s="197"/>
      <c r="Q10" s="197"/>
      <c r="R10" s="197"/>
      <c r="S10" s="197"/>
      <c r="T10" s="197"/>
      <c r="U10" s="197"/>
      <c r="V10" s="197"/>
      <c r="W10" s="197"/>
      <c r="X10" s="197"/>
      <c r="Y10" s="197"/>
      <c r="Z10" s="197"/>
    </row>
    <row r="11" spans="1:26" ht="15.6" customHeight="1" x14ac:dyDescent="0.3">
      <c r="O11" s="13"/>
      <c r="P11" s="197"/>
      <c r="Q11" s="197"/>
      <c r="R11" s="197"/>
      <c r="S11" s="197"/>
      <c r="T11" s="197"/>
      <c r="U11" s="197"/>
      <c r="V11" s="197"/>
      <c r="W11" s="197"/>
      <c r="X11" s="197"/>
      <c r="Y11" s="197"/>
      <c r="Z11" s="197"/>
    </row>
    <row r="12" spans="1:26" ht="16.5" customHeight="1" x14ac:dyDescent="0.3">
      <c r="B12" s="16" t="s">
        <v>102</v>
      </c>
      <c r="C12" s="59">
        <v>19000</v>
      </c>
      <c r="O12" s="13"/>
      <c r="P12" s="197"/>
      <c r="Q12" s="197"/>
      <c r="R12" s="197"/>
      <c r="S12" s="197"/>
      <c r="T12" s="197"/>
      <c r="U12" s="197"/>
      <c r="V12" s="197"/>
      <c r="W12" s="197"/>
      <c r="X12" s="197"/>
      <c r="Y12" s="197"/>
      <c r="Z12" s="197"/>
    </row>
    <row r="13" spans="1:26" ht="16.5" customHeight="1" x14ac:dyDescent="0.3">
      <c r="B13" s="16" t="s">
        <v>103</v>
      </c>
      <c r="C13" s="59">
        <v>21000</v>
      </c>
      <c r="O13" s="13"/>
      <c r="P13" s="197"/>
      <c r="Q13" s="197"/>
      <c r="R13" s="197"/>
      <c r="S13" s="197"/>
      <c r="T13" s="197"/>
      <c r="U13" s="197"/>
      <c r="V13" s="197"/>
      <c r="W13" s="197"/>
      <c r="X13" s="197"/>
      <c r="Y13" s="197"/>
      <c r="Z13" s="197"/>
    </row>
    <row r="14" spans="1:26" ht="15.6" customHeight="1" x14ac:dyDescent="0.3">
      <c r="B14" s="16" t="s">
        <v>104</v>
      </c>
      <c r="C14" s="59">
        <v>21500</v>
      </c>
      <c r="O14" s="13"/>
      <c r="P14" s="60"/>
      <c r="Q14" s="60"/>
      <c r="R14" s="60"/>
      <c r="S14" s="60"/>
      <c r="T14" s="60"/>
      <c r="U14" s="60"/>
      <c r="V14" s="60"/>
      <c r="W14" s="60"/>
      <c r="X14" s="60"/>
      <c r="Y14" s="60"/>
      <c r="Z14" s="60"/>
    </row>
    <row r="15" spans="1:26" ht="15.6" customHeight="1" x14ac:dyDescent="0.3">
      <c r="B15" s="16" t="s">
        <v>105</v>
      </c>
      <c r="C15" s="59">
        <v>35849</v>
      </c>
      <c r="O15" s="13"/>
      <c r="P15" s="197" t="s">
        <v>0</v>
      </c>
      <c r="Q15" s="197"/>
      <c r="R15" s="60"/>
      <c r="S15" s="60"/>
      <c r="T15" s="60"/>
      <c r="U15" s="60"/>
      <c r="V15" s="60"/>
      <c r="W15" s="60"/>
      <c r="X15" s="60"/>
      <c r="Y15" s="60"/>
      <c r="Z15" s="60"/>
    </row>
    <row r="16" spans="1:26" ht="15.6" customHeight="1" x14ac:dyDescent="0.3">
      <c r="B16" s="16" t="s">
        <v>3</v>
      </c>
      <c r="C16" s="17" t="s">
        <v>4</v>
      </c>
      <c r="O16" s="2"/>
      <c r="P16" s="5"/>
      <c r="Q16" s="2"/>
      <c r="R16" s="2"/>
      <c r="S16" s="2"/>
      <c r="T16" s="2"/>
      <c r="U16" s="6"/>
      <c r="V16" s="3"/>
      <c r="W16" s="3"/>
      <c r="X16" s="3"/>
      <c r="Y16" s="3"/>
      <c r="Z16" s="3"/>
    </row>
    <row r="17" spans="1:29" ht="15.6" customHeight="1" x14ac:dyDescent="0.3">
      <c r="B17" s="16" t="s">
        <v>5</v>
      </c>
      <c r="C17" s="59">
        <v>0</v>
      </c>
    </row>
    <row r="18" spans="1:29" ht="15.6" customHeight="1" x14ac:dyDescent="0.3">
      <c r="B18" s="214" t="s">
        <v>78</v>
      </c>
      <c r="C18" s="214"/>
      <c r="S18" s="75" t="s">
        <v>117</v>
      </c>
    </row>
    <row r="19" spans="1:29" ht="15.6" customHeight="1" x14ac:dyDescent="0.3">
      <c r="B19" s="16" t="s">
        <v>106</v>
      </c>
      <c r="C19" s="61">
        <v>0.04</v>
      </c>
      <c r="P19" s="15" t="s">
        <v>6</v>
      </c>
    </row>
    <row r="20" spans="1:29" ht="15.6" customHeight="1" x14ac:dyDescent="0.3">
      <c r="B20" s="16" t="s">
        <v>107</v>
      </c>
      <c r="C20" s="59">
        <v>700000</v>
      </c>
    </row>
    <row r="21" spans="1:29" ht="47.25" customHeight="1" x14ac:dyDescent="0.3">
      <c r="B21" s="16" t="s">
        <v>108</v>
      </c>
      <c r="C21" s="59">
        <v>1200000</v>
      </c>
      <c r="P21" s="18" t="s">
        <v>8</v>
      </c>
      <c r="Q21" s="19">
        <v>3.7499999999999999E-2</v>
      </c>
      <c r="R21" s="18"/>
      <c r="AC21" s="69"/>
    </row>
    <row r="22" spans="1:29" ht="30.75" customHeight="1" x14ac:dyDescent="0.3">
      <c r="B22" s="16" t="s">
        <v>109</v>
      </c>
      <c r="C22" s="59">
        <v>1210000</v>
      </c>
      <c r="P22" s="18" t="s">
        <v>9</v>
      </c>
      <c r="Q22" s="19">
        <v>6.25E-2</v>
      </c>
      <c r="R22" s="18"/>
    </row>
    <row r="23" spans="1:29" x14ac:dyDescent="0.3">
      <c r="B23" s="16" t="s">
        <v>110</v>
      </c>
      <c r="C23" s="59">
        <v>51580</v>
      </c>
      <c r="P23" s="18"/>
      <c r="Q23" s="19"/>
      <c r="R23" s="18"/>
    </row>
    <row r="24" spans="1:29" ht="31.2" x14ac:dyDescent="0.3">
      <c r="B24" s="16" t="s">
        <v>111</v>
      </c>
      <c r="C24" s="62">
        <v>12</v>
      </c>
      <c r="P24" s="20"/>
      <c r="Q24" s="18"/>
      <c r="R24" s="18"/>
      <c r="S24" s="11"/>
      <c r="T24" s="11"/>
    </row>
    <row r="25" spans="1:29" x14ac:dyDescent="0.3">
      <c r="B25" s="63"/>
      <c r="C25" s="64"/>
      <c r="D25" s="64"/>
      <c r="P25" s="21" t="s">
        <v>10</v>
      </c>
      <c r="Q25" s="22">
        <v>1164740</v>
      </c>
      <c r="R25" s="18"/>
      <c r="S25" s="11"/>
      <c r="T25" s="8"/>
    </row>
    <row r="26" spans="1:29" x14ac:dyDescent="0.3">
      <c r="A26" s="13" t="s">
        <v>112</v>
      </c>
      <c r="B26" s="63"/>
      <c r="C26" s="64"/>
      <c r="D26" s="64"/>
      <c r="P26" s="21" t="s">
        <v>11</v>
      </c>
      <c r="Q26" s="22">
        <v>696839</v>
      </c>
      <c r="R26" s="18"/>
      <c r="S26" s="11"/>
      <c r="T26" s="8"/>
    </row>
    <row r="27" spans="1:29" x14ac:dyDescent="0.3">
      <c r="B27" s="63"/>
      <c r="C27" s="64"/>
      <c r="D27" s="64"/>
      <c r="P27" s="21" t="s">
        <v>76</v>
      </c>
      <c r="Q27" s="22">
        <v>39900</v>
      </c>
      <c r="R27" s="18"/>
      <c r="S27" s="11"/>
      <c r="T27" s="8"/>
    </row>
    <row r="28" spans="1:29" x14ac:dyDescent="0.3">
      <c r="A28" s="72"/>
      <c r="B28" s="72"/>
      <c r="C28" s="72"/>
      <c r="D28" s="72"/>
      <c r="E28" s="72"/>
      <c r="F28" s="72"/>
      <c r="G28" s="72"/>
      <c r="H28" s="72"/>
      <c r="I28" s="72"/>
      <c r="J28" s="72"/>
      <c r="K28" s="72"/>
      <c r="P28" s="21" t="s">
        <v>12</v>
      </c>
      <c r="Q28" s="22">
        <v>35849</v>
      </c>
      <c r="R28" s="18"/>
      <c r="S28" s="11"/>
      <c r="T28" s="8"/>
    </row>
    <row r="29" spans="1:29" ht="17.399999999999999" x14ac:dyDescent="0.45">
      <c r="A29" s="72"/>
      <c r="B29" s="72"/>
      <c r="C29" s="72"/>
      <c r="D29" s="72"/>
      <c r="E29" s="72"/>
      <c r="F29" s="72"/>
      <c r="G29" s="72"/>
      <c r="H29" s="72"/>
      <c r="I29" s="72"/>
      <c r="J29" s="72"/>
      <c r="K29" s="72"/>
      <c r="P29" s="23"/>
      <c r="Q29" s="18"/>
      <c r="R29" s="18"/>
      <c r="S29" s="11"/>
      <c r="T29" s="9"/>
    </row>
    <row r="30" spans="1:29" x14ac:dyDescent="0.3">
      <c r="A30" s="72"/>
      <c r="B30" s="72"/>
      <c r="C30" s="72"/>
      <c r="D30" s="72"/>
      <c r="E30" s="72"/>
      <c r="F30" s="72"/>
      <c r="G30" s="72"/>
      <c r="H30" s="72"/>
      <c r="I30" s="72"/>
      <c r="J30" s="72"/>
      <c r="K30" s="72"/>
      <c r="P30" s="23"/>
      <c r="Q30" s="31" t="s">
        <v>13</v>
      </c>
      <c r="R30" s="31" t="s">
        <v>43</v>
      </c>
      <c r="T30" s="10"/>
    </row>
    <row r="31" spans="1:29" x14ac:dyDescent="0.3">
      <c r="A31" s="72"/>
      <c r="B31" s="72"/>
      <c r="C31" s="72"/>
      <c r="D31" s="72"/>
      <c r="E31" s="72"/>
      <c r="F31" s="72"/>
      <c r="G31" s="72"/>
      <c r="H31" s="72"/>
      <c r="I31" s="72"/>
      <c r="J31" s="72"/>
      <c r="K31" s="72"/>
      <c r="P31" s="18"/>
      <c r="Q31" s="30"/>
      <c r="R31" s="71" t="s">
        <v>14</v>
      </c>
      <c r="AC31" s="18"/>
    </row>
    <row r="32" spans="1:29" x14ac:dyDescent="0.3">
      <c r="A32" s="72"/>
      <c r="B32" s="72"/>
      <c r="C32" s="72"/>
      <c r="D32" s="72"/>
      <c r="E32" s="72"/>
      <c r="F32" s="72"/>
      <c r="G32" s="72"/>
      <c r="H32" s="72"/>
      <c r="I32" s="72"/>
      <c r="J32" s="72"/>
      <c r="K32" s="72"/>
      <c r="P32" s="18" t="s">
        <v>15</v>
      </c>
      <c r="Q32" s="24">
        <v>59347</v>
      </c>
      <c r="R32" s="24">
        <f t="shared" ref="R32:R37" si="0">+Q32/2</f>
        <v>29673.5</v>
      </c>
      <c r="AC32" s="18"/>
    </row>
    <row r="33" spans="1:20" x14ac:dyDescent="0.3">
      <c r="A33" s="72"/>
      <c r="B33" s="72"/>
      <c r="C33" s="72"/>
      <c r="D33" s="72"/>
      <c r="E33" s="72"/>
      <c r="F33" s="72"/>
      <c r="G33" s="72"/>
      <c r="H33" s="72"/>
      <c r="I33" s="72"/>
      <c r="J33" s="72"/>
      <c r="K33" s="72"/>
      <c r="P33" s="18" t="s">
        <v>1</v>
      </c>
      <c r="Q33" s="24">
        <f>+Q21*Q32+Q25*Q21-Q21*0.5*Q27</f>
        <v>45155.137499999997</v>
      </c>
      <c r="R33" s="24">
        <f t="shared" si="0"/>
        <v>22577.568749999999</v>
      </c>
      <c r="T33" s="10"/>
    </row>
    <row r="34" spans="1:20" x14ac:dyDescent="0.3">
      <c r="A34" s="72"/>
      <c r="B34" s="72"/>
      <c r="C34" s="72"/>
      <c r="D34" s="72"/>
      <c r="E34" s="72"/>
      <c r="F34" s="72"/>
      <c r="G34" s="72"/>
      <c r="H34" s="72"/>
      <c r="I34" s="72"/>
      <c r="J34" s="72"/>
      <c r="K34" s="72"/>
      <c r="P34" s="18" t="s">
        <v>9</v>
      </c>
      <c r="Q34" s="24">
        <f>-(Q22*Q26-Q22*Q27/2+Q28*Q22*0.5)</f>
        <v>-43425.84375</v>
      </c>
      <c r="R34" s="24">
        <f t="shared" si="0"/>
        <v>-21712.921875</v>
      </c>
    </row>
    <row r="35" spans="1:20" ht="16.2" x14ac:dyDescent="0.3">
      <c r="B35" s="65"/>
      <c r="C35" s="60"/>
      <c r="D35" s="60"/>
      <c r="E35" s="60"/>
      <c r="F35" s="60"/>
      <c r="G35" s="60"/>
      <c r="H35" s="60"/>
      <c r="I35" s="60"/>
      <c r="J35" s="60"/>
      <c r="K35" s="60"/>
      <c r="P35" s="18" t="s">
        <v>16</v>
      </c>
      <c r="Q35" s="24">
        <v>0</v>
      </c>
      <c r="R35" s="24">
        <f t="shared" si="0"/>
        <v>0</v>
      </c>
    </row>
    <row r="36" spans="1:20" x14ac:dyDescent="0.3">
      <c r="B36" s="66"/>
      <c r="P36" s="18" t="s">
        <v>17</v>
      </c>
      <c r="Q36" s="24">
        <v>0</v>
      </c>
      <c r="R36" s="24">
        <f t="shared" si="0"/>
        <v>0</v>
      </c>
    </row>
    <row r="37" spans="1:20" ht="16.2" x14ac:dyDescent="0.3">
      <c r="B37" s="65"/>
      <c r="P37" s="18" t="s">
        <v>18</v>
      </c>
      <c r="Q37" s="24">
        <v>0</v>
      </c>
      <c r="R37" s="24">
        <f t="shared" si="0"/>
        <v>0</v>
      </c>
    </row>
    <row r="38" spans="1:20" x14ac:dyDescent="0.3">
      <c r="P38" s="18" t="s">
        <v>19</v>
      </c>
      <c r="Q38" s="24">
        <f>+SUM(Q32:Q37)</f>
        <v>61076.293749999997</v>
      </c>
      <c r="R38" s="24">
        <f>+SUM(R32:R37)</f>
        <v>30538.146874999999</v>
      </c>
    </row>
    <row r="40" spans="1:20" x14ac:dyDescent="0.3">
      <c r="P40" s="18"/>
      <c r="Q40" s="24"/>
      <c r="R40" s="23"/>
    </row>
    <row r="41" spans="1:20" x14ac:dyDescent="0.3">
      <c r="P41" s="18" t="s">
        <v>20</v>
      </c>
      <c r="Q41" s="23">
        <f>+Q25+R32+R33-Q50</f>
        <v>1197991.0687500001</v>
      </c>
      <c r="R41" s="23"/>
      <c r="S41" s="11"/>
      <c r="T41" s="11"/>
    </row>
    <row r="42" spans="1:20" x14ac:dyDescent="0.3">
      <c r="P42" s="18"/>
      <c r="Q42" s="23"/>
      <c r="R42" s="23"/>
      <c r="S42" s="7"/>
      <c r="T42" s="8"/>
    </row>
    <row r="43" spans="1:20" x14ac:dyDescent="0.3">
      <c r="P43" s="25" t="s">
        <v>21</v>
      </c>
      <c r="Q43" s="18"/>
      <c r="R43" s="18"/>
      <c r="S43" s="7"/>
      <c r="T43" s="8"/>
    </row>
    <row r="44" spans="1:20" x14ac:dyDescent="0.3">
      <c r="P44" s="18" t="s">
        <v>22</v>
      </c>
      <c r="Q44" s="18">
        <v>12.9</v>
      </c>
      <c r="R44" s="18"/>
      <c r="S44" s="32"/>
      <c r="T44" s="8"/>
    </row>
    <row r="45" spans="1:20" x14ac:dyDescent="0.3">
      <c r="P45" s="18" t="s">
        <v>23</v>
      </c>
      <c r="Q45" s="18">
        <f>(C19-Q21)*100</f>
        <v>0.25000000000000022</v>
      </c>
      <c r="R45" s="18"/>
      <c r="S45" s="18"/>
      <c r="T45" s="8"/>
    </row>
    <row r="46" spans="1:20" ht="17.399999999999999" x14ac:dyDescent="0.45">
      <c r="P46" s="18" t="s">
        <v>24</v>
      </c>
      <c r="Q46" s="18">
        <f>+(1+Q44/100)^-Q45</f>
        <v>0.9701223598238814</v>
      </c>
      <c r="R46" s="18"/>
      <c r="S46" s="41"/>
      <c r="T46" s="9"/>
    </row>
    <row r="47" spans="1:20" x14ac:dyDescent="0.3">
      <c r="P47" s="18" t="s">
        <v>25</v>
      </c>
      <c r="Q47" s="24">
        <f>+Q46*Q41</f>
        <v>1162197.9226636838</v>
      </c>
      <c r="R47" s="24"/>
      <c r="S47" s="24"/>
      <c r="T47" s="10"/>
    </row>
    <row r="48" spans="1:20" x14ac:dyDescent="0.3">
      <c r="P48" s="18" t="s">
        <v>77</v>
      </c>
      <c r="Q48" s="24">
        <f>+Q47-Q41</f>
        <v>-35793.146086316323</v>
      </c>
      <c r="R48" s="24"/>
      <c r="S48" s="24"/>
    </row>
    <row r="49" spans="16:20" x14ac:dyDescent="0.3">
      <c r="P49" s="18"/>
      <c r="Q49" s="24"/>
      <c r="S49" s="24"/>
      <c r="T49" s="10"/>
    </row>
    <row r="50" spans="16:20" x14ac:dyDescent="0.3">
      <c r="P50" s="18" t="s">
        <v>46</v>
      </c>
      <c r="Q50" s="24">
        <f>+C12</f>
        <v>19000</v>
      </c>
      <c r="R50" s="42"/>
      <c r="S50" s="32"/>
    </row>
    <row r="51" spans="16:20" x14ac:dyDescent="0.3">
      <c r="P51" s="18" t="s">
        <v>47</v>
      </c>
      <c r="Q51" s="24">
        <f>0.5*C15</f>
        <v>17924.5</v>
      </c>
      <c r="R51" s="42"/>
      <c r="S51" s="32"/>
    </row>
    <row r="52" spans="16:20" x14ac:dyDescent="0.3">
      <c r="P52" s="18"/>
      <c r="Q52" s="24"/>
      <c r="S52" s="24"/>
    </row>
    <row r="53" spans="16:20" x14ac:dyDescent="0.3">
      <c r="P53" s="18" t="s">
        <v>26</v>
      </c>
      <c r="Q53" s="24">
        <f>+Q26-R34+Q51-Q50</f>
        <v>717476.421875</v>
      </c>
      <c r="R53" s="24"/>
      <c r="S53" s="24"/>
    </row>
    <row r="54" spans="16:20" x14ac:dyDescent="0.3">
      <c r="P54" s="18" t="s">
        <v>27</v>
      </c>
      <c r="Q54" s="24">
        <f>+C20</f>
        <v>700000</v>
      </c>
      <c r="R54" s="42"/>
      <c r="S54" s="32"/>
    </row>
    <row r="55" spans="16:20" x14ac:dyDescent="0.3">
      <c r="P55" s="18" t="s">
        <v>28</v>
      </c>
      <c r="Q55" s="24">
        <f>+Q53-Q54</f>
        <v>17476.421875</v>
      </c>
      <c r="R55" s="24"/>
      <c r="S55" s="24"/>
    </row>
    <row r="56" spans="16:20" x14ac:dyDescent="0.3">
      <c r="P56" s="18"/>
      <c r="Q56" s="24"/>
      <c r="S56" s="24"/>
    </row>
    <row r="57" spans="16:20" x14ac:dyDescent="0.3">
      <c r="P57" s="18" t="s">
        <v>29</v>
      </c>
      <c r="Q57" s="24">
        <v>105508</v>
      </c>
      <c r="R57" s="24"/>
      <c r="S57" s="32"/>
    </row>
    <row r="58" spans="16:20" x14ac:dyDescent="0.3">
      <c r="P58" s="18" t="s">
        <v>30</v>
      </c>
      <c r="Q58" s="24">
        <f>+Q57-R36+Q48+Q55</f>
        <v>87191.275788683677</v>
      </c>
      <c r="R58" s="24"/>
      <c r="S58" s="24"/>
    </row>
    <row r="59" spans="16:20" x14ac:dyDescent="0.3">
      <c r="P59" s="18"/>
      <c r="Q59" s="24"/>
      <c r="S59" s="24"/>
    </row>
    <row r="60" spans="16:20" x14ac:dyDescent="0.3">
      <c r="P60" s="18"/>
      <c r="Q60" s="24"/>
      <c r="S60" s="24"/>
    </row>
    <row r="61" spans="16:20" x14ac:dyDescent="0.3">
      <c r="P61" s="18" t="s">
        <v>31</v>
      </c>
      <c r="Q61" s="24">
        <f>+C21</f>
        <v>1200000</v>
      </c>
      <c r="R61" s="42"/>
      <c r="S61" s="32"/>
    </row>
    <row r="62" spans="16:20" x14ac:dyDescent="0.3">
      <c r="P62" s="18" t="s">
        <v>80</v>
      </c>
      <c r="Q62" s="24">
        <f>+Q61-Q47</f>
        <v>37802.07733631623</v>
      </c>
      <c r="R62" s="73" t="s">
        <v>116</v>
      </c>
    </row>
    <row r="63" spans="16:20" x14ac:dyDescent="0.3">
      <c r="P63" s="18" t="s">
        <v>81</v>
      </c>
      <c r="Q63" s="24">
        <f>+Q58</f>
        <v>87191.275788683677</v>
      </c>
      <c r="R63" s="73" t="s">
        <v>118</v>
      </c>
    </row>
    <row r="64" spans="16:20" x14ac:dyDescent="0.3">
      <c r="P64" s="18"/>
      <c r="Q64" s="18"/>
    </row>
    <row r="65" spans="16:26" x14ac:dyDescent="0.3">
      <c r="P65" s="18" t="s">
        <v>32</v>
      </c>
      <c r="Q65" s="24">
        <f>+C22</f>
        <v>1210000</v>
      </c>
    </row>
    <row r="66" spans="16:26" x14ac:dyDescent="0.3">
      <c r="P66" s="18" t="s">
        <v>33</v>
      </c>
      <c r="Q66" s="24">
        <f>+Q65-Q61</f>
        <v>10000</v>
      </c>
    </row>
    <row r="67" spans="16:26" x14ac:dyDescent="0.3">
      <c r="P67" s="18"/>
      <c r="Q67" s="24"/>
    </row>
    <row r="68" spans="16:26" x14ac:dyDescent="0.3">
      <c r="P68" s="18" t="s">
        <v>114</v>
      </c>
      <c r="Q68" s="19">
        <f>+C19</f>
        <v>0.04</v>
      </c>
    </row>
    <row r="69" spans="16:26" x14ac:dyDescent="0.3">
      <c r="P69" s="18" t="s">
        <v>48</v>
      </c>
      <c r="Q69" s="67">
        <f>+C13</f>
        <v>21000</v>
      </c>
    </row>
    <row r="70" spans="16:26" x14ac:dyDescent="0.3">
      <c r="P70" s="18" t="s">
        <v>49</v>
      </c>
      <c r="Q70" s="22">
        <f>+C15*0.5</f>
        <v>17924.5</v>
      </c>
    </row>
    <row r="71" spans="16:26" x14ac:dyDescent="0.3">
      <c r="P71" s="18"/>
      <c r="Q71" s="18"/>
    </row>
    <row r="72" spans="16:26" x14ac:dyDescent="0.3">
      <c r="P72" s="68" t="s">
        <v>113</v>
      </c>
    </row>
    <row r="73" spans="16:26" x14ac:dyDescent="0.3">
      <c r="P73" s="47" t="s">
        <v>93</v>
      </c>
      <c r="Q73" s="52"/>
    </row>
    <row r="74" spans="16:26" x14ac:dyDescent="0.3">
      <c r="P74" s="48" t="s">
        <v>94</v>
      </c>
      <c r="Q74" s="49">
        <f>+Q68*Q65/2</f>
        <v>24200</v>
      </c>
    </row>
    <row r="75" spans="16:26" x14ac:dyDescent="0.3">
      <c r="P75" s="48"/>
      <c r="Q75" s="49"/>
      <c r="Z75" s="8"/>
    </row>
    <row r="76" spans="16:26" x14ac:dyDescent="0.3">
      <c r="P76" s="48" t="s">
        <v>88</v>
      </c>
      <c r="Q76" s="49">
        <f>+C23</f>
        <v>51580</v>
      </c>
      <c r="Z76" s="8"/>
    </row>
    <row r="77" spans="16:26" x14ac:dyDescent="0.3">
      <c r="P77" s="48" t="s">
        <v>91</v>
      </c>
      <c r="Q77" s="49">
        <f>+Q76*Q68</f>
        <v>2063.1999999999998</v>
      </c>
      <c r="Z77" s="8"/>
    </row>
    <row r="78" spans="16:26" x14ac:dyDescent="0.3">
      <c r="P78" s="48" t="s">
        <v>89</v>
      </c>
      <c r="Q78" s="49">
        <f>0.5*Q77</f>
        <v>1031.5999999999999</v>
      </c>
      <c r="Z78" s="8"/>
    </row>
    <row r="79" spans="16:26" x14ac:dyDescent="0.3">
      <c r="P79" s="48"/>
      <c r="Q79" s="49"/>
      <c r="Z79" s="8"/>
    </row>
    <row r="80" spans="16:26" x14ac:dyDescent="0.3">
      <c r="P80" s="48" t="s">
        <v>90</v>
      </c>
      <c r="Q80" s="49">
        <f>+Q69</f>
        <v>21000</v>
      </c>
      <c r="Z80" s="8"/>
    </row>
    <row r="81" spans="16:34" x14ac:dyDescent="0.3">
      <c r="P81" s="48" t="s">
        <v>95</v>
      </c>
      <c r="Q81" s="49">
        <f>+Q68*Q80*0.5*0.5</f>
        <v>210</v>
      </c>
      <c r="Z81" s="8"/>
    </row>
    <row r="82" spans="16:34" x14ac:dyDescent="0.3">
      <c r="P82" s="48"/>
      <c r="Q82" s="49"/>
      <c r="W82" s="44"/>
      <c r="X82" s="44"/>
      <c r="Z82" s="8"/>
      <c r="AE82" s="70"/>
      <c r="AG82" s="44"/>
      <c r="AH82" s="44"/>
    </row>
    <row r="83" spans="16:34" x14ac:dyDescent="0.3">
      <c r="P83" s="50" t="s">
        <v>92</v>
      </c>
      <c r="Q83" s="51">
        <f>+Q74+Q78-Q81</f>
        <v>25021.599999999999</v>
      </c>
      <c r="W83" s="44"/>
      <c r="X83" s="44"/>
      <c r="Z83" s="8"/>
      <c r="AG83" s="44"/>
      <c r="AH83" s="44"/>
    </row>
    <row r="84" spans="16:34" x14ac:dyDescent="0.3">
      <c r="P84" s="18"/>
      <c r="Q84" s="22"/>
      <c r="U84" s="44"/>
      <c r="V84" s="44"/>
      <c r="W84" s="44"/>
      <c r="X84" s="44"/>
      <c r="Z84" s="8"/>
      <c r="AG84" s="44"/>
      <c r="AH84" s="44"/>
    </row>
    <row r="85" spans="16:34" x14ac:dyDescent="0.3">
      <c r="P85" s="53" t="s">
        <v>96</v>
      </c>
      <c r="Q85" s="52"/>
      <c r="U85" s="44"/>
      <c r="V85" s="44"/>
      <c r="W85" s="44"/>
      <c r="X85" s="44"/>
      <c r="Z85" s="8"/>
      <c r="AG85" s="44"/>
      <c r="AH85" s="44"/>
    </row>
    <row r="86" spans="16:34" x14ac:dyDescent="0.3">
      <c r="P86" s="54" t="s">
        <v>50</v>
      </c>
      <c r="Q86" s="55">
        <f>+Q22*Q54*0.5</f>
        <v>21875</v>
      </c>
      <c r="U86" s="44"/>
      <c r="V86" s="44"/>
      <c r="W86" s="44"/>
      <c r="X86" s="44"/>
      <c r="Z86" s="8"/>
      <c r="AG86" s="44"/>
      <c r="AH86" s="44"/>
    </row>
    <row r="87" spans="16:34" x14ac:dyDescent="0.3">
      <c r="P87" s="54" t="s">
        <v>34</v>
      </c>
      <c r="Q87" s="55">
        <f>+Q22*Q69*0.5*0.5</f>
        <v>328.125</v>
      </c>
      <c r="U87" s="44"/>
      <c r="V87" s="44"/>
      <c r="W87" s="44"/>
      <c r="X87" s="44"/>
      <c r="Z87" s="8"/>
      <c r="AG87" s="44"/>
      <c r="AH87" s="44"/>
    </row>
    <row r="88" spans="16:34" x14ac:dyDescent="0.3">
      <c r="P88" s="54" t="s">
        <v>35</v>
      </c>
      <c r="Q88" s="55">
        <f>+Q22*Q70*0.5*0.5</f>
        <v>280.0703125</v>
      </c>
      <c r="AG88" s="44"/>
      <c r="AH88" s="44"/>
    </row>
    <row r="89" spans="16:34" x14ac:dyDescent="0.3">
      <c r="P89" s="56" t="s">
        <v>51</v>
      </c>
      <c r="Q89" s="57">
        <f>+Q86+Q88-Q87</f>
        <v>21826.9453125</v>
      </c>
      <c r="AH89" s="44"/>
    </row>
    <row r="90" spans="16:34" x14ac:dyDescent="0.3">
      <c r="P90" s="18"/>
      <c r="Q90" s="22"/>
      <c r="AG90" s="44"/>
      <c r="AH90" s="44"/>
    </row>
    <row r="91" spans="16:34" x14ac:dyDescent="0.3">
      <c r="P91" s="18" t="s">
        <v>36</v>
      </c>
      <c r="Q91" s="22">
        <f>+Q63</f>
        <v>87191.275788683677</v>
      </c>
      <c r="R91" s="22"/>
    </row>
    <row r="92" spans="16:34" x14ac:dyDescent="0.3">
      <c r="P92" s="18" t="s">
        <v>37</v>
      </c>
      <c r="Q92" s="22">
        <f>0.1*MAX(Q54,Q65)</f>
        <v>121000</v>
      </c>
      <c r="R92" s="22"/>
    </row>
    <row r="93" spans="16:34" x14ac:dyDescent="0.3">
      <c r="P93" s="18" t="s">
        <v>38</v>
      </c>
      <c r="Q93" s="22">
        <f>+MAX(0,ABS(Q91)-Q92)</f>
        <v>0</v>
      </c>
      <c r="R93" s="22"/>
    </row>
    <row r="94" spans="16:34" x14ac:dyDescent="0.3">
      <c r="P94" s="18" t="s">
        <v>39</v>
      </c>
      <c r="Q94" s="26">
        <f>+C24</f>
        <v>12</v>
      </c>
      <c r="R94" s="22"/>
    </row>
    <row r="95" spans="16:34" x14ac:dyDescent="0.3">
      <c r="P95" s="18" t="s">
        <v>40</v>
      </c>
      <c r="Q95" s="22">
        <f>+Q93/Q94</f>
        <v>0</v>
      </c>
      <c r="R95" s="22"/>
    </row>
    <row r="96" spans="16:34" x14ac:dyDescent="0.3">
      <c r="P96" s="18" t="s">
        <v>41</v>
      </c>
      <c r="Q96" s="22">
        <f>0.5*Q95</f>
        <v>0</v>
      </c>
      <c r="R96" s="22"/>
    </row>
    <row r="97" spans="16:19" x14ac:dyDescent="0.3">
      <c r="P97" s="18"/>
      <c r="Q97" s="22"/>
      <c r="R97" s="22"/>
    </row>
    <row r="98" spans="16:19" x14ac:dyDescent="0.3">
      <c r="P98" s="18"/>
      <c r="Q98" s="33" t="s">
        <v>74</v>
      </c>
      <c r="R98" s="22"/>
    </row>
    <row r="99" spans="16:19" x14ac:dyDescent="0.3">
      <c r="P99" s="18"/>
      <c r="Q99" s="33" t="s">
        <v>121</v>
      </c>
      <c r="R99" s="22"/>
    </row>
    <row r="100" spans="16:19" x14ac:dyDescent="0.3">
      <c r="P100" s="18" t="s">
        <v>42</v>
      </c>
      <c r="Q100" s="22">
        <f>+C23*0.5</f>
        <v>25790</v>
      </c>
      <c r="R100" s="22"/>
    </row>
    <row r="101" spans="16:19" x14ac:dyDescent="0.3">
      <c r="P101" s="18" t="s">
        <v>1</v>
      </c>
      <c r="Q101" s="46">
        <f>+Q83</f>
        <v>25021.599999999999</v>
      </c>
      <c r="R101" s="22"/>
    </row>
    <row r="102" spans="16:19" x14ac:dyDescent="0.3">
      <c r="P102" s="18" t="s">
        <v>9</v>
      </c>
      <c r="Q102" s="39">
        <f>-Q89</f>
        <v>-21826.9453125</v>
      </c>
      <c r="R102" s="22"/>
    </row>
    <row r="103" spans="16:19" x14ac:dyDescent="0.3">
      <c r="P103" s="18" t="s">
        <v>16</v>
      </c>
      <c r="Q103" s="22">
        <v>0</v>
      </c>
      <c r="R103" s="22"/>
    </row>
    <row r="104" spans="16:19" x14ac:dyDescent="0.3">
      <c r="P104" s="18" t="s">
        <v>17</v>
      </c>
      <c r="Q104" s="22">
        <f>+Q96</f>
        <v>0</v>
      </c>
      <c r="R104" s="22"/>
    </row>
    <row r="105" spans="16:19" x14ac:dyDescent="0.3">
      <c r="P105" s="18" t="s">
        <v>18</v>
      </c>
      <c r="Q105" s="22">
        <v>0</v>
      </c>
      <c r="R105" s="22"/>
    </row>
    <row r="106" spans="16:19" x14ac:dyDescent="0.3">
      <c r="P106" s="18" t="s">
        <v>19</v>
      </c>
      <c r="Q106" s="24">
        <f>+SUM(Q100:Q105)</f>
        <v>28984.654687499999</v>
      </c>
      <c r="R106" s="22"/>
    </row>
    <row r="107" spans="16:19" x14ac:dyDescent="0.3">
      <c r="P107" s="18"/>
      <c r="Q107" s="22"/>
      <c r="R107" s="22"/>
    </row>
    <row r="108" spans="16:19" x14ac:dyDescent="0.3">
      <c r="P108" s="18" t="s">
        <v>43</v>
      </c>
      <c r="Q108" s="22">
        <f>+R38</f>
        <v>30538.146874999999</v>
      </c>
      <c r="R108" s="22"/>
    </row>
    <row r="109" spans="16:19" x14ac:dyDescent="0.3">
      <c r="P109" s="18" t="s">
        <v>44</v>
      </c>
      <c r="Q109" s="22">
        <f>+Q66</f>
        <v>10000</v>
      </c>
      <c r="R109" s="22"/>
    </row>
    <row r="110" spans="16:19" x14ac:dyDescent="0.3">
      <c r="P110" s="18" t="s">
        <v>79</v>
      </c>
      <c r="Q110" s="42">
        <f>+Q62</f>
        <v>37802.07733631623</v>
      </c>
      <c r="R110" s="22"/>
      <c r="S110" s="42"/>
    </row>
    <row r="111" spans="16:19" x14ac:dyDescent="0.3">
      <c r="P111" s="18" t="s">
        <v>45</v>
      </c>
      <c r="Q111" s="27">
        <f>+Q106</f>
        <v>28984.654687499999</v>
      </c>
      <c r="R111" s="22"/>
    </row>
    <row r="112" spans="16:19" x14ac:dyDescent="0.3">
      <c r="P112" s="28" t="s">
        <v>87</v>
      </c>
      <c r="Q112" s="29">
        <f>+SUM(Q108:Q111)</f>
        <v>107324.87889881624</v>
      </c>
      <c r="R112" s="22"/>
    </row>
    <row r="113" spans="16:21" x14ac:dyDescent="0.3">
      <c r="R113" s="22"/>
    </row>
    <row r="114" spans="16:21" x14ac:dyDescent="0.3">
      <c r="P114" s="15" t="s">
        <v>7</v>
      </c>
    </row>
    <row r="116" spans="16:21" x14ac:dyDescent="0.3">
      <c r="Q116" s="33"/>
    </row>
    <row r="117" spans="16:21" x14ac:dyDescent="0.3">
      <c r="P117" s="18" t="s">
        <v>58</v>
      </c>
      <c r="Q117" s="34">
        <f>+Q91</f>
        <v>87191.275788683677</v>
      </c>
      <c r="S117" s="22"/>
      <c r="T117" s="22"/>
      <c r="U117" s="18"/>
    </row>
    <row r="118" spans="16:21" x14ac:dyDescent="0.3">
      <c r="P118" s="18" t="s">
        <v>59</v>
      </c>
      <c r="Q118" s="74">
        <f>+Q104</f>
        <v>0</v>
      </c>
      <c r="S118" s="22"/>
      <c r="T118" s="22"/>
      <c r="U118" s="18"/>
    </row>
    <row r="119" spans="16:21" x14ac:dyDescent="0.3">
      <c r="P119" s="18" t="s">
        <v>60</v>
      </c>
      <c r="Q119" s="35">
        <f>+Q136+Q140</f>
        <v>0</v>
      </c>
      <c r="S119" s="22"/>
      <c r="T119" s="22"/>
      <c r="U119" s="18"/>
    </row>
    <row r="120" spans="16:21" x14ac:dyDescent="0.3">
      <c r="P120" s="18" t="s">
        <v>61</v>
      </c>
      <c r="Q120" s="22">
        <f>+Q117-Q118+Q119</f>
        <v>87191.275788683677</v>
      </c>
      <c r="S120" s="22"/>
      <c r="T120" s="22"/>
      <c r="U120" s="18"/>
    </row>
    <row r="121" spans="16:21" x14ac:dyDescent="0.3">
      <c r="P121" s="18"/>
      <c r="Q121" s="18"/>
      <c r="S121" s="22"/>
      <c r="T121" s="22"/>
      <c r="U121" s="18"/>
    </row>
    <row r="122" spans="16:21" x14ac:dyDescent="0.3">
      <c r="P122" s="18" t="s">
        <v>62</v>
      </c>
      <c r="Q122" s="22">
        <v>0</v>
      </c>
      <c r="S122" s="22"/>
      <c r="T122" s="22"/>
      <c r="U122" s="18"/>
    </row>
    <row r="123" spans="16:21" x14ac:dyDescent="0.3">
      <c r="P123" s="18" t="s">
        <v>63</v>
      </c>
      <c r="Q123" s="22">
        <v>0</v>
      </c>
      <c r="S123" s="22"/>
      <c r="T123" s="22"/>
      <c r="U123" s="18"/>
    </row>
    <row r="124" spans="16:21" x14ac:dyDescent="0.3">
      <c r="P124" s="18" t="s">
        <v>64</v>
      </c>
      <c r="Q124" s="22">
        <f>+Q120</f>
        <v>87191.275788683677</v>
      </c>
      <c r="S124" s="22"/>
      <c r="T124" s="22"/>
      <c r="U124" s="18"/>
    </row>
    <row r="125" spans="16:21" x14ac:dyDescent="0.3">
      <c r="P125" s="28" t="s">
        <v>65</v>
      </c>
      <c r="Q125" s="29">
        <f>+SUM(Q122:Q124)</f>
        <v>87191.275788683677</v>
      </c>
      <c r="S125" s="22"/>
      <c r="T125" s="22"/>
      <c r="U125" s="18"/>
    </row>
    <row r="126" spans="16:21" x14ac:dyDescent="0.3">
      <c r="P126" s="18"/>
      <c r="Q126" s="22"/>
      <c r="S126" s="22"/>
      <c r="T126" s="22"/>
      <c r="U126" s="18"/>
    </row>
    <row r="128" spans="16:21" x14ac:dyDescent="0.3">
      <c r="P128" s="15" t="s">
        <v>75</v>
      </c>
    </row>
    <row r="130" spans="16:21" x14ac:dyDescent="0.3">
      <c r="Q130" s="33" t="s">
        <v>121</v>
      </c>
    </row>
    <row r="131" spans="16:21" x14ac:dyDescent="0.3">
      <c r="P131" s="18" t="s">
        <v>72</v>
      </c>
      <c r="Q131" s="22">
        <f>+C14</f>
        <v>21500</v>
      </c>
    </row>
    <row r="132" spans="16:21" x14ac:dyDescent="0.3">
      <c r="P132" s="18" t="s">
        <v>73</v>
      </c>
      <c r="Q132" s="22">
        <f>0.5*C15</f>
        <v>17924.5</v>
      </c>
    </row>
    <row r="133" spans="16:21" x14ac:dyDescent="0.3">
      <c r="P133" s="18"/>
      <c r="Q133" s="18"/>
      <c r="R133" s="18"/>
      <c r="S133" s="32"/>
      <c r="T133" s="22"/>
      <c r="U133" s="18"/>
    </row>
    <row r="134" spans="16:21" x14ac:dyDescent="0.3">
      <c r="P134" s="18" t="s">
        <v>52</v>
      </c>
      <c r="Q134" s="22">
        <f>+Q54-Q102+Q132-Q131</f>
        <v>718251.4453125</v>
      </c>
      <c r="R134" s="22"/>
      <c r="S134" s="32"/>
      <c r="T134" s="22"/>
      <c r="U134" s="18"/>
    </row>
    <row r="135" spans="16:21" x14ac:dyDescent="0.3">
      <c r="P135" s="18" t="s">
        <v>53</v>
      </c>
      <c r="Q135" s="22">
        <f>+Q134</f>
        <v>718251.4453125</v>
      </c>
      <c r="R135" s="76" t="s">
        <v>119</v>
      </c>
      <c r="S135" s="18"/>
      <c r="T135" s="22"/>
      <c r="U135" s="18"/>
    </row>
    <row r="136" spans="16:21" x14ac:dyDescent="0.3">
      <c r="P136" s="18" t="s">
        <v>54</v>
      </c>
      <c r="Q136" s="22">
        <f>+Q134-Q135</f>
        <v>0</v>
      </c>
      <c r="R136" s="22"/>
      <c r="S136" s="18"/>
      <c r="T136" s="22"/>
      <c r="U136" s="18"/>
    </row>
    <row r="137" spans="16:21" x14ac:dyDescent="0.3">
      <c r="P137" s="18"/>
      <c r="Q137" s="22"/>
      <c r="R137" s="22"/>
      <c r="T137" s="22"/>
      <c r="U137" s="18"/>
    </row>
    <row r="138" spans="16:21" x14ac:dyDescent="0.3">
      <c r="P138" s="18" t="s">
        <v>55</v>
      </c>
      <c r="Q138" s="22">
        <f>+Q65+Q100+Q101-Q131</f>
        <v>1239311.6000000001</v>
      </c>
      <c r="R138" s="22"/>
      <c r="S138" s="18"/>
      <c r="T138" s="22"/>
      <c r="U138" s="18"/>
    </row>
    <row r="139" spans="16:21" x14ac:dyDescent="0.3">
      <c r="P139" s="18" t="s">
        <v>56</v>
      </c>
      <c r="Q139" s="22">
        <f>+Q138</f>
        <v>1239311.6000000001</v>
      </c>
      <c r="R139" s="76" t="s">
        <v>120</v>
      </c>
      <c r="S139" s="18"/>
      <c r="T139" s="22"/>
      <c r="U139" s="18"/>
    </row>
    <row r="140" spans="16:21" x14ac:dyDescent="0.3">
      <c r="P140" s="18" t="s">
        <v>57</v>
      </c>
      <c r="Q140" s="22">
        <f>+Q139-Q138</f>
        <v>0</v>
      </c>
      <c r="R140" s="22"/>
      <c r="S140" s="18"/>
      <c r="T140" s="22"/>
      <c r="U140" s="18"/>
    </row>
    <row r="141" spans="16:21" x14ac:dyDescent="0.3">
      <c r="P141" s="18"/>
      <c r="Q141" s="22"/>
      <c r="R141" s="22"/>
      <c r="T141" s="22"/>
      <c r="U141" s="18"/>
    </row>
    <row r="142" spans="16:21" x14ac:dyDescent="0.3">
      <c r="P142" s="18" t="s">
        <v>10</v>
      </c>
      <c r="Q142" s="39">
        <f>-Q139</f>
        <v>-1239311.6000000001</v>
      </c>
      <c r="R142" s="22"/>
      <c r="S142" s="22"/>
      <c r="T142" s="22"/>
      <c r="U142" s="18"/>
    </row>
    <row r="143" spans="16:21" x14ac:dyDescent="0.3">
      <c r="P143" s="18" t="s">
        <v>11</v>
      </c>
      <c r="Q143" s="39">
        <f>+Q135</f>
        <v>718251.4453125</v>
      </c>
      <c r="R143" s="22"/>
      <c r="S143" s="22"/>
      <c r="T143" s="22"/>
      <c r="U143" s="18"/>
    </row>
    <row r="144" spans="16:21" x14ac:dyDescent="0.3">
      <c r="P144" s="40" t="s">
        <v>69</v>
      </c>
      <c r="Q144" s="40">
        <f>+Q142+Q143</f>
        <v>-521060.15468750009</v>
      </c>
      <c r="R144" s="22"/>
      <c r="S144" s="22"/>
      <c r="T144" s="22"/>
      <c r="U144" s="18"/>
    </row>
    <row r="145" spans="16:21" x14ac:dyDescent="0.3">
      <c r="S145" s="22"/>
      <c r="T145" s="22"/>
      <c r="U145" s="18"/>
    </row>
    <row r="146" spans="16:21" x14ac:dyDescent="0.3">
      <c r="S146" s="22"/>
      <c r="T146" s="22"/>
      <c r="U146" s="18"/>
    </row>
    <row r="147" spans="16:21" x14ac:dyDescent="0.3">
      <c r="P147" s="30" t="s">
        <v>122</v>
      </c>
      <c r="Q147" s="22"/>
      <c r="R147" s="22"/>
      <c r="S147" s="22"/>
      <c r="T147" s="22"/>
      <c r="U147" s="18"/>
    </row>
    <row r="148" spans="16:21" x14ac:dyDescent="0.3">
      <c r="P148" s="45" t="s">
        <v>123</v>
      </c>
      <c r="Q148" s="36" t="s">
        <v>66</v>
      </c>
      <c r="R148" s="36" t="s">
        <v>67</v>
      </c>
      <c r="S148" s="36" t="s">
        <v>86</v>
      </c>
      <c r="T148" s="37" t="s">
        <v>68</v>
      </c>
    </row>
    <row r="149" spans="16:21" x14ac:dyDescent="0.3">
      <c r="P149" s="24" t="s">
        <v>10</v>
      </c>
      <c r="Q149" s="24">
        <f>-Q25</f>
        <v>-1164740</v>
      </c>
      <c r="R149" s="24">
        <f>-Q47</f>
        <v>-1162197.9226636838</v>
      </c>
      <c r="S149" s="24">
        <f>-Q65</f>
        <v>-1210000</v>
      </c>
      <c r="T149" s="24">
        <f>-Q139</f>
        <v>-1239311.6000000001</v>
      </c>
    </row>
    <row r="150" spans="16:21" x14ac:dyDescent="0.3">
      <c r="P150" s="24" t="s">
        <v>11</v>
      </c>
      <c r="Q150" s="38">
        <f>+Q26</f>
        <v>696839</v>
      </c>
      <c r="R150" s="38">
        <f>+Q54</f>
        <v>700000</v>
      </c>
      <c r="S150" s="38">
        <f>+R150</f>
        <v>700000</v>
      </c>
      <c r="T150" s="38">
        <f>+Q135</f>
        <v>718251.4453125</v>
      </c>
    </row>
    <row r="151" spans="16:21" x14ac:dyDescent="0.3">
      <c r="P151" s="24" t="s">
        <v>69</v>
      </c>
      <c r="Q151" s="24">
        <f>+Q149+Q150</f>
        <v>-467901</v>
      </c>
      <c r="R151" s="24">
        <f>+R149+R150</f>
        <v>-462197.92266368377</v>
      </c>
      <c r="S151" s="24">
        <f>+S149+S150</f>
        <v>-510000</v>
      </c>
      <c r="T151" s="24">
        <f>+T149+T150</f>
        <v>-521060.15468750009</v>
      </c>
    </row>
    <row r="152" spans="16:21" x14ac:dyDescent="0.3">
      <c r="P152" s="24" t="s">
        <v>62</v>
      </c>
      <c r="Q152" s="24">
        <v>0</v>
      </c>
      <c r="R152" s="24">
        <v>0</v>
      </c>
      <c r="S152" s="24">
        <f>+R152</f>
        <v>0</v>
      </c>
      <c r="T152" s="24">
        <v>0</v>
      </c>
    </row>
    <row r="153" spans="16:21" x14ac:dyDescent="0.3">
      <c r="P153" s="24" t="s">
        <v>70</v>
      </c>
      <c r="Q153" s="24">
        <f>+Q57</f>
        <v>105508</v>
      </c>
      <c r="R153" s="24">
        <f>+Q58</f>
        <v>87191.275788683677</v>
      </c>
      <c r="S153" s="24">
        <f>+R153</f>
        <v>87191.275788683677</v>
      </c>
      <c r="T153" s="24">
        <f>+Q120</f>
        <v>87191.275788683677</v>
      </c>
    </row>
    <row r="154" spans="16:21" x14ac:dyDescent="0.3">
      <c r="P154" s="24" t="s">
        <v>63</v>
      </c>
      <c r="Q154" s="38">
        <v>0</v>
      </c>
      <c r="R154" s="38">
        <v>0</v>
      </c>
      <c r="S154" s="24">
        <f>+R154</f>
        <v>0</v>
      </c>
      <c r="T154" s="24">
        <f>+S154</f>
        <v>0</v>
      </c>
    </row>
    <row r="155" spans="16:21" x14ac:dyDescent="0.3">
      <c r="P155" s="24" t="s">
        <v>71</v>
      </c>
      <c r="Q155" s="24">
        <f>+SUM(Q151:Q154)</f>
        <v>-362393</v>
      </c>
      <c r="R155" s="24">
        <f>+SUM(R151:R154)</f>
        <v>-375006.64687500009</v>
      </c>
      <c r="S155" s="24">
        <f>+SUM(S151:S154)</f>
        <v>-422808.72421131632</v>
      </c>
      <c r="T155" s="24">
        <f>+SUM(T151:T154)</f>
        <v>-433868.87889881642</v>
      </c>
    </row>
    <row r="156" spans="16:21" x14ac:dyDescent="0.3">
      <c r="P156" s="24"/>
      <c r="Q156" s="24"/>
      <c r="R156" s="24"/>
      <c r="S156" s="24"/>
      <c r="T156" s="24"/>
    </row>
    <row r="157" spans="16:21" x14ac:dyDescent="0.3">
      <c r="P157" s="18"/>
      <c r="Q157" s="18" t="s">
        <v>84</v>
      </c>
      <c r="R157" s="24">
        <f>+Q155</f>
        <v>-362393</v>
      </c>
      <c r="S157" s="24">
        <f>+R160</f>
        <v>-375006.64687499998</v>
      </c>
      <c r="T157" s="24">
        <f>+S160</f>
        <v>-422808.72421131621</v>
      </c>
    </row>
    <row r="158" spans="16:21" x14ac:dyDescent="0.3">
      <c r="P158" s="18"/>
      <c r="Q158" s="1" t="s">
        <v>82</v>
      </c>
      <c r="R158" s="42">
        <f>-R38</f>
        <v>-30538.146874999999</v>
      </c>
      <c r="S158" s="44">
        <f>-Q109-Q110</f>
        <v>-47802.07733631623</v>
      </c>
      <c r="T158" s="44">
        <f>-Q111</f>
        <v>-28984.654687499999</v>
      </c>
    </row>
    <row r="159" spans="16:21" x14ac:dyDescent="0.3">
      <c r="Q159" s="1" t="s">
        <v>83</v>
      </c>
      <c r="R159" s="43">
        <f>+Q51</f>
        <v>17924.5</v>
      </c>
      <c r="S159" s="43">
        <v>0</v>
      </c>
      <c r="T159" s="43">
        <f>+Q132</f>
        <v>17924.5</v>
      </c>
    </row>
    <row r="160" spans="16:21" x14ac:dyDescent="0.3">
      <c r="Q160" s="18" t="s">
        <v>85</v>
      </c>
      <c r="R160" s="42">
        <f>+SUM(R157:R159)</f>
        <v>-375006.64687499998</v>
      </c>
      <c r="S160" s="42">
        <f>+SUM(S157:S159)</f>
        <v>-422808.72421131621</v>
      </c>
      <c r="T160" s="42">
        <f>+SUM(T157:T159)</f>
        <v>-433868.87889881618</v>
      </c>
    </row>
    <row r="162" spans="17:20" x14ac:dyDescent="0.3">
      <c r="Q162" s="32" t="s">
        <v>115</v>
      </c>
      <c r="R162" s="24">
        <f>+R155-R160</f>
        <v>0</v>
      </c>
      <c r="S162" s="24">
        <f>+S155-S160</f>
        <v>0</v>
      </c>
      <c r="T162" s="24">
        <f>+T155-T160</f>
        <v>0</v>
      </c>
    </row>
  </sheetData>
  <sheetProtection formatCells="0" formatColumns="0" formatRows="0" insertColumns="0" insertRows="0"/>
  <mergeCells count="4">
    <mergeCell ref="A5:M10"/>
    <mergeCell ref="P7:Z13"/>
    <mergeCell ref="P15:Q15"/>
    <mergeCell ref="B18:C18"/>
  </mergeCells>
  <pageMargins left="0.7" right="0.7" top="0.75" bottom="0.75" header="0.3" footer="0.3"/>
  <pageSetup scale="68"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81"/>
  <sheetViews>
    <sheetView tabSelected="1" zoomScale="85" zoomScaleNormal="85" zoomScaleSheetLayoutView="100" workbookViewId="0">
      <selection activeCell="M2" sqref="M2"/>
    </sheetView>
  </sheetViews>
  <sheetFormatPr defaultColWidth="9.21875" defaultRowHeight="15.6" x14ac:dyDescent="0.3"/>
  <cols>
    <col min="1" max="1" width="3.77734375" style="13" customWidth="1"/>
    <col min="2" max="2" width="39" style="13" customWidth="1"/>
    <col min="3" max="3" width="7.5546875" style="13" customWidth="1"/>
    <col min="4" max="4" width="14.77734375" style="13" customWidth="1"/>
    <col min="5" max="5" width="5.21875" style="13" customWidth="1"/>
    <col min="6" max="6" width="10" style="13" bestFit="1" customWidth="1"/>
    <col min="7" max="7" width="9.21875" style="13" customWidth="1"/>
    <col min="8" max="8" width="11.21875" style="13" customWidth="1"/>
    <col min="9" max="9" width="9.44140625" style="13" customWidth="1"/>
    <col min="10" max="10" width="10" style="13" bestFit="1" customWidth="1"/>
    <col min="11" max="11" width="2.77734375" style="13" customWidth="1"/>
    <col min="12" max="12" width="1" style="14" customWidth="1"/>
    <col min="13" max="13" width="4" style="1" customWidth="1"/>
    <col min="14" max="14" width="9.44140625" style="1" customWidth="1"/>
    <col min="15" max="15" width="20.44140625" style="1" customWidth="1"/>
    <col min="16" max="16" width="11.21875" style="1" bestFit="1" customWidth="1"/>
    <col min="17" max="17" width="13.5546875" style="1" customWidth="1"/>
    <col min="18" max="18" width="15.21875" style="1" customWidth="1"/>
    <col min="19" max="19" width="14.5546875" style="1" customWidth="1"/>
    <col min="20" max="20" width="13.21875" style="1" customWidth="1"/>
    <col min="21" max="21" width="12.21875" style="1" customWidth="1"/>
    <col min="22" max="24" width="10.21875" style="1" customWidth="1"/>
    <col min="25" max="25" width="1" style="4" customWidth="1"/>
    <col min="26" max="16384" width="9.21875" style="1"/>
  </cols>
  <sheetData>
    <row r="1" spans="1:24" x14ac:dyDescent="0.3">
      <c r="A1" s="12" t="s">
        <v>238</v>
      </c>
      <c r="M1" s="12" t="s">
        <v>238</v>
      </c>
      <c r="N1" s="13"/>
      <c r="O1" s="13"/>
      <c r="P1" s="13"/>
      <c r="Q1" s="13"/>
      <c r="R1" s="13"/>
      <c r="S1" s="13"/>
      <c r="T1" s="13"/>
      <c r="U1" s="13"/>
      <c r="V1" s="13"/>
      <c r="W1" s="13"/>
      <c r="X1" s="13"/>
    </row>
    <row r="2" spans="1:24" x14ac:dyDescent="0.3">
      <c r="A2" s="12" t="s">
        <v>239</v>
      </c>
      <c r="M2" s="12" t="s">
        <v>239</v>
      </c>
      <c r="N2" s="13"/>
      <c r="O2" s="13"/>
      <c r="P2" s="13"/>
      <c r="Q2" s="13"/>
      <c r="R2" s="13"/>
      <c r="S2" s="13"/>
      <c r="T2" s="13"/>
      <c r="U2" s="13"/>
      <c r="V2" s="13"/>
      <c r="W2" s="13"/>
      <c r="X2" s="13"/>
    </row>
    <row r="3" spans="1:24" x14ac:dyDescent="0.3">
      <c r="A3" s="12" t="s">
        <v>124</v>
      </c>
      <c r="M3" s="12" t="s">
        <v>124</v>
      </c>
      <c r="N3" s="13"/>
      <c r="O3" s="13"/>
      <c r="P3" s="13"/>
      <c r="Q3" s="13"/>
      <c r="R3" s="13"/>
      <c r="S3" s="13"/>
      <c r="T3" s="13"/>
      <c r="U3" s="13"/>
      <c r="V3" s="13"/>
      <c r="W3" s="13"/>
      <c r="X3" s="13"/>
    </row>
    <row r="4" spans="1:24" x14ac:dyDescent="0.3">
      <c r="M4" s="13"/>
      <c r="N4" s="13"/>
      <c r="O4" s="13"/>
      <c r="P4" s="13"/>
      <c r="Q4" s="13"/>
      <c r="R4" s="13"/>
      <c r="S4" s="13"/>
      <c r="T4" s="13"/>
      <c r="U4" s="13"/>
      <c r="V4" s="13"/>
      <c r="W4" s="13"/>
      <c r="X4" s="13"/>
    </row>
    <row r="5" spans="1:24" ht="16.2" x14ac:dyDescent="0.35">
      <c r="A5" s="58" t="s">
        <v>125</v>
      </c>
      <c r="M5" s="58" t="s">
        <v>126</v>
      </c>
      <c r="N5" s="13"/>
      <c r="O5" s="13"/>
      <c r="P5" s="13"/>
      <c r="Q5" s="13"/>
      <c r="R5" s="13"/>
      <c r="S5" s="13"/>
      <c r="T5" s="13"/>
      <c r="U5" s="13"/>
      <c r="V5" s="13"/>
      <c r="W5" s="13"/>
      <c r="X5" s="13"/>
    </row>
    <row r="6" spans="1:24" x14ac:dyDescent="0.3">
      <c r="A6" s="79"/>
      <c r="M6" s="13"/>
      <c r="N6" s="13"/>
      <c r="O6" s="13"/>
      <c r="P6" s="13"/>
      <c r="Q6" s="13"/>
      <c r="R6" s="13"/>
      <c r="S6" s="13"/>
      <c r="T6" s="13"/>
      <c r="U6" s="13"/>
      <c r="V6" s="13"/>
      <c r="W6" s="13"/>
      <c r="X6" s="13"/>
    </row>
    <row r="7" spans="1:24" ht="15.75" customHeight="1" x14ac:dyDescent="0.3">
      <c r="A7" s="79" t="s">
        <v>127</v>
      </c>
      <c r="M7" s="13" t="s">
        <v>128</v>
      </c>
      <c r="N7" s="197" t="s">
        <v>129</v>
      </c>
      <c r="O7" s="197"/>
      <c r="P7" s="197"/>
      <c r="Q7" s="197"/>
      <c r="R7" s="197"/>
      <c r="S7" s="197"/>
      <c r="T7" s="197"/>
      <c r="U7" s="197"/>
      <c r="V7" s="197"/>
      <c r="W7" s="197"/>
      <c r="X7" s="197"/>
    </row>
    <row r="8" spans="1:24" x14ac:dyDescent="0.3">
      <c r="M8" s="13"/>
      <c r="N8" s="77"/>
      <c r="O8" s="197" t="s">
        <v>130</v>
      </c>
      <c r="P8" s="215"/>
      <c r="Q8" s="215"/>
      <c r="R8" s="215"/>
      <c r="S8" s="77"/>
      <c r="T8" s="77"/>
      <c r="U8" s="77"/>
      <c r="V8" s="77"/>
      <c r="W8" s="77"/>
      <c r="X8" s="77"/>
    </row>
    <row r="9" spans="1:24" x14ac:dyDescent="0.3">
      <c r="B9" s="80" t="s">
        <v>131</v>
      </c>
      <c r="C9" s="80"/>
      <c r="D9" s="80"/>
      <c r="E9" s="80"/>
      <c r="F9" s="80"/>
      <c r="G9" s="80"/>
      <c r="H9" s="80"/>
      <c r="I9" s="80"/>
      <c r="J9" s="80"/>
      <c r="M9" s="13"/>
      <c r="N9" s="81"/>
      <c r="O9" s="13"/>
      <c r="P9" s="13"/>
      <c r="Q9" s="13"/>
      <c r="R9" s="13"/>
      <c r="S9" s="82"/>
      <c r="T9" s="72"/>
      <c r="U9" s="72"/>
      <c r="V9" s="72"/>
      <c r="W9" s="72"/>
      <c r="X9" s="72"/>
    </row>
    <row r="10" spans="1:24" x14ac:dyDescent="0.3">
      <c r="B10" s="83"/>
      <c r="C10" s="83"/>
      <c r="D10" s="83"/>
      <c r="E10" s="83"/>
      <c r="F10" s="83"/>
      <c r="G10" s="83"/>
      <c r="H10" s="83"/>
      <c r="I10" s="83"/>
      <c r="J10" s="83"/>
      <c r="M10" s="13"/>
      <c r="N10" s="81" t="s">
        <v>132</v>
      </c>
      <c r="O10" s="13"/>
      <c r="P10" s="13"/>
      <c r="Q10" s="13"/>
      <c r="R10" s="13"/>
      <c r="S10" s="82"/>
      <c r="T10" s="72"/>
      <c r="U10" s="72"/>
      <c r="V10" s="72"/>
      <c r="W10" s="72"/>
      <c r="X10" s="72"/>
    </row>
    <row r="11" spans="1:24" x14ac:dyDescent="0.3">
      <c r="B11" s="84"/>
      <c r="C11" s="216" t="s">
        <v>133</v>
      </c>
      <c r="D11" s="217"/>
      <c r="E11" s="218"/>
      <c r="F11" s="219"/>
      <c r="G11" s="219"/>
      <c r="H11" s="219"/>
      <c r="I11" s="219"/>
      <c r="J11" s="219"/>
      <c r="M11" s="13"/>
      <c r="N11" s="81"/>
      <c r="O11" s="13"/>
      <c r="P11" s="13"/>
      <c r="Q11" s="13"/>
      <c r="R11" s="13"/>
      <c r="S11" s="85"/>
      <c r="T11" s="72"/>
      <c r="U11" s="72"/>
      <c r="V11" s="72"/>
      <c r="W11" s="72"/>
      <c r="X11" s="72"/>
    </row>
    <row r="12" spans="1:24" ht="31.2" x14ac:dyDescent="0.3">
      <c r="B12" s="84" t="s">
        <v>134</v>
      </c>
      <c r="C12" s="224">
        <v>150000</v>
      </c>
      <c r="D12" s="225"/>
      <c r="E12" s="226"/>
      <c r="F12" s="227"/>
      <c r="G12" s="227"/>
      <c r="H12" s="227"/>
      <c r="I12" s="227"/>
      <c r="J12" s="227"/>
      <c r="M12" s="13"/>
      <c r="N12" s="86" t="s">
        <v>135</v>
      </c>
      <c r="O12" s="13"/>
      <c r="P12" s="13"/>
      <c r="Q12" s="13"/>
      <c r="R12" s="13"/>
      <c r="S12" s="85"/>
      <c r="T12" s="72"/>
      <c r="U12" s="72"/>
      <c r="V12" s="72"/>
      <c r="W12" s="72"/>
      <c r="X12" s="72"/>
    </row>
    <row r="13" spans="1:24" x14ac:dyDescent="0.3">
      <c r="B13" s="87" t="s">
        <v>136</v>
      </c>
      <c r="C13" s="88">
        <v>62</v>
      </c>
      <c r="D13" s="89"/>
      <c r="E13" s="90"/>
      <c r="F13" s="91"/>
      <c r="G13" s="92"/>
      <c r="H13" s="91"/>
      <c r="I13" s="92"/>
      <c r="J13" s="91"/>
      <c r="M13" s="13"/>
      <c r="N13" s="93" t="s">
        <v>0</v>
      </c>
      <c r="O13" s="66"/>
      <c r="P13" s="66"/>
      <c r="Q13" s="66"/>
      <c r="R13" s="77"/>
      <c r="S13" s="77"/>
      <c r="T13" s="77"/>
      <c r="U13" s="77"/>
      <c r="V13" s="77"/>
      <c r="W13" s="77"/>
      <c r="X13" s="77"/>
    </row>
    <row r="14" spans="1:24" x14ac:dyDescent="0.3">
      <c r="B14" s="87" t="s">
        <v>137</v>
      </c>
      <c r="C14" s="228" t="s">
        <v>138</v>
      </c>
      <c r="D14" s="229"/>
      <c r="M14" s="13"/>
      <c r="N14" s="66"/>
      <c r="O14" s="77"/>
      <c r="P14" s="77"/>
      <c r="Q14" s="77"/>
      <c r="R14" s="77"/>
      <c r="S14" s="77"/>
      <c r="T14" s="77"/>
      <c r="U14" s="77"/>
      <c r="V14" s="77"/>
      <c r="W14" s="77"/>
      <c r="X14" s="77"/>
    </row>
    <row r="15" spans="1:24" x14ac:dyDescent="0.3">
      <c r="B15" s="87" t="s">
        <v>139</v>
      </c>
      <c r="C15" s="88">
        <v>15</v>
      </c>
      <c r="D15" s="89" t="s">
        <v>140</v>
      </c>
      <c r="M15" s="13"/>
      <c r="N15" s="94" t="s">
        <v>132</v>
      </c>
      <c r="O15" s="13"/>
      <c r="P15" s="13"/>
      <c r="Q15" s="13"/>
      <c r="R15" s="13"/>
      <c r="S15" s="85"/>
      <c r="T15" s="72"/>
      <c r="U15" s="72"/>
      <c r="V15" s="72"/>
      <c r="W15" s="72"/>
      <c r="X15" s="72"/>
    </row>
    <row r="16" spans="1:24" x14ac:dyDescent="0.3">
      <c r="B16" s="95"/>
      <c r="C16" s="82"/>
      <c r="M16" s="96"/>
      <c r="N16" s="96"/>
      <c r="O16" s="96"/>
      <c r="P16" s="96"/>
      <c r="Q16" s="96"/>
      <c r="R16" s="96"/>
      <c r="S16" s="96"/>
      <c r="T16" s="96"/>
      <c r="U16" s="96"/>
      <c r="V16" s="96"/>
      <c r="W16" s="96"/>
      <c r="X16" s="96"/>
    </row>
    <row r="17" spans="2:24" x14ac:dyDescent="0.3">
      <c r="B17" s="97" t="s">
        <v>141</v>
      </c>
      <c r="C17" s="82"/>
      <c r="M17" s="96"/>
      <c r="N17" s="96"/>
      <c r="O17" s="96" t="s">
        <v>142</v>
      </c>
      <c r="P17" s="98" t="s">
        <v>143</v>
      </c>
      <c r="Q17" s="98" t="s">
        <v>144</v>
      </c>
      <c r="R17" s="98" t="s">
        <v>145</v>
      </c>
      <c r="S17" s="96"/>
      <c r="T17" s="96"/>
      <c r="U17" s="96"/>
      <c r="V17" s="96"/>
      <c r="W17" s="96"/>
      <c r="X17" s="96"/>
    </row>
    <row r="18" spans="2:24" x14ac:dyDescent="0.3">
      <c r="B18" s="95"/>
      <c r="C18" s="82"/>
      <c r="M18" s="96"/>
      <c r="N18" s="99"/>
      <c r="O18" s="100">
        <f>C20*H20+C21*(C12-H21)</f>
        <v>2700</v>
      </c>
      <c r="P18" s="101">
        <v>0</v>
      </c>
      <c r="Q18" s="102">
        <f>C15</f>
        <v>15</v>
      </c>
      <c r="R18" s="100">
        <f>O18*(1-P18)*Q18</f>
        <v>40500</v>
      </c>
      <c r="S18" s="96"/>
      <c r="T18" s="96"/>
      <c r="U18" s="96"/>
      <c r="V18" s="96"/>
      <c r="W18" s="96"/>
      <c r="X18" s="96"/>
    </row>
    <row r="19" spans="2:24" x14ac:dyDescent="0.3">
      <c r="B19" s="103" t="s">
        <v>146</v>
      </c>
      <c r="C19" s="220" t="s">
        <v>147</v>
      </c>
      <c r="D19" s="221"/>
      <c r="E19" s="222"/>
      <c r="F19" s="222"/>
      <c r="G19" s="222"/>
      <c r="H19" s="222"/>
      <c r="I19" s="223"/>
      <c r="M19" s="96"/>
      <c r="N19" s="99"/>
      <c r="O19" s="96"/>
      <c r="P19" s="96"/>
      <c r="Q19" s="96"/>
      <c r="R19" s="96"/>
      <c r="S19" s="96"/>
      <c r="T19" s="96"/>
      <c r="U19" s="96"/>
      <c r="V19" s="96"/>
      <c r="W19" s="96"/>
      <c r="X19" s="96"/>
    </row>
    <row r="20" spans="2:24" ht="15.45" customHeight="1" x14ac:dyDescent="0.3">
      <c r="B20" s="230" t="s">
        <v>148</v>
      </c>
      <c r="C20" s="104">
        <v>1.4E-2</v>
      </c>
      <c r="D20" s="233" t="s">
        <v>149</v>
      </c>
      <c r="E20" s="234"/>
      <c r="F20" s="234"/>
      <c r="G20" s="234"/>
      <c r="H20" s="105">
        <v>50000</v>
      </c>
      <c r="I20" s="106"/>
      <c r="M20" s="96"/>
      <c r="N20" s="99"/>
      <c r="O20" s="96" t="s">
        <v>150</v>
      </c>
      <c r="P20" s="96"/>
      <c r="Q20" s="107">
        <f>R18/C12</f>
        <v>0.27</v>
      </c>
      <c r="R20" s="96"/>
      <c r="S20" s="96"/>
      <c r="T20" s="96"/>
      <c r="U20" s="96"/>
      <c r="V20" s="96"/>
      <c r="W20" s="96"/>
      <c r="X20" s="96"/>
    </row>
    <row r="21" spans="2:24" ht="15.45" customHeight="1" x14ac:dyDescent="0.3">
      <c r="B21" s="231"/>
      <c r="C21" s="90">
        <v>0.02</v>
      </c>
      <c r="D21" s="235" t="s">
        <v>151</v>
      </c>
      <c r="E21" s="236"/>
      <c r="F21" s="236"/>
      <c r="G21" s="236"/>
      <c r="H21" s="109">
        <v>50000</v>
      </c>
      <c r="I21" s="110"/>
      <c r="M21" s="96"/>
      <c r="N21" s="111"/>
      <c r="O21" s="96"/>
      <c r="P21" s="96"/>
      <c r="Q21" s="96"/>
      <c r="R21" s="112"/>
      <c r="S21" s="112"/>
      <c r="T21" s="112"/>
      <c r="U21" s="112"/>
      <c r="V21" s="96"/>
      <c r="W21" s="96"/>
      <c r="X21" s="96"/>
    </row>
    <row r="22" spans="2:24" ht="15.45" customHeight="1" x14ac:dyDescent="0.3">
      <c r="B22" s="232"/>
      <c r="C22" s="113" t="s">
        <v>152</v>
      </c>
      <c r="D22" s="114"/>
      <c r="E22" s="115"/>
      <c r="F22" s="115"/>
      <c r="G22" s="115"/>
      <c r="H22" s="116"/>
      <c r="I22" s="117"/>
      <c r="M22" s="96"/>
      <c r="N22" s="118"/>
      <c r="O22" s="119"/>
      <c r="P22" s="118"/>
      <c r="Q22" s="118"/>
      <c r="R22" s="118"/>
      <c r="S22" s="118"/>
      <c r="T22" s="120"/>
      <c r="U22" s="118"/>
      <c r="V22" s="96"/>
      <c r="W22" s="96"/>
      <c r="X22" s="96"/>
    </row>
    <row r="23" spans="2:24" x14ac:dyDescent="0.3">
      <c r="B23" s="87" t="s">
        <v>153</v>
      </c>
      <c r="C23" s="121">
        <v>0.5</v>
      </c>
      <c r="D23" s="122" t="s">
        <v>154</v>
      </c>
      <c r="E23" s="123"/>
      <c r="F23" s="122"/>
      <c r="G23" s="122"/>
      <c r="H23" s="122"/>
      <c r="I23" s="124"/>
      <c r="M23" s="96"/>
      <c r="N23" s="94" t="s">
        <v>155</v>
      </c>
      <c r="O23" s="13"/>
      <c r="P23" s="13"/>
      <c r="Q23" s="13"/>
      <c r="R23" s="13"/>
      <c r="S23" s="118"/>
      <c r="T23" s="120"/>
      <c r="U23" s="118"/>
      <c r="V23" s="96"/>
      <c r="W23" s="96"/>
      <c r="X23" s="96"/>
    </row>
    <row r="24" spans="2:24" ht="15.45" customHeight="1" x14ac:dyDescent="0.3">
      <c r="B24" s="87" t="s">
        <v>139</v>
      </c>
      <c r="C24" s="125">
        <v>2.5000000000000001E-3</v>
      </c>
      <c r="D24" s="237" t="s">
        <v>156</v>
      </c>
      <c r="E24" s="238"/>
      <c r="F24" s="126">
        <v>60</v>
      </c>
      <c r="G24" s="127"/>
      <c r="H24" s="127"/>
      <c r="I24" s="128"/>
      <c r="J24" s="81"/>
      <c r="M24" s="96"/>
      <c r="N24" s="96"/>
      <c r="O24" s="96"/>
      <c r="P24" s="96"/>
      <c r="Q24" s="96"/>
      <c r="R24" s="96"/>
      <c r="S24" s="129"/>
      <c r="T24" s="130"/>
      <c r="U24" s="130"/>
      <c r="V24" s="96"/>
      <c r="W24" s="96"/>
      <c r="X24" s="96"/>
    </row>
    <row r="25" spans="2:24" x14ac:dyDescent="0.3">
      <c r="B25" s="230" t="s">
        <v>157</v>
      </c>
      <c r="C25" s="131">
        <v>0.6</v>
      </c>
      <c r="D25" s="132" t="s">
        <v>158</v>
      </c>
      <c r="E25" s="133"/>
      <c r="F25" s="132"/>
      <c r="G25" s="134"/>
      <c r="H25" s="134"/>
      <c r="I25" s="135"/>
      <c r="J25" s="81"/>
      <c r="M25" s="96"/>
      <c r="N25" s="96"/>
      <c r="O25" s="96" t="s">
        <v>142</v>
      </c>
      <c r="P25" s="98" t="s">
        <v>143</v>
      </c>
      <c r="Q25" s="98" t="s">
        <v>144</v>
      </c>
      <c r="R25" s="98" t="s">
        <v>145</v>
      </c>
      <c r="S25" s="129"/>
      <c r="T25" s="130"/>
      <c r="U25" s="130"/>
      <c r="V25" s="96"/>
      <c r="W25" s="96"/>
      <c r="X25" s="96"/>
    </row>
    <row r="26" spans="2:24" x14ac:dyDescent="0.3">
      <c r="B26" s="232"/>
      <c r="C26" s="136" t="s">
        <v>159</v>
      </c>
      <c r="D26" s="137"/>
      <c r="E26" s="137"/>
      <c r="F26" s="137"/>
      <c r="G26" s="137"/>
      <c r="H26" s="137"/>
      <c r="I26" s="117"/>
      <c r="M26" s="96"/>
      <c r="N26" s="99"/>
      <c r="O26" s="100">
        <f>C29*C12</f>
        <v>2700</v>
      </c>
      <c r="P26" s="101">
        <f>C32*12*(F32-C13)</f>
        <v>0.18</v>
      </c>
      <c r="Q26" s="102">
        <f>C15</f>
        <v>15</v>
      </c>
      <c r="R26" s="100">
        <f>O26*(1-P26)*Q26</f>
        <v>33210</v>
      </c>
      <c r="S26" s="129"/>
      <c r="T26" s="130"/>
      <c r="U26" s="130"/>
      <c r="V26" s="96"/>
      <c r="W26" s="96"/>
      <c r="X26" s="96"/>
    </row>
    <row r="27" spans="2:24" x14ac:dyDescent="0.3">
      <c r="M27" s="96"/>
      <c r="N27" s="99"/>
      <c r="O27" s="96"/>
      <c r="P27" s="96"/>
      <c r="Q27" s="96"/>
      <c r="R27" s="96"/>
      <c r="S27" s="129"/>
      <c r="T27" s="130"/>
      <c r="U27" s="130"/>
      <c r="V27" s="96"/>
      <c r="W27" s="96"/>
      <c r="X27" s="96"/>
    </row>
    <row r="28" spans="2:24" x14ac:dyDescent="0.3">
      <c r="B28" s="103" t="s">
        <v>146</v>
      </c>
      <c r="C28" s="220" t="s">
        <v>160</v>
      </c>
      <c r="D28" s="221"/>
      <c r="E28" s="222"/>
      <c r="F28" s="222"/>
      <c r="G28" s="222"/>
      <c r="H28" s="222"/>
      <c r="I28" s="223"/>
      <c r="M28" s="96"/>
      <c r="N28" s="99"/>
      <c r="O28" s="96" t="s">
        <v>150</v>
      </c>
      <c r="P28" s="96"/>
      <c r="Q28" s="107">
        <f>R26/C12</f>
        <v>0.22140000000000001</v>
      </c>
      <c r="R28" s="96"/>
      <c r="S28" s="96"/>
      <c r="T28" s="96"/>
      <c r="U28" s="96"/>
      <c r="V28" s="96"/>
      <c r="W28" s="96"/>
      <c r="X28" s="96"/>
    </row>
    <row r="29" spans="2:24" x14ac:dyDescent="0.3">
      <c r="B29" s="230" t="s">
        <v>148</v>
      </c>
      <c r="C29" s="104">
        <v>1.7999999999999999E-2</v>
      </c>
      <c r="D29" s="233" t="s">
        <v>161</v>
      </c>
      <c r="E29" s="234"/>
      <c r="F29" s="234"/>
      <c r="G29" s="234"/>
      <c r="H29" s="234"/>
      <c r="I29" s="106"/>
      <c r="M29" s="96"/>
      <c r="N29" s="111"/>
      <c r="O29" s="96"/>
      <c r="P29" s="96"/>
      <c r="Q29" s="96"/>
      <c r="R29" s="112"/>
      <c r="S29" s="96"/>
      <c r="T29" s="96"/>
      <c r="U29" s="96"/>
      <c r="V29" s="96"/>
      <c r="W29" s="96"/>
      <c r="X29" s="96"/>
    </row>
    <row r="30" spans="2:24" ht="15.45" customHeight="1" x14ac:dyDescent="0.3">
      <c r="B30" s="232"/>
      <c r="C30" s="239" t="s">
        <v>152</v>
      </c>
      <c r="D30" s="240"/>
      <c r="E30" s="240"/>
      <c r="F30" s="240"/>
      <c r="G30" s="240"/>
      <c r="H30" s="240"/>
      <c r="I30" s="241"/>
      <c r="M30" s="96"/>
      <c r="N30" s="138"/>
      <c r="O30" s="96"/>
      <c r="P30" s="139"/>
      <c r="Q30" s="140"/>
      <c r="R30" s="141"/>
      <c r="S30" s="96"/>
      <c r="T30" s="96"/>
      <c r="U30" s="96"/>
      <c r="V30" s="96"/>
      <c r="W30" s="96"/>
      <c r="X30" s="96"/>
    </row>
    <row r="31" spans="2:24" x14ac:dyDescent="0.3">
      <c r="B31" s="87" t="s">
        <v>153</v>
      </c>
      <c r="C31" s="142">
        <v>0.02</v>
      </c>
      <c r="D31" s="122" t="s">
        <v>162</v>
      </c>
      <c r="E31" s="143"/>
      <c r="F31" s="122"/>
      <c r="G31" s="122"/>
      <c r="H31" s="122"/>
      <c r="I31" s="124"/>
      <c r="M31" s="96"/>
      <c r="N31" s="138"/>
      <c r="O31" s="96"/>
      <c r="P31" s="139"/>
      <c r="Q31" s="140"/>
      <c r="R31" s="141"/>
      <c r="S31" s="96"/>
      <c r="T31" s="96"/>
      <c r="U31" s="96"/>
      <c r="V31" s="96"/>
      <c r="W31" s="96"/>
      <c r="X31" s="96"/>
    </row>
    <row r="32" spans="2:24" x14ac:dyDescent="0.3">
      <c r="B32" s="87" t="s">
        <v>139</v>
      </c>
      <c r="C32" s="125">
        <v>5.0000000000000001E-3</v>
      </c>
      <c r="D32" s="237" t="s">
        <v>156</v>
      </c>
      <c r="E32" s="238"/>
      <c r="F32" s="126">
        <v>65</v>
      </c>
      <c r="G32" s="127"/>
      <c r="H32" s="127"/>
      <c r="I32" s="128"/>
      <c r="M32" s="96"/>
      <c r="N32" s="99"/>
      <c r="O32" s="96"/>
      <c r="P32" s="139"/>
      <c r="Q32" s="140"/>
      <c r="R32" s="141"/>
      <c r="S32" s="96"/>
      <c r="T32" s="118"/>
      <c r="U32" s="96"/>
      <c r="V32" s="96"/>
      <c r="W32" s="96"/>
      <c r="X32" s="96"/>
    </row>
    <row r="33" spans="2:24" ht="15.45" customHeight="1" x14ac:dyDescent="0.45">
      <c r="B33" s="230" t="s">
        <v>157</v>
      </c>
      <c r="C33" s="144" t="s">
        <v>163</v>
      </c>
      <c r="D33" s="134"/>
      <c r="E33" s="133"/>
      <c r="F33" s="132"/>
      <c r="G33" s="134"/>
      <c r="H33" s="134"/>
      <c r="I33" s="135"/>
      <c r="M33" s="96"/>
      <c r="N33" s="138"/>
      <c r="O33" s="96"/>
      <c r="P33" s="139"/>
      <c r="Q33" s="140"/>
      <c r="R33" s="145"/>
      <c r="S33" s="96"/>
      <c r="T33" s="118"/>
      <c r="U33" s="96"/>
      <c r="V33" s="96"/>
      <c r="W33" s="96"/>
      <c r="X33" s="96"/>
    </row>
    <row r="34" spans="2:24" ht="15.45" customHeight="1" x14ac:dyDescent="0.3">
      <c r="B34" s="232"/>
      <c r="C34" s="136" t="s">
        <v>164</v>
      </c>
      <c r="D34" s="137"/>
      <c r="E34" s="137"/>
      <c r="F34" s="137"/>
      <c r="G34" s="137"/>
      <c r="H34" s="137"/>
      <c r="I34" s="117"/>
      <c r="M34" s="96"/>
      <c r="N34" s="118"/>
      <c r="O34" s="118"/>
      <c r="P34" s="118"/>
      <c r="Q34" s="119"/>
      <c r="R34" s="118"/>
      <c r="S34" s="118"/>
      <c r="T34" s="118"/>
      <c r="U34" s="96"/>
      <c r="V34" s="96"/>
      <c r="W34" s="96"/>
      <c r="X34" s="96"/>
    </row>
    <row r="35" spans="2:24" x14ac:dyDescent="0.3">
      <c r="M35" s="96"/>
      <c r="N35" s="118"/>
      <c r="O35" s="130"/>
      <c r="P35" s="129"/>
      <c r="Q35" s="129"/>
      <c r="R35" s="130"/>
      <c r="S35" s="129"/>
      <c r="T35" s="118"/>
      <c r="U35" s="96"/>
      <c r="V35" s="96"/>
      <c r="W35" s="96"/>
      <c r="X35" s="96"/>
    </row>
    <row r="36" spans="2:24" x14ac:dyDescent="0.3">
      <c r="M36" s="96"/>
      <c r="N36" s="118"/>
      <c r="O36" s="130"/>
      <c r="P36" s="129"/>
      <c r="Q36" s="129"/>
      <c r="R36" s="130"/>
      <c r="S36" s="129"/>
      <c r="T36" s="118"/>
      <c r="U36" s="96"/>
      <c r="V36" s="96"/>
      <c r="W36" s="96"/>
      <c r="X36" s="96"/>
    </row>
    <row r="37" spans="2:24" x14ac:dyDescent="0.3">
      <c r="M37" s="96"/>
      <c r="N37" s="118"/>
      <c r="O37" s="130"/>
      <c r="P37" s="129"/>
      <c r="Q37" s="129"/>
      <c r="R37" s="130"/>
      <c r="S37" s="129"/>
      <c r="T37" s="118"/>
      <c r="U37" s="96"/>
      <c r="V37" s="96"/>
      <c r="W37" s="96"/>
      <c r="X37" s="96"/>
    </row>
    <row r="38" spans="2:24" x14ac:dyDescent="0.3">
      <c r="M38" s="96"/>
      <c r="N38" s="118"/>
      <c r="O38" s="130"/>
      <c r="P38" s="129"/>
      <c r="Q38" s="129"/>
      <c r="R38" s="130"/>
      <c r="S38" s="129"/>
      <c r="T38" s="118"/>
      <c r="U38" s="96"/>
      <c r="V38" s="96"/>
      <c r="W38" s="96"/>
      <c r="X38" s="96"/>
    </row>
    <row r="39" spans="2:24" x14ac:dyDescent="0.3">
      <c r="M39" s="96"/>
      <c r="N39" s="111"/>
      <c r="O39" s="96"/>
      <c r="P39" s="96"/>
      <c r="Q39" s="96"/>
      <c r="R39" s="96"/>
      <c r="S39" s="96"/>
      <c r="T39" s="118"/>
      <c r="U39" s="96"/>
      <c r="V39" s="96"/>
      <c r="W39" s="96"/>
      <c r="X39" s="96"/>
    </row>
    <row r="40" spans="2:24" x14ac:dyDescent="0.3">
      <c r="M40" s="96"/>
      <c r="N40" s="96"/>
      <c r="O40" s="96"/>
      <c r="P40" s="139"/>
      <c r="Q40" s="140"/>
      <c r="R40" s="100"/>
      <c r="S40" s="96"/>
      <c r="T40" s="146"/>
      <c r="U40" s="96"/>
      <c r="V40" s="96"/>
      <c r="W40" s="96"/>
      <c r="X40" s="96"/>
    </row>
    <row r="41" spans="2:24" x14ac:dyDescent="0.3">
      <c r="M41" s="96"/>
      <c r="N41" s="96"/>
      <c r="O41" s="96"/>
      <c r="P41" s="96"/>
      <c r="Q41" s="96"/>
      <c r="R41" s="96"/>
      <c r="S41" s="96"/>
      <c r="T41" s="146"/>
      <c r="U41" s="96"/>
      <c r="V41" s="96"/>
      <c r="W41" s="96"/>
      <c r="X41" s="96"/>
    </row>
    <row r="42" spans="2:24" x14ac:dyDescent="0.3">
      <c r="M42" s="96"/>
      <c r="N42" s="147"/>
      <c r="O42" s="96"/>
      <c r="P42" s="96"/>
      <c r="Q42" s="96"/>
      <c r="R42" s="96"/>
      <c r="S42" s="96"/>
      <c r="T42" s="96"/>
      <c r="U42" s="96"/>
      <c r="V42" s="96"/>
      <c r="W42" s="96"/>
      <c r="X42" s="96"/>
    </row>
    <row r="43" spans="2:24" x14ac:dyDescent="0.3">
      <c r="M43" s="96"/>
      <c r="N43" s="99"/>
      <c r="O43" s="96"/>
      <c r="P43" s="96"/>
      <c r="Q43" s="96"/>
      <c r="R43" s="96"/>
      <c r="S43" s="96"/>
      <c r="T43" s="96"/>
      <c r="U43" s="96"/>
      <c r="V43" s="96"/>
      <c r="W43" s="96"/>
      <c r="X43" s="96"/>
    </row>
    <row r="44" spans="2:24" x14ac:dyDescent="0.3">
      <c r="M44" s="96"/>
      <c r="N44" s="96"/>
      <c r="O44" s="148"/>
      <c r="P44" s="148"/>
      <c r="Q44" s="148"/>
      <c r="R44" s="148"/>
      <c r="S44" s="96"/>
      <c r="T44" s="96"/>
      <c r="U44" s="96"/>
      <c r="V44" s="96"/>
      <c r="W44" s="96"/>
      <c r="X44" s="96"/>
    </row>
    <row r="45" spans="2:24" x14ac:dyDescent="0.3">
      <c r="M45" s="96"/>
      <c r="N45" s="99"/>
      <c r="O45" s="96"/>
      <c r="P45" s="139"/>
      <c r="Q45" s="140"/>
      <c r="R45" s="141"/>
      <c r="S45" s="96"/>
      <c r="T45" s="96"/>
      <c r="U45" s="96"/>
      <c r="V45" s="96"/>
      <c r="W45" s="96"/>
      <c r="X45" s="96"/>
    </row>
    <row r="46" spans="2:24" x14ac:dyDescent="0.3">
      <c r="M46" s="96"/>
      <c r="N46" s="111"/>
      <c r="O46" s="96"/>
      <c r="P46" s="96"/>
      <c r="Q46" s="96"/>
      <c r="R46" s="112"/>
      <c r="S46" s="112"/>
      <c r="T46" s="112"/>
      <c r="U46" s="149"/>
      <c r="V46" s="96"/>
      <c r="W46" s="96"/>
      <c r="X46" s="96"/>
    </row>
    <row r="47" spans="2:24" x14ac:dyDescent="0.3">
      <c r="M47" s="96"/>
      <c r="N47" s="118"/>
      <c r="O47" s="119"/>
      <c r="P47" s="118"/>
      <c r="Q47" s="119"/>
      <c r="R47" s="118"/>
      <c r="S47" s="118"/>
      <c r="T47" s="119"/>
      <c r="U47" s="96"/>
      <c r="V47" s="96"/>
      <c r="W47" s="96"/>
      <c r="X47" s="96"/>
    </row>
    <row r="48" spans="2:24" x14ac:dyDescent="0.3">
      <c r="M48" s="96"/>
      <c r="N48" s="118"/>
      <c r="O48" s="150"/>
      <c r="P48" s="151"/>
      <c r="Q48" s="130"/>
      <c r="R48" s="130"/>
      <c r="S48" s="129"/>
      <c r="T48" s="130"/>
      <c r="U48" s="152"/>
      <c r="V48" s="96"/>
      <c r="W48" s="96"/>
      <c r="X48" s="96"/>
    </row>
    <row r="49" spans="13:24" x14ac:dyDescent="0.3">
      <c r="M49" s="96"/>
      <c r="N49" s="118"/>
      <c r="O49" s="150"/>
      <c r="P49" s="151"/>
      <c r="Q49" s="129"/>
      <c r="R49" s="130"/>
      <c r="S49" s="129"/>
      <c r="T49" s="130"/>
      <c r="U49" s="152"/>
      <c r="V49" s="96"/>
      <c r="W49" s="96"/>
      <c r="X49" s="96"/>
    </row>
    <row r="50" spans="13:24" x14ac:dyDescent="0.3">
      <c r="M50" s="96"/>
      <c r="N50" s="118"/>
      <c r="O50" s="150"/>
      <c r="P50" s="151"/>
      <c r="Q50" s="129"/>
      <c r="R50" s="130"/>
      <c r="S50" s="129"/>
      <c r="T50" s="130"/>
      <c r="U50" s="152"/>
      <c r="V50" s="96"/>
      <c r="W50" s="96"/>
      <c r="X50" s="96"/>
    </row>
    <row r="51" spans="13:24" x14ac:dyDescent="0.3">
      <c r="M51" s="96"/>
      <c r="N51" s="118"/>
      <c r="O51" s="150"/>
      <c r="P51" s="151"/>
      <c r="Q51" s="129"/>
      <c r="R51" s="130"/>
      <c r="S51" s="129"/>
      <c r="T51" s="130"/>
      <c r="U51" s="152"/>
      <c r="V51" s="96"/>
      <c r="W51" s="96"/>
      <c r="X51" s="96"/>
    </row>
    <row r="52" spans="13:24" x14ac:dyDescent="0.3">
      <c r="M52" s="96"/>
      <c r="N52" s="96"/>
      <c r="O52" s="96"/>
      <c r="P52" s="98"/>
      <c r="Q52" s="96"/>
      <c r="R52" s="153"/>
      <c r="S52" s="96"/>
      <c r="T52" s="96"/>
      <c r="U52" s="96"/>
      <c r="V52" s="96"/>
      <c r="W52" s="96"/>
      <c r="X52" s="96"/>
    </row>
    <row r="53" spans="13:24" x14ac:dyDescent="0.3">
      <c r="M53" s="96"/>
      <c r="N53" s="96"/>
      <c r="O53" s="96"/>
      <c r="P53" s="139"/>
      <c r="Q53" s="140"/>
      <c r="R53" s="100"/>
      <c r="S53" s="96"/>
      <c r="T53" s="96"/>
      <c r="U53" s="96"/>
      <c r="V53" s="96"/>
      <c r="W53" s="96"/>
      <c r="X53" s="96"/>
    </row>
    <row r="54" spans="13:24" x14ac:dyDescent="0.3">
      <c r="M54" s="96"/>
      <c r="N54" s="96"/>
      <c r="O54" s="96"/>
      <c r="P54" s="96"/>
      <c r="Q54" s="96"/>
      <c r="R54" s="96"/>
      <c r="S54" s="96"/>
      <c r="T54" s="96"/>
      <c r="U54" s="96"/>
      <c r="V54" s="96"/>
      <c r="W54" s="96"/>
      <c r="X54" s="96"/>
    </row>
    <row r="55" spans="13:24" x14ac:dyDescent="0.3">
      <c r="M55" s="96"/>
      <c r="N55" s="99"/>
      <c r="O55" s="96"/>
      <c r="P55" s="139"/>
      <c r="Q55" s="140"/>
      <c r="R55" s="141"/>
      <c r="S55" s="96"/>
      <c r="T55" s="96"/>
      <c r="U55" s="96"/>
      <c r="V55" s="96"/>
      <c r="W55" s="96"/>
      <c r="X55" s="96"/>
    </row>
    <row r="56" spans="13:24" ht="17.399999999999999" x14ac:dyDescent="0.45">
      <c r="M56" s="96"/>
      <c r="N56" s="138"/>
      <c r="O56" s="96"/>
      <c r="P56" s="139"/>
      <c r="Q56" s="140"/>
      <c r="R56" s="145"/>
      <c r="S56" s="96"/>
      <c r="T56" s="118"/>
      <c r="U56" s="96"/>
      <c r="V56" s="96"/>
      <c r="W56" s="96"/>
      <c r="X56" s="96"/>
    </row>
    <row r="57" spans="13:24" x14ac:dyDescent="0.3">
      <c r="M57" s="96"/>
      <c r="N57" s="118"/>
      <c r="O57" s="118"/>
      <c r="P57" s="118"/>
      <c r="Q57" s="118"/>
      <c r="R57" s="118"/>
      <c r="S57" s="96"/>
      <c r="T57" s="118"/>
      <c r="U57" s="96"/>
      <c r="V57" s="96"/>
      <c r="W57" s="96"/>
      <c r="X57" s="96"/>
    </row>
    <row r="58" spans="13:24" x14ac:dyDescent="0.3">
      <c r="M58" s="96"/>
      <c r="N58" s="118"/>
      <c r="O58" s="130"/>
      <c r="P58" s="129"/>
      <c r="Q58" s="130"/>
      <c r="R58" s="129"/>
      <c r="S58" s="96"/>
      <c r="T58" s="118"/>
      <c r="U58" s="96"/>
      <c r="V58" s="96"/>
      <c r="W58" s="96"/>
      <c r="X58" s="96"/>
    </row>
    <row r="59" spans="13:24" x14ac:dyDescent="0.3">
      <c r="M59" s="96"/>
      <c r="N59" s="118"/>
      <c r="O59" s="130"/>
      <c r="P59" s="129"/>
      <c r="Q59" s="130"/>
      <c r="R59" s="129"/>
      <c r="S59" s="96"/>
      <c r="T59" s="118"/>
      <c r="U59" s="96"/>
      <c r="V59" s="96"/>
      <c r="W59" s="96"/>
      <c r="X59" s="96"/>
    </row>
    <row r="60" spans="13:24" x14ac:dyDescent="0.3">
      <c r="M60" s="96"/>
      <c r="N60" s="118"/>
      <c r="O60" s="130"/>
      <c r="P60" s="129"/>
      <c r="Q60" s="130"/>
      <c r="R60" s="129"/>
      <c r="S60" s="96"/>
      <c r="T60" s="118"/>
      <c r="U60" s="96"/>
      <c r="V60" s="96"/>
      <c r="W60" s="96"/>
      <c r="X60" s="96"/>
    </row>
    <row r="61" spans="13:24" x14ac:dyDescent="0.3">
      <c r="M61" s="96"/>
      <c r="N61" s="118"/>
      <c r="O61" s="130"/>
      <c r="P61" s="129"/>
      <c r="Q61" s="130"/>
      <c r="R61" s="129"/>
      <c r="S61" s="96"/>
      <c r="T61" s="118"/>
      <c r="U61" s="96"/>
      <c r="V61" s="96"/>
      <c r="W61" s="96"/>
      <c r="X61" s="96"/>
    </row>
    <row r="62" spans="13:24" x14ac:dyDescent="0.3">
      <c r="M62" s="96"/>
      <c r="N62" s="96"/>
      <c r="O62" s="96"/>
      <c r="P62" s="96"/>
      <c r="Q62" s="96"/>
      <c r="R62" s="96"/>
      <c r="S62" s="96"/>
      <c r="T62" s="118"/>
      <c r="U62" s="96"/>
      <c r="V62" s="96"/>
      <c r="W62" s="96"/>
      <c r="X62" s="96"/>
    </row>
    <row r="63" spans="13:24" x14ac:dyDescent="0.3">
      <c r="M63" s="96"/>
      <c r="N63" s="96"/>
      <c r="O63" s="96"/>
      <c r="P63" s="139"/>
      <c r="Q63" s="140"/>
      <c r="R63" s="100"/>
      <c r="S63" s="96"/>
      <c r="T63" s="118"/>
      <c r="U63" s="96"/>
      <c r="V63" s="96"/>
      <c r="W63" s="96"/>
      <c r="X63" s="96"/>
    </row>
    <row r="64" spans="13:24" x14ac:dyDescent="0.3">
      <c r="M64" s="96"/>
      <c r="N64" s="96"/>
      <c r="O64" s="96"/>
      <c r="P64" s="96"/>
      <c r="Q64" s="96"/>
      <c r="R64" s="96"/>
      <c r="S64" s="96"/>
      <c r="T64" s="118"/>
      <c r="U64" s="96"/>
      <c r="V64" s="96"/>
      <c r="W64" s="96"/>
      <c r="X64" s="96"/>
    </row>
    <row r="65" spans="13:24" x14ac:dyDescent="0.3">
      <c r="M65" s="96"/>
      <c r="N65" s="96"/>
      <c r="O65" s="96"/>
      <c r="P65" s="96"/>
      <c r="Q65" s="96"/>
      <c r="R65" s="96"/>
      <c r="S65" s="96"/>
      <c r="T65" s="146"/>
      <c r="U65" s="96"/>
      <c r="V65" s="96"/>
      <c r="W65" s="96"/>
      <c r="X65" s="96"/>
    </row>
    <row r="66" spans="13:24" x14ac:dyDescent="0.3">
      <c r="M66" s="96"/>
      <c r="N66" s="96"/>
      <c r="O66" s="96"/>
      <c r="P66" s="96"/>
      <c r="Q66" s="96"/>
      <c r="R66" s="96"/>
      <c r="S66" s="96"/>
      <c r="T66" s="146"/>
      <c r="U66" s="96"/>
      <c r="V66" s="96"/>
      <c r="W66" s="96"/>
      <c r="X66" s="96"/>
    </row>
    <row r="67" spans="13:24" x14ac:dyDescent="0.3">
      <c r="M67" s="96"/>
      <c r="N67" s="96"/>
      <c r="O67" s="96"/>
      <c r="P67" s="96"/>
      <c r="Q67" s="96"/>
      <c r="R67" s="96"/>
      <c r="S67" s="96"/>
      <c r="T67" s="96"/>
      <c r="U67" s="96"/>
      <c r="V67" s="96"/>
      <c r="W67" s="96"/>
      <c r="X67" s="96"/>
    </row>
    <row r="68" spans="13:24" x14ac:dyDescent="0.3">
      <c r="M68" s="96"/>
      <c r="N68" s="96"/>
      <c r="O68" s="96"/>
      <c r="P68" s="96"/>
      <c r="Q68" s="96"/>
      <c r="R68" s="96"/>
      <c r="S68" s="96"/>
      <c r="T68" s="96"/>
      <c r="U68" s="96"/>
      <c r="V68" s="96"/>
      <c r="W68" s="96"/>
      <c r="X68" s="96"/>
    </row>
    <row r="69" spans="13:24" x14ac:dyDescent="0.3">
      <c r="M69" s="96"/>
      <c r="N69" s="96"/>
      <c r="O69" s="96"/>
      <c r="P69" s="96"/>
      <c r="Q69" s="96"/>
      <c r="R69" s="96"/>
      <c r="S69" s="96"/>
      <c r="T69" s="96"/>
      <c r="U69" s="96"/>
      <c r="V69" s="96"/>
      <c r="W69" s="96"/>
      <c r="X69" s="96"/>
    </row>
    <row r="70" spans="13:24" x14ac:dyDescent="0.3">
      <c r="M70" s="96"/>
      <c r="N70" s="96"/>
      <c r="O70" s="96"/>
      <c r="P70" s="96"/>
      <c r="Q70" s="96"/>
      <c r="R70" s="96"/>
      <c r="S70" s="96"/>
      <c r="T70" s="96"/>
      <c r="U70" s="96"/>
      <c r="V70" s="96"/>
      <c r="W70" s="96"/>
      <c r="X70" s="96"/>
    </row>
    <row r="71" spans="13:24" x14ac:dyDescent="0.3">
      <c r="M71" s="96"/>
      <c r="N71" s="96"/>
      <c r="O71" s="96"/>
      <c r="P71" s="96"/>
      <c r="Q71" s="96"/>
      <c r="R71" s="96"/>
      <c r="S71" s="96"/>
      <c r="T71" s="96"/>
      <c r="U71" s="96"/>
      <c r="V71" s="96"/>
      <c r="W71" s="96"/>
      <c r="X71" s="96"/>
    </row>
    <row r="72" spans="13:24" x14ac:dyDescent="0.3">
      <c r="M72" s="96"/>
      <c r="N72" s="96"/>
      <c r="O72" s="96"/>
      <c r="P72" s="96"/>
      <c r="Q72" s="96"/>
      <c r="R72" s="96"/>
      <c r="S72" s="96"/>
      <c r="T72" s="96"/>
      <c r="U72" s="96"/>
      <c r="V72" s="96"/>
      <c r="W72" s="96"/>
      <c r="X72" s="96"/>
    </row>
    <row r="73" spans="13:24" x14ac:dyDescent="0.3">
      <c r="M73" s="96"/>
      <c r="N73" s="96"/>
      <c r="O73" s="96"/>
      <c r="P73" s="96"/>
      <c r="Q73" s="96"/>
      <c r="R73" s="96"/>
      <c r="S73" s="96"/>
      <c r="T73" s="96"/>
      <c r="U73" s="96"/>
      <c r="V73" s="96"/>
      <c r="W73" s="96"/>
      <c r="X73" s="96"/>
    </row>
    <row r="74" spans="13:24" x14ac:dyDescent="0.3">
      <c r="M74" s="96"/>
      <c r="N74" s="96"/>
      <c r="O74" s="96"/>
      <c r="P74" s="96"/>
      <c r="Q74" s="96"/>
      <c r="R74" s="96"/>
      <c r="S74" s="96"/>
      <c r="T74" s="96"/>
      <c r="U74" s="96"/>
      <c r="V74" s="96"/>
      <c r="W74" s="96"/>
      <c r="X74" s="96"/>
    </row>
    <row r="75" spans="13:24" x14ac:dyDescent="0.3">
      <c r="M75" s="96"/>
      <c r="N75" s="96"/>
      <c r="O75" s="96"/>
      <c r="P75" s="96"/>
      <c r="Q75" s="96"/>
      <c r="R75" s="96"/>
      <c r="S75" s="96"/>
      <c r="T75" s="96"/>
      <c r="U75" s="96"/>
      <c r="V75" s="96"/>
      <c r="W75" s="96"/>
      <c r="X75" s="96"/>
    </row>
    <row r="76" spans="13:24" x14ac:dyDescent="0.3">
      <c r="M76" s="96"/>
      <c r="N76" s="96"/>
      <c r="O76" s="96"/>
      <c r="P76" s="96"/>
      <c r="Q76" s="96"/>
      <c r="R76" s="96"/>
      <c r="S76" s="96"/>
      <c r="T76" s="96"/>
      <c r="U76" s="96"/>
      <c r="V76" s="96"/>
      <c r="W76" s="96"/>
      <c r="X76" s="96"/>
    </row>
    <row r="77" spans="13:24" x14ac:dyDescent="0.3">
      <c r="M77" s="96"/>
      <c r="N77" s="96"/>
      <c r="O77" s="96"/>
      <c r="P77" s="96"/>
      <c r="Q77" s="96"/>
      <c r="R77" s="96"/>
      <c r="S77" s="96"/>
      <c r="T77" s="96"/>
      <c r="U77" s="96"/>
      <c r="V77" s="96"/>
      <c r="W77" s="96"/>
      <c r="X77" s="96"/>
    </row>
    <row r="78" spans="13:24" x14ac:dyDescent="0.3">
      <c r="M78" s="96"/>
      <c r="N78" s="96"/>
      <c r="O78" s="96"/>
      <c r="P78" s="96"/>
      <c r="Q78" s="96"/>
      <c r="R78" s="96"/>
      <c r="S78" s="96"/>
      <c r="T78" s="96"/>
      <c r="U78" s="96"/>
      <c r="V78" s="96"/>
      <c r="W78" s="96"/>
      <c r="X78" s="96"/>
    </row>
    <row r="79" spans="13:24" x14ac:dyDescent="0.3">
      <c r="M79" s="96"/>
      <c r="N79" s="96"/>
      <c r="O79" s="96"/>
      <c r="P79" s="96"/>
      <c r="Q79" s="96"/>
      <c r="R79" s="96"/>
      <c r="S79" s="96"/>
      <c r="T79" s="96"/>
      <c r="U79" s="96"/>
      <c r="V79" s="96"/>
      <c r="W79" s="96"/>
      <c r="X79" s="96"/>
    </row>
    <row r="80" spans="13:24" x14ac:dyDescent="0.3">
      <c r="M80" s="96"/>
      <c r="N80" s="96"/>
      <c r="O80" s="96"/>
      <c r="P80" s="96"/>
      <c r="Q80" s="96"/>
      <c r="R80" s="96"/>
      <c r="S80" s="96"/>
      <c r="T80" s="96"/>
      <c r="U80" s="96"/>
      <c r="V80" s="96"/>
      <c r="W80" s="96"/>
      <c r="X80" s="96"/>
    </row>
    <row r="81" spans="13:24" x14ac:dyDescent="0.3">
      <c r="M81" s="96"/>
      <c r="N81" s="96"/>
      <c r="O81" s="96"/>
      <c r="P81" s="96"/>
      <c r="Q81" s="96"/>
      <c r="R81" s="96"/>
      <c r="S81" s="96"/>
      <c r="T81" s="96"/>
      <c r="U81" s="96"/>
      <c r="V81" s="96"/>
      <c r="W81" s="96"/>
      <c r="X81" s="96"/>
    </row>
  </sheetData>
  <sheetProtection formatCells="0" formatColumns="0" formatRows="0" insertColumns="0" insertRows="0"/>
  <mergeCells count="23">
    <mergeCell ref="B29:B30"/>
    <mergeCell ref="D29:H29"/>
    <mergeCell ref="C30:I30"/>
    <mergeCell ref="D32:E32"/>
    <mergeCell ref="B33:B34"/>
    <mergeCell ref="B20:B22"/>
    <mergeCell ref="D20:G20"/>
    <mergeCell ref="D21:G21"/>
    <mergeCell ref="D24:E24"/>
    <mergeCell ref="B25:B26"/>
    <mergeCell ref="C28:I28"/>
    <mergeCell ref="C12:D12"/>
    <mergeCell ref="E12:F12"/>
    <mergeCell ref="G12:H12"/>
    <mergeCell ref="I12:J12"/>
    <mergeCell ref="C14:D14"/>
    <mergeCell ref="C19:I19"/>
    <mergeCell ref="N7:X7"/>
    <mergeCell ref="O8:R8"/>
    <mergeCell ref="C11:D11"/>
    <mergeCell ref="E11:F11"/>
    <mergeCell ref="G11:H11"/>
    <mergeCell ref="I11:J11"/>
  </mergeCells>
  <pageMargins left="0.7" right="0.7" top="0.75" bottom="0.75" header="0.3" footer="0.3"/>
  <pageSetup scale="68" orientation="portrait" horizontalDpi="4294967293"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8CED9D8272014D8E5F98905D81EAF4" ma:contentTypeVersion="10" ma:contentTypeDescription="Create a new document." ma:contentTypeScope="" ma:versionID="48c7918c77740b3c108c7c54bdb54bac">
  <xsd:schema xmlns:xsd="http://www.w3.org/2001/XMLSchema" xmlns:xs="http://www.w3.org/2001/XMLSchema" xmlns:p="http://schemas.microsoft.com/office/2006/metadata/properties" xmlns:ns3="cd1e47a4-999f-4e42-aed8-bca43ba7a1ff" targetNamespace="http://schemas.microsoft.com/office/2006/metadata/properties" ma:root="true" ma:fieldsID="11d32721b20ae165018530d7ef366cef" ns3:_="">
    <xsd:import namespace="cd1e47a4-999f-4e42-aed8-bca43ba7a1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e47a4-999f-4e42-aed8-bca43ba7a1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45B69-80D1-4DD1-B3DE-1C13F3BD27C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cd1e47a4-999f-4e42-aed8-bca43ba7a1ff"/>
    <ds:schemaRef ds:uri="http://www.w3.org/XML/1998/namespace"/>
    <ds:schemaRef ds:uri="http://purl.org/dc/dcmitype/"/>
  </ds:schemaRefs>
</ds:datastoreItem>
</file>

<file path=customXml/itemProps2.xml><?xml version="1.0" encoding="utf-8"?>
<ds:datastoreItem xmlns:ds="http://schemas.openxmlformats.org/officeDocument/2006/customXml" ds:itemID="{89A1060C-5D3F-4C75-A466-013512F327A6}">
  <ds:schemaRefs>
    <ds:schemaRef ds:uri="http://schemas.microsoft.com/sharepoint/v3/contenttype/forms"/>
  </ds:schemaRefs>
</ds:datastoreItem>
</file>

<file path=customXml/itemProps3.xml><?xml version="1.0" encoding="utf-8"?>
<ds:datastoreItem xmlns:ds="http://schemas.openxmlformats.org/officeDocument/2006/customXml" ds:itemID="{DA25A331-185B-4590-AE4A-03B2967029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1e47a4-999f-4e42-aed8-bca43ba7a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Question 4</vt:lpstr>
      <vt:lpstr>Question 8</vt:lpstr>
      <vt:lpstr>Question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Wagner</dc:creator>
  <cp:lastModifiedBy>A Zionce</cp:lastModifiedBy>
  <cp:lastPrinted>2020-10-01T03:05:22Z</cp:lastPrinted>
  <dcterms:created xsi:type="dcterms:W3CDTF">2015-06-05T18:17:20Z</dcterms:created>
  <dcterms:modified xsi:type="dcterms:W3CDTF">2022-01-27T19:02:55Z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0x010100678CED9D8272014D8E5F98905D81EAF4</vt:lpwstr>
  </property>
</Properties>
</file>