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olutions\November 2023 Solutions\ILA LFMC\"/>
    </mc:Choice>
  </mc:AlternateContent>
  <xr:revisionPtr revIDLastSave="0" documentId="8_{7D490AC9-445E-4AF9-9645-408C4B9E7428}" xr6:coauthVersionLast="47" xr6:coauthVersionMax="47" xr10:uidLastSave="{00000000-0000-0000-0000-000000000000}"/>
  <bookViews>
    <workbookView xWindow="2688" yWindow="2688" windowWidth="17280" windowHeight="8964" xr2:uid="{31ED29E7-AD98-4A4E-ABA3-9C919015D4EF}"/>
  </bookViews>
  <sheets>
    <sheet name="6(c)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BCHART91a" hidden="1">[1]Input!#REF!</definedName>
    <definedName name="_Fill" hidden="1">#REF!</definedName>
    <definedName name="chicago">'[2]SZ-1-2013 (MH)'!$B$9:$B$16</definedName>
    <definedName name="CognitiveLevels" hidden="1">'[3]syllabus list'!$C$123:$C$126</definedName>
    <definedName name="FaceAmoun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ckedInRate">#REF!</definedName>
    <definedName name="Premium">#REF!</definedName>
    <definedName name="Q_sources" hidden="1">#REF!</definedName>
    <definedName name="RiskAdj">#REF!</definedName>
    <definedName name="SyllabusListing">'[4]syllabus list'!$D$4:$D$106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8" i="1" l="1"/>
  <c r="N118" i="1"/>
  <c r="M118" i="1"/>
  <c r="L118" i="1"/>
  <c r="K118" i="1"/>
  <c r="I118" i="1"/>
  <c r="H118" i="1"/>
  <c r="G118" i="1"/>
  <c r="F118" i="1"/>
  <c r="O114" i="1"/>
  <c r="N114" i="1"/>
  <c r="M114" i="1"/>
  <c r="L114" i="1"/>
  <c r="I114" i="1"/>
  <c r="H114" i="1"/>
  <c r="G114" i="1"/>
  <c r="F114" i="1"/>
  <c r="O113" i="1"/>
  <c r="N113" i="1"/>
  <c r="M113" i="1"/>
  <c r="L113" i="1"/>
  <c r="I113" i="1"/>
  <c r="H113" i="1"/>
  <c r="G113" i="1"/>
  <c r="F113" i="1"/>
  <c r="I109" i="1"/>
  <c r="O109" i="1" s="1"/>
  <c r="H109" i="1"/>
  <c r="N109" i="1" s="1"/>
  <c r="G109" i="1"/>
  <c r="M109" i="1" s="1"/>
  <c r="F109" i="1"/>
  <c r="L109" i="1" s="1"/>
  <c r="E109" i="1"/>
  <c r="K109" i="1" s="1"/>
  <c r="I108" i="1"/>
  <c r="O108" i="1" s="1"/>
  <c r="H108" i="1"/>
  <c r="N108" i="1" s="1"/>
  <c r="G108" i="1"/>
  <c r="M108" i="1" s="1"/>
  <c r="F108" i="1"/>
  <c r="L108" i="1" s="1"/>
  <c r="E108" i="1"/>
  <c r="K108" i="1" s="1"/>
  <c r="I100" i="1"/>
  <c r="O100" i="1" s="1"/>
  <c r="H100" i="1"/>
  <c r="N100" i="1" s="1"/>
  <c r="G100" i="1"/>
  <c r="M100" i="1" s="1"/>
  <c r="F100" i="1"/>
  <c r="L100" i="1" s="1"/>
  <c r="E100" i="1"/>
  <c r="E101" i="1" s="1"/>
  <c r="K99" i="1"/>
  <c r="I94" i="1"/>
  <c r="O94" i="1" s="1"/>
  <c r="H94" i="1"/>
  <c r="N94" i="1" s="1"/>
  <c r="G94" i="1"/>
  <c r="M94" i="1" s="1"/>
  <c r="F94" i="1"/>
  <c r="L94" i="1" s="1"/>
  <c r="E94" i="1"/>
  <c r="K94" i="1" s="1"/>
  <c r="I90" i="1"/>
  <c r="O90" i="1" s="1"/>
  <c r="H90" i="1"/>
  <c r="N90" i="1" s="1"/>
  <c r="G90" i="1"/>
  <c r="M90" i="1" s="1"/>
  <c r="F90" i="1"/>
  <c r="L90" i="1" s="1"/>
  <c r="E90" i="1"/>
  <c r="K90" i="1" s="1"/>
  <c r="I89" i="1"/>
  <c r="O89" i="1" s="1"/>
  <c r="H89" i="1"/>
  <c r="N89" i="1" s="1"/>
  <c r="G89" i="1"/>
  <c r="M89" i="1" s="1"/>
  <c r="F89" i="1"/>
  <c r="L89" i="1" s="1"/>
  <c r="E88" i="1"/>
  <c r="O83" i="1"/>
  <c r="N83" i="1"/>
  <c r="M83" i="1"/>
  <c r="L83" i="1"/>
  <c r="K83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O78" i="1"/>
  <c r="N78" i="1"/>
  <c r="M78" i="1"/>
  <c r="L78" i="1"/>
  <c r="K77" i="1"/>
  <c r="I59" i="1"/>
  <c r="I92" i="1" s="1"/>
  <c r="O92" i="1" s="1"/>
  <c r="H59" i="1"/>
  <c r="H92" i="1" s="1"/>
  <c r="N92" i="1" s="1"/>
  <c r="G59" i="1"/>
  <c r="G92" i="1" s="1"/>
  <c r="M92" i="1" s="1"/>
  <c r="F59" i="1"/>
  <c r="F92" i="1" s="1"/>
  <c r="L92" i="1" s="1"/>
  <c r="E59" i="1"/>
  <c r="E92" i="1" s="1"/>
  <c r="K92" i="1" s="1"/>
  <c r="I58" i="1"/>
  <c r="I91" i="1" s="1"/>
  <c r="O91" i="1" s="1"/>
  <c r="H58" i="1"/>
  <c r="H91" i="1" s="1"/>
  <c r="N91" i="1" s="1"/>
  <c r="G58" i="1"/>
  <c r="G91" i="1" s="1"/>
  <c r="M91" i="1" s="1"/>
  <c r="F58" i="1"/>
  <c r="F91" i="1" s="1"/>
  <c r="L91" i="1" s="1"/>
  <c r="E58" i="1"/>
  <c r="E91" i="1" s="1"/>
  <c r="K91" i="1" s="1"/>
  <c r="D48" i="1"/>
  <c r="D47" i="1"/>
  <c r="D46" i="1"/>
  <c r="D44" i="1"/>
  <c r="I38" i="1"/>
  <c r="I42" i="1" s="1"/>
  <c r="H38" i="1"/>
  <c r="G38" i="1"/>
  <c r="F38" i="1"/>
  <c r="I32" i="1"/>
  <c r="I73" i="1" s="1"/>
  <c r="H32" i="1"/>
  <c r="H35" i="1" s="1"/>
  <c r="G32" i="1"/>
  <c r="G73" i="1" s="1"/>
  <c r="F32" i="1"/>
  <c r="F35" i="1" s="1"/>
  <c r="E32" i="1"/>
  <c r="E73" i="1" s="1"/>
  <c r="E28" i="1"/>
  <c r="E113" i="1" s="1"/>
  <c r="E27" i="1"/>
  <c r="E26" i="1"/>
  <c r="E25" i="1"/>
  <c r="E24" i="1"/>
  <c r="E23" i="1"/>
  <c r="E22" i="1"/>
  <c r="E21" i="1"/>
  <c r="I18" i="1"/>
  <c r="H18" i="1"/>
  <c r="G18" i="1"/>
  <c r="F18" i="1"/>
  <c r="E18" i="1"/>
  <c r="L7" i="1"/>
  <c r="M7" i="1" s="1"/>
  <c r="N7" i="1" s="1"/>
  <c r="O7" i="1" s="1"/>
  <c r="F7" i="1"/>
  <c r="G7" i="1" s="1"/>
  <c r="H7" i="1" s="1"/>
  <c r="I7" i="1" s="1"/>
  <c r="E35" i="1" l="1"/>
  <c r="H42" i="1"/>
  <c r="E29" i="1"/>
  <c r="E114" i="1"/>
  <c r="K114" i="1" s="1"/>
  <c r="E56" i="1"/>
  <c r="E60" i="1" s="1"/>
  <c r="H73" i="1"/>
  <c r="H107" i="1" s="1"/>
  <c r="N107" i="1" s="1"/>
  <c r="G35" i="1"/>
  <c r="E118" i="1"/>
  <c r="E107" i="1"/>
  <c r="K107" i="1" s="1"/>
  <c r="I107" i="1"/>
  <c r="O107" i="1" s="1"/>
  <c r="K113" i="1"/>
  <c r="G107" i="1"/>
  <c r="M107" i="1" s="1"/>
  <c r="I35" i="1"/>
  <c r="K88" i="1"/>
  <c r="D49" i="1"/>
  <c r="E67" i="1" s="1"/>
  <c r="K100" i="1"/>
  <c r="E42" i="1"/>
  <c r="F42" i="1"/>
  <c r="F73" i="1"/>
  <c r="G42" i="1"/>
  <c r="E102" i="1"/>
  <c r="E103" i="1" s="1"/>
  <c r="F99" i="1" s="1"/>
  <c r="D50" i="1" l="1"/>
  <c r="D51" i="1" s="1"/>
  <c r="E78" i="1" s="1"/>
  <c r="E63" i="1"/>
  <c r="F55" i="1" s="1"/>
  <c r="F101" i="1"/>
  <c r="F102" i="1" s="1"/>
  <c r="F107" i="1"/>
  <c r="L107" i="1" s="1"/>
  <c r="E71" i="1"/>
  <c r="E74" i="1" s="1"/>
  <c r="F66" i="1" s="1"/>
  <c r="E110" i="1"/>
  <c r="E115" i="1"/>
  <c r="E116" i="1" s="1"/>
  <c r="K101" i="1"/>
  <c r="K102" i="1" s="1"/>
  <c r="K103" i="1" l="1"/>
  <c r="L99" i="1" s="1"/>
  <c r="L101" i="1" s="1"/>
  <c r="L102" i="1" s="1"/>
  <c r="L103" i="1" s="1"/>
  <c r="M99" i="1" s="1"/>
  <c r="F110" i="1"/>
  <c r="F115" i="1"/>
  <c r="F116" i="1" s="1"/>
  <c r="F103" i="1"/>
  <c r="G99" i="1" s="1"/>
  <c r="E82" i="1"/>
  <c r="E93" i="1" s="1"/>
  <c r="E121" i="1" s="1"/>
  <c r="K78" i="1"/>
  <c r="E89" i="1"/>
  <c r="D52" i="1"/>
  <c r="F60" i="1"/>
  <c r="F63" i="1" s="1"/>
  <c r="F71" i="1"/>
  <c r="F74" i="1" s="1"/>
  <c r="G66" i="1" s="1"/>
  <c r="K115" i="1"/>
  <c r="K116" i="1" s="1"/>
  <c r="K110" i="1"/>
  <c r="E84" i="1" l="1"/>
  <c r="E85" i="1" s="1"/>
  <c r="F77" i="1" s="1"/>
  <c r="K89" i="1"/>
  <c r="K120" i="1" s="1"/>
  <c r="E120" i="1"/>
  <c r="E122" i="1" s="1"/>
  <c r="K82" i="1"/>
  <c r="K93" i="1" s="1"/>
  <c r="K121" i="1" s="1"/>
  <c r="G101" i="1"/>
  <c r="G102" i="1" s="1"/>
  <c r="M101" i="1"/>
  <c r="M102" i="1" s="1"/>
  <c r="G71" i="1"/>
  <c r="G74" i="1" s="1"/>
  <c r="H66" i="1" s="1"/>
  <c r="G55" i="1"/>
  <c r="L115" i="1"/>
  <c r="L116" i="1" s="1"/>
  <c r="L110" i="1"/>
  <c r="K84" i="1" l="1"/>
  <c r="K106" i="1" s="1"/>
  <c r="K111" i="1" s="1"/>
  <c r="E96" i="1"/>
  <c r="E95" i="1"/>
  <c r="E106" i="1"/>
  <c r="E111" i="1" s="1"/>
  <c r="E124" i="1" s="1"/>
  <c r="M103" i="1"/>
  <c r="N99" i="1" s="1"/>
  <c r="N101" i="1" s="1"/>
  <c r="N102" i="1" s="1"/>
  <c r="G103" i="1"/>
  <c r="H99" i="1" s="1"/>
  <c r="H101" i="1" s="1"/>
  <c r="H102" i="1" s="1"/>
  <c r="M115" i="1"/>
  <c r="M116" i="1" s="1"/>
  <c r="M110" i="1"/>
  <c r="H71" i="1"/>
  <c r="H74" i="1" s="1"/>
  <c r="I66" i="1" s="1"/>
  <c r="K122" i="1"/>
  <c r="G60" i="1"/>
  <c r="G110" i="1"/>
  <c r="G115" i="1"/>
  <c r="G116" i="1" s="1"/>
  <c r="F82" i="1"/>
  <c r="F93" i="1" s="1"/>
  <c r="F121" i="1" s="1"/>
  <c r="F88" i="1"/>
  <c r="F120" i="1" s="1"/>
  <c r="K85" i="1" l="1"/>
  <c r="K95" i="1"/>
  <c r="F122" i="1"/>
  <c r="F84" i="1"/>
  <c r="F85" i="1" s="1"/>
  <c r="K124" i="1"/>
  <c r="H103" i="1"/>
  <c r="I99" i="1" s="1"/>
  <c r="I101" i="1" s="1"/>
  <c r="I102" i="1" s="1"/>
  <c r="N115" i="1"/>
  <c r="N116" i="1" s="1"/>
  <c r="N110" i="1"/>
  <c r="I71" i="1"/>
  <c r="I74" i="1" s="1"/>
  <c r="L77" i="1"/>
  <c r="K96" i="1"/>
  <c r="F95" i="1"/>
  <c r="N103" i="1"/>
  <c r="O99" i="1" s="1"/>
  <c r="H115" i="1"/>
  <c r="H116" i="1" s="1"/>
  <c r="H110" i="1"/>
  <c r="G63" i="1"/>
  <c r="F106" i="1" l="1"/>
  <c r="F111" i="1" s="1"/>
  <c r="F124" i="1" s="1"/>
  <c r="I115" i="1"/>
  <c r="I116" i="1" s="1"/>
  <c r="I110" i="1"/>
  <c r="H55" i="1"/>
  <c r="L82" i="1"/>
  <c r="L93" i="1" s="1"/>
  <c r="L121" i="1" s="1"/>
  <c r="L88" i="1"/>
  <c r="L120" i="1" s="1"/>
  <c r="I103" i="1"/>
  <c r="G77" i="1"/>
  <c r="F96" i="1"/>
  <c r="O101" i="1"/>
  <c r="O102" i="1" s="1"/>
  <c r="L122" i="1" l="1"/>
  <c r="O115" i="1"/>
  <c r="O116" i="1" s="1"/>
  <c r="O110" i="1"/>
  <c r="O103" i="1"/>
  <c r="G82" i="1"/>
  <c r="G93" i="1" s="1"/>
  <c r="G121" i="1" s="1"/>
  <c r="G88" i="1"/>
  <c r="G120" i="1" s="1"/>
  <c r="H60" i="1"/>
  <c r="L84" i="1"/>
  <c r="G122" i="1" l="1"/>
  <c r="G84" i="1"/>
  <c r="G106" i="1" s="1"/>
  <c r="G111" i="1" s="1"/>
  <c r="G124" i="1" s="1"/>
  <c r="L106" i="1"/>
  <c r="L111" i="1" s="1"/>
  <c r="L124" i="1" s="1"/>
  <c r="L95" i="1"/>
  <c r="H63" i="1"/>
  <c r="L85" i="1"/>
  <c r="G85" i="1" l="1"/>
  <c r="G95" i="1"/>
  <c r="M77" i="1"/>
  <c r="L96" i="1"/>
  <c r="H77" i="1"/>
  <c r="G96" i="1"/>
  <c r="I55" i="1"/>
  <c r="I60" i="1" l="1"/>
  <c r="H82" i="1"/>
  <c r="H93" i="1" s="1"/>
  <c r="H121" i="1" s="1"/>
  <c r="H88" i="1"/>
  <c r="H120" i="1" s="1"/>
  <c r="M82" i="1"/>
  <c r="M93" i="1" s="1"/>
  <c r="M121" i="1" s="1"/>
  <c r="M88" i="1"/>
  <c r="M120" i="1" s="1"/>
  <c r="M122" i="1" l="1"/>
  <c r="H122" i="1"/>
  <c r="H84" i="1"/>
  <c r="H106" i="1" s="1"/>
  <c r="H111" i="1" s="1"/>
  <c r="H124" i="1" s="1"/>
  <c r="M84" i="1"/>
  <c r="M85" i="1" s="1"/>
  <c r="I63" i="1"/>
  <c r="H85" i="1" l="1"/>
  <c r="H95" i="1"/>
  <c r="N77" i="1"/>
  <c r="M96" i="1"/>
  <c r="I77" i="1"/>
  <c r="H96" i="1"/>
  <c r="M106" i="1"/>
  <c r="M111" i="1" s="1"/>
  <c r="M124" i="1" s="1"/>
  <c r="M95" i="1"/>
  <c r="I82" i="1" l="1"/>
  <c r="I93" i="1" s="1"/>
  <c r="I121" i="1" s="1"/>
  <c r="I88" i="1"/>
  <c r="I120" i="1" s="1"/>
  <c r="N82" i="1"/>
  <c r="N93" i="1" s="1"/>
  <c r="N121" i="1" s="1"/>
  <c r="N88" i="1"/>
  <c r="N120" i="1" s="1"/>
  <c r="N122" i="1" l="1"/>
  <c r="I122" i="1"/>
  <c r="N84" i="1"/>
  <c r="N85" i="1" s="1"/>
  <c r="I84" i="1"/>
  <c r="I85" i="1" s="1"/>
  <c r="I96" i="1" s="1"/>
  <c r="O77" i="1" l="1"/>
  <c r="N96" i="1"/>
  <c r="I106" i="1"/>
  <c r="I111" i="1" s="1"/>
  <c r="I124" i="1" s="1"/>
  <c r="I95" i="1"/>
  <c r="N106" i="1"/>
  <c r="N111" i="1" s="1"/>
  <c r="N124" i="1" s="1"/>
  <c r="N95" i="1"/>
  <c r="O82" i="1" l="1"/>
  <c r="O93" i="1" s="1"/>
  <c r="O121" i="1" s="1"/>
  <c r="O88" i="1"/>
  <c r="O120" i="1" s="1"/>
  <c r="O122" i="1" l="1"/>
  <c r="O84" i="1"/>
  <c r="O106" i="1" l="1"/>
  <c r="O111" i="1" s="1"/>
  <c r="O124" i="1" s="1"/>
  <c r="O95" i="1"/>
  <c r="O85" i="1"/>
  <c r="O9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Cale Maynard</author>
  </authors>
  <commentList>
    <comment ref="D7" authorId="0" shapeId="0" xr:uid="{F249C7F8-199E-4E00-BDB1-1C52AA858401}">
      <text>
        <r>
          <rPr>
            <b/>
            <sz val="9"/>
            <color indexed="81"/>
            <rFont val="Tahoma"/>
            <family val="2"/>
          </rPr>
          <t>initial recognition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<sst xmlns="http://schemas.openxmlformats.org/spreadsheetml/2006/main" count="118" uniqueCount="64">
  <si>
    <t>Risk Adjustment</t>
  </si>
  <si>
    <t>Locked-in Rate</t>
  </si>
  <si>
    <t>Asset Earned Rate</t>
  </si>
  <si>
    <t>Expected Cashflows (Initial Recognition)</t>
  </si>
  <si>
    <t>BOY</t>
  </si>
  <si>
    <t>Premiums</t>
  </si>
  <si>
    <t>Acquisition Commission</t>
  </si>
  <si>
    <t>Renewal Commission</t>
  </si>
  <si>
    <t>Acquisition Expenses Attributable</t>
  </si>
  <si>
    <t>EOY</t>
  </si>
  <si>
    <t>Maintenance Expense Attributable</t>
  </si>
  <si>
    <t>Acquisition Expenses Non-Attributable</t>
  </si>
  <si>
    <t>Maintenance Expense Non-Attributable</t>
  </si>
  <si>
    <t>Claims</t>
  </si>
  <si>
    <t>Total Net CFs</t>
  </si>
  <si>
    <t>Actual Cashflows</t>
  </si>
  <si>
    <t>Expected Risk Adjustment CFs (Initial Recognition)</t>
  </si>
  <si>
    <t>Actual Risk Adjustment CFs</t>
  </si>
  <si>
    <t>Coverage Units Reconciliation</t>
  </si>
  <si>
    <t>Opening</t>
  </si>
  <si>
    <t>Deaths</t>
  </si>
  <si>
    <t>Lapses</t>
  </si>
  <si>
    <t>Closing</t>
  </si>
  <si>
    <t>Liability on Initial Recognition</t>
  </si>
  <si>
    <t>PV Premiums</t>
  </si>
  <si>
    <t>PV Renewal Commission</t>
  </si>
  <si>
    <t>PV Maintenance Expense Attributable</t>
  </si>
  <si>
    <t>PV Claims</t>
  </si>
  <si>
    <t>PV Attributable Acquistion CFs</t>
  </si>
  <si>
    <t>PV Risk Adjustment CFs</t>
  </si>
  <si>
    <t>Total</t>
  </si>
  <si>
    <t>CSM at Initial Recognition</t>
  </si>
  <si>
    <t>Reconciliation of Best Estimate Liabilities (BEL)</t>
  </si>
  <si>
    <t>Changes Related to Future Services: New Business</t>
  </si>
  <si>
    <t>Change Related to Future Services:  Assumptions</t>
  </si>
  <si>
    <t>Expected Cash Inflows</t>
  </si>
  <si>
    <t>Expected Cash Outflows</t>
  </si>
  <si>
    <t>Insurance Finance Expense</t>
  </si>
  <si>
    <t>Changes Related to Current Services: Experience</t>
  </si>
  <si>
    <t>Changes Related to Current Services: Release</t>
  </si>
  <si>
    <t>Reconciliation of Risk Adjustment (RA)</t>
  </si>
  <si>
    <t>Reconciliation of Contractual Service Margin (CSM)</t>
  </si>
  <si>
    <t>Reconciliation of Total Contract Liability</t>
  </si>
  <si>
    <t>Reconciliation of Acquisition Expense Amortization</t>
  </si>
  <si>
    <t>New Acquistion Expense</t>
  </si>
  <si>
    <t>Accretion of Interest</t>
  </si>
  <si>
    <t>Amortized Expense</t>
  </si>
  <si>
    <t>Statement of Profit or Loss</t>
  </si>
  <si>
    <t>Release of CSM</t>
  </si>
  <si>
    <t>Release of Risk Adjustment</t>
  </si>
  <si>
    <t>Expected Claims</t>
  </si>
  <si>
    <t>Expected Expenses</t>
  </si>
  <si>
    <t>Recovery of Acquisition Cash Flows</t>
  </si>
  <si>
    <t>Insurance Service Revenue</t>
  </si>
  <si>
    <t>Claims Incurred</t>
  </si>
  <si>
    <t>Expenses Incurred</t>
  </si>
  <si>
    <t>Amortization of Acquisition Cash Flows</t>
  </si>
  <si>
    <t>Insurance Service Expense</t>
  </si>
  <si>
    <t>Other Expense</t>
  </si>
  <si>
    <t>Investment Income</t>
  </si>
  <si>
    <t>Financial Gain/Loss</t>
  </si>
  <si>
    <t>Profit or Loss</t>
  </si>
  <si>
    <t>Two solutions are provided, as linear amortization of the CSM may be interpreted differently. Any reasonable linear amortization would receive full credit. All 5 years are shown here but only year 1 needs to be calculated for full credit.</t>
  </si>
  <si>
    <t>Given: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</si>
</sst>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.0;\-#,##0.0"/>
    <numFmt numFmtId="166" formatCode="0.0%"/>
    <numFmt numFmtId="167" formatCode="#,##0.0_);\(#,##0.0\)"/>
    <numFmt numFmtId="168" formatCode="#,##0.000_);\(#,##0.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sz val="11"/>
      <color rgb="FF3366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3" borderId="1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6" borderId="0" applyNumberFormat="0" applyBorder="0" applyAlignment="0" applyProtection="0"/>
  </cellStyleXfs>
  <cellXfs count="47">
    <xf numFmtId="0" fontId="0" fillId="0" borderId="0" xfId="0"/>
    <xf numFmtId="37" fontId="6" fillId="0" borderId="0" xfId="5" applyNumberFormat="1" applyFont="1" applyFill="1" applyAlignment="1">
      <alignment horizontal="left"/>
    </xf>
    <xf numFmtId="37" fontId="1" fillId="0" borderId="0" xfId="6" applyNumberFormat="1" applyAlignment="1">
      <alignment horizontal="center"/>
    </xf>
    <xf numFmtId="37" fontId="0" fillId="0" borderId="0" xfId="5" applyNumberFormat="1" applyFont="1" applyFill="1" applyAlignment="1">
      <alignment horizontal="left"/>
    </xf>
    <xf numFmtId="37" fontId="1" fillId="0" borderId="3" xfId="6" applyNumberFormat="1" applyBorder="1" applyAlignment="1">
      <alignment horizontal="center"/>
    </xf>
    <xf numFmtId="37" fontId="1" fillId="0" borderId="4" xfId="6" applyNumberFormat="1" applyBorder="1" applyAlignment="1">
      <alignment horizontal="center"/>
    </xf>
    <xf numFmtId="37" fontId="1" fillId="0" borderId="6" xfId="6" applyNumberFormat="1" applyBorder="1" applyAlignment="1">
      <alignment horizontal="center"/>
    </xf>
    <xf numFmtId="37" fontId="1" fillId="0" borderId="7" xfId="6" applyNumberFormat="1" applyBorder="1" applyAlignment="1">
      <alignment horizontal="center"/>
    </xf>
    <xf numFmtId="37" fontId="1" fillId="0" borderId="8" xfId="6" applyNumberFormat="1" applyBorder="1" applyAlignment="1">
      <alignment horizontal="center"/>
    </xf>
    <xf numFmtId="37" fontId="1" fillId="0" borderId="9" xfId="6" applyNumberFormat="1" applyBorder="1" applyAlignment="1">
      <alignment horizontal="center"/>
    </xf>
    <xf numFmtId="37" fontId="1" fillId="0" borderId="0" xfId="6" applyNumberFormat="1" applyAlignment="1">
      <alignment horizontal="left"/>
    </xf>
    <xf numFmtId="37" fontId="4" fillId="0" borderId="0" xfId="6" applyNumberFormat="1" applyFont="1" applyAlignment="1">
      <alignment horizontal="center"/>
    </xf>
    <xf numFmtId="37" fontId="7" fillId="0" borderId="0" xfId="6" applyNumberFormat="1" applyFont="1" applyAlignment="1">
      <alignment horizontal="center"/>
    </xf>
    <xf numFmtId="37" fontId="1" fillId="0" borderId="2" xfId="6" applyNumberFormat="1" applyBorder="1" applyAlignment="1">
      <alignment horizontal="center"/>
    </xf>
    <xf numFmtId="37" fontId="1" fillId="0" borderId="5" xfId="6" applyNumberFormat="1" applyBorder="1" applyAlignment="1">
      <alignment horizontal="center"/>
    </xf>
    <xf numFmtId="37" fontId="1" fillId="5" borderId="0" xfId="6" applyNumberFormat="1" applyFill="1" applyAlignment="1">
      <alignment horizontal="center"/>
    </xf>
    <xf numFmtId="9" fontId="8" fillId="0" borderId="0" xfId="7" applyFont="1" applyFill="1" applyAlignment="1">
      <alignment horizontal="center"/>
    </xf>
    <xf numFmtId="37" fontId="1" fillId="0" borderId="10" xfId="6" applyNumberFormat="1" applyBorder="1" applyAlignment="1">
      <alignment horizontal="center"/>
    </xf>
    <xf numFmtId="37" fontId="1" fillId="0" borderId="11" xfId="6" applyNumberFormat="1" applyBorder="1" applyAlignment="1">
      <alignment horizontal="center"/>
    </xf>
    <xf numFmtId="37" fontId="1" fillId="0" borderId="12" xfId="6" applyNumberFormat="1" applyBorder="1" applyAlignment="1">
      <alignment horizontal="center"/>
    </xf>
    <xf numFmtId="165" fontId="1" fillId="0" borderId="0" xfId="6" applyNumberFormat="1" applyAlignment="1">
      <alignment horizontal="center"/>
    </xf>
    <xf numFmtId="165" fontId="1" fillId="0" borderId="6" xfId="6" applyNumberFormat="1" applyBorder="1" applyAlignment="1">
      <alignment horizontal="center"/>
    </xf>
    <xf numFmtId="166" fontId="1" fillId="0" borderId="0" xfId="2" applyNumberFormat="1" applyFont="1" applyAlignment="1">
      <alignment horizontal="center"/>
    </xf>
    <xf numFmtId="37" fontId="4" fillId="0" borderId="5" xfId="6" applyNumberFormat="1" applyFont="1" applyBorder="1" applyAlignment="1">
      <alignment horizontal="center"/>
    </xf>
    <xf numFmtId="37" fontId="4" fillId="0" borderId="6" xfId="6" applyNumberFormat="1" applyFont="1" applyBorder="1" applyAlignment="1">
      <alignment horizontal="center"/>
    </xf>
    <xf numFmtId="37" fontId="9" fillId="6" borderId="0" xfId="8" applyNumberFormat="1" applyAlignment="1">
      <alignment horizontal="center"/>
    </xf>
    <xf numFmtId="37" fontId="4" fillId="0" borderId="7" xfId="6" applyNumberFormat="1" applyFont="1" applyBorder="1" applyAlignment="1">
      <alignment horizontal="center"/>
    </xf>
    <xf numFmtId="37" fontId="2" fillId="2" borderId="13" xfId="3" applyNumberFormat="1" applyBorder="1" applyAlignment="1">
      <alignment horizontal="center"/>
    </xf>
    <xf numFmtId="37" fontId="4" fillId="0" borderId="8" xfId="6" applyNumberFormat="1" applyFont="1" applyBorder="1" applyAlignment="1">
      <alignment horizontal="center"/>
    </xf>
    <xf numFmtId="37" fontId="4" fillId="0" borderId="9" xfId="6" applyNumberFormat="1" applyFont="1" applyBorder="1" applyAlignment="1">
      <alignment horizontal="center"/>
    </xf>
    <xf numFmtId="37" fontId="1" fillId="0" borderId="0" xfId="6" applyNumberFormat="1" applyAlignment="1">
      <alignment horizontal="center" wrapText="1"/>
    </xf>
    <xf numFmtId="37" fontId="3" fillId="0" borderId="0" xfId="6" applyNumberFormat="1" applyFont="1" applyAlignment="1">
      <alignment horizontal="center"/>
    </xf>
    <xf numFmtId="9" fontId="10" fillId="0" borderId="0" xfId="7" applyFont="1" applyFill="1" applyAlignment="1">
      <alignment horizontal="center"/>
    </xf>
    <xf numFmtId="9" fontId="0" fillId="0" borderId="0" xfId="7" applyFont="1" applyFill="1" applyAlignment="1">
      <alignment horizontal="center"/>
    </xf>
    <xf numFmtId="167" fontId="1" fillId="0" borderId="0" xfId="6" applyNumberFormat="1" applyAlignment="1">
      <alignment horizontal="center"/>
    </xf>
    <xf numFmtId="168" fontId="1" fillId="0" borderId="0" xfId="6" applyNumberFormat="1" applyAlignment="1">
      <alignment horizontal="center"/>
    </xf>
    <xf numFmtId="37" fontId="8" fillId="0" borderId="0" xfId="6" applyNumberFormat="1" applyFont="1" applyAlignment="1">
      <alignment horizontal="center"/>
    </xf>
    <xf numFmtId="37" fontId="1" fillId="7" borderId="0" xfId="6" applyNumberFormat="1" applyFill="1" applyAlignment="1">
      <alignment horizontal="center"/>
    </xf>
    <xf numFmtId="9" fontId="1" fillId="7" borderId="0" xfId="2" applyFont="1" applyFill="1" applyAlignment="1">
      <alignment horizontal="center"/>
    </xf>
    <xf numFmtId="37" fontId="4" fillId="7" borderId="0" xfId="6" applyNumberFormat="1" applyFont="1" applyFill="1" applyAlignment="1">
      <alignment horizontal="center"/>
    </xf>
    <xf numFmtId="37" fontId="1" fillId="7" borderId="2" xfId="6" applyNumberFormat="1" applyFill="1" applyBorder="1" applyAlignment="1">
      <alignment horizontal="center"/>
    </xf>
    <xf numFmtId="37" fontId="1" fillId="7" borderId="3" xfId="6" applyNumberFormat="1" applyFill="1" applyBorder="1" applyAlignment="1">
      <alignment horizontal="center"/>
    </xf>
    <xf numFmtId="164" fontId="1" fillId="7" borderId="3" xfId="1" applyNumberFormat="1" applyFont="1" applyFill="1" applyBorder="1" applyAlignment="1">
      <alignment horizontal="center"/>
    </xf>
    <xf numFmtId="37" fontId="1" fillId="7" borderId="5" xfId="6" applyNumberFormat="1" applyFill="1" applyBorder="1" applyAlignment="1">
      <alignment horizontal="center"/>
    </xf>
    <xf numFmtId="164" fontId="1" fillId="7" borderId="0" xfId="1" applyNumberFormat="1" applyFont="1" applyFill="1" applyAlignment="1">
      <alignment horizontal="center"/>
    </xf>
    <xf numFmtId="164" fontId="0" fillId="7" borderId="0" xfId="1" applyNumberFormat="1" applyFont="1" applyFill="1"/>
    <xf numFmtId="37" fontId="1" fillId="4" borderId="0" xfId="6" applyNumberFormat="1" applyFill="1" applyAlignment="1">
      <alignment horizontal="center" vertical="top" wrapText="1"/>
    </xf>
  </cellXfs>
  <cellStyles count="9">
    <cellStyle name="Comma" xfId="1" builtinId="3"/>
    <cellStyle name="Comma 11" xfId="5" xr:uid="{DDD71020-6A48-4FC4-80F2-1169A38746B0}"/>
    <cellStyle name="Good" xfId="3" builtinId="26"/>
    <cellStyle name="Good 2" xfId="8" xr:uid="{FBD7B3C7-B21B-4BBC-A757-0A0D9AB2FA69}"/>
    <cellStyle name="Normal" xfId="0" builtinId="0"/>
    <cellStyle name="Normal 8" xfId="6" xr:uid="{1D521466-F450-469E-8907-79AD7788A98E}"/>
    <cellStyle name="Note 2" xfId="4" xr:uid="{71E96259-8549-47D1-90F0-71D7DC71933C}"/>
    <cellStyle name="Percent" xfId="2" builtinId="5"/>
    <cellStyle name="Percent 9" xfId="7" xr:uid="{334896E6-80B2-42F9-AB8A-C8A697508D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M\CFVM\2006Q2\Deterministic%20Scenarios%20New%20v2\CDN%20Deterministic%20Scenarios\YLDCRV7.5%202006Q2%20IF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769372677-my.sharepoint.com/C:/Users/t79bpec/AppData/Local/Temp/notes0AC7F3/SZ-1-2014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fc-my.sharepoint.com/Tweety/SOA%20Exam/2022%20PreReview/MP-01-2023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fc-my.sharepoint.com/personal/zadrapa_mfcgd_com/Documents/H%20Drive/data/Exams/LFV/2023/Model%20Solutions%20Fall/2023%20Master%20Rubric%20LFMC%20Fal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alcBase"/>
      <sheetName val="CalcUp"/>
      <sheetName val="CalcDown"/>
      <sheetName val="OutBase"/>
      <sheetName val="OutUp"/>
      <sheetName val="OutDow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Z-1-2013 (MH)"/>
      <sheetName val="syllabus list"/>
      <sheetName val="SZ-1-2013"/>
      <sheetName val="instructions"/>
    </sheetNames>
    <sheetDataSet>
      <sheetData sheetId="0" refreshError="1">
        <row r="9">
          <cell r="B9" t="str">
            <v>CAN-1</v>
          </cell>
        </row>
      </sheetData>
      <sheetData sheetId="1">
        <row r="128">
          <cell r="C128" t="str">
            <v>Retrieval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yllabus list"/>
      <sheetName val="Qxt_Updated"/>
      <sheetName val="Qxt"/>
      <sheetName val="Part c"/>
    </sheetNames>
    <sheetDataSet>
      <sheetData sheetId="0" refreshError="1"/>
      <sheetData sheetId="1">
        <row r="4">
          <cell r="D4" t="str">
            <v>LO#1 OSFI Guideline E15: Appointed Actuary -  Legal Requirements, Qualification and External Review (Sep 2012)</v>
          </cell>
        </row>
        <row r="123">
          <cell r="C123" t="str">
            <v>Retrieval</v>
          </cell>
        </row>
        <row r="124">
          <cell r="C124" t="str">
            <v>Comprehension</v>
          </cell>
        </row>
        <row r="125">
          <cell r="C125" t="str">
            <v>Analysis</v>
          </cell>
        </row>
        <row r="126">
          <cell r="C126" t="str">
            <v>Knowledge Utilization</v>
          </cell>
        </row>
      </sheetData>
      <sheetData sheetId="2" refreshError="1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instructions"/>
      <sheetName val="syllabus list"/>
      <sheetName val="Fall-Spring Split"/>
      <sheetName val="Summary"/>
      <sheetName val="S1"/>
      <sheetName val="BL-01"/>
      <sheetName val="BL-01 part b"/>
      <sheetName val="DS-01"/>
      <sheetName val="Calc c"/>
      <sheetName val="MB-01"/>
      <sheetName val="Calc MB-01"/>
      <sheetName val="JL-02"/>
      <sheetName val="(c)"/>
      <sheetName val="BL-02"/>
      <sheetName val="Calc BL-02"/>
      <sheetName val="KB-02"/>
      <sheetName val="KB02- part c"/>
      <sheetName val="JL-01"/>
      <sheetName val="MP-01"/>
      <sheetName val="BL-02b"/>
      <sheetName val="Part c (3)"/>
      <sheetName val="PS"/>
      <sheetName val="1"/>
      <sheetName val="2"/>
      <sheetName val="3"/>
      <sheetName val="3(d) Calc"/>
      <sheetName val="part c (2)"/>
      <sheetName val="4"/>
      <sheetName val="4(c) &amp; (d) calc"/>
      <sheetName val="5"/>
      <sheetName val="6"/>
      <sheetName val="6(c) calc"/>
      <sheetName val="F6(c) calc - old1"/>
      <sheetName val="F6(c) Calc - old"/>
      <sheetName val="7"/>
      <sheetName val="7(d) calc"/>
      <sheetName val="8"/>
      <sheetName val="KB-01"/>
      <sheetName val="Part B Calc"/>
      <sheetName val="Solution for Part C"/>
      <sheetName val="Underlying Volatility Calcs"/>
    </sheetNames>
    <sheetDataSet>
      <sheetData sheetId="0"/>
      <sheetData sheetId="1"/>
      <sheetData sheetId="2">
        <row r="4">
          <cell r="D4" t="str">
            <v>LO#1 CIA Draft Educational Note: IFRS 17 – Fair Value of Insurance Contracts, Oct 2021</v>
          </cell>
        </row>
        <row r="5">
          <cell r="D5" t="str">
            <v>LO#1 CIA Draft Explanatory Report: IFRS 17 Expenses, Apr 2021</v>
          </cell>
        </row>
        <row r="6">
          <cell r="D6" t="str">
            <v>LO#1 CIA Educational Note - IFRS 17 Discount Rates for Life and Health Insurance Contracts, Jun 2020</v>
          </cell>
        </row>
        <row r="7">
          <cell r="D7" t="str">
            <v>LO#1 CIA Educational Note: Comparison of IFRS 17 to Current CIA Standard of Practice, Sept 2018</v>
          </cell>
        </row>
        <row r="8">
          <cell r="D8" t="str">
            <v>LO#1 CIA Educational Note: Dividend Determination for Participating Policies, Jan 2014</v>
          </cell>
        </row>
        <row r="9">
          <cell r="D9" t="str">
            <v>LO#1 CIA Educational Note: Expected Mortality: Fully Underwritten Canadian Individual Life Insurance Policies: July 2002 (only sections 100, 200, and 300)</v>
          </cell>
        </row>
        <row r="10">
          <cell r="D10" t="str">
            <v xml:space="preserve">LO#1 CIA Educational Note: Guidance on Fairness Opinions Required Under the Insurance Companies Act Pursuant to Bill C-57 (2005) </v>
          </cell>
        </row>
        <row r="11">
          <cell r="D11" t="str">
            <v>LO#1 CIA Educational Note: IFRS 17 – Coverage Units for Life and Health Insurance Contracts, Dec 2019</v>
          </cell>
        </row>
        <row r="12">
          <cell r="D12" t="str">
            <v>LO#1 CIA Educational Note: IFRS 17 Estimates of Future Cash Flows for Life and Health Insurance Contracts, Sep 2019</v>
          </cell>
        </row>
        <row r="13">
          <cell r="D13" t="str">
            <v>LO#1 CIA Educational Note: IFRS 17 Market Consistent Valuation of Financial Guarantees for Life and Health Insurance Contracts, May 2020</v>
          </cell>
        </row>
        <row r="14">
          <cell r="D14" t="str">
            <v>LO#1 CIA Educational Note: IFRS 17 Measurement and Presentation of Canadian Participating Insurance Contracts, Apr 2021</v>
          </cell>
        </row>
        <row r="15">
          <cell r="D15" t="str">
            <v>LO#1 CIA Educational Note: IFRS 17 Risk Adjustment for Non-Financial Risk for Life and Health Insurance Contracts, Jul 2019</v>
          </cell>
        </row>
        <row r="16">
          <cell r="D16" t="str">
            <v>LO#1 CIA Educational Note: Selective Lapsation for Renewable Term Insurance Products, February 2017</v>
          </cell>
        </row>
        <row r="17">
          <cell r="D17" t="str">
            <v>LO#1 CIA Final Communication of a Promulgation of Prescribed Mortality Improvement Rates (July 2017)</v>
          </cell>
        </row>
        <row r="18">
          <cell r="D18" t="str">
            <v>LO#1 CIA Report - Lapse Experience Study for 10-year Term Insurance, Jan 2014, pp. 6 -32</v>
          </cell>
        </row>
        <row r="19">
          <cell r="D19" t="str">
            <v>LO#1 CIA Research Paper - Lapse Experience under UL Level COI Policies, Sep 2015, pp. 4 - 8</v>
          </cell>
        </row>
        <row r="20">
          <cell r="D20" t="str">
            <v>LO#1 IFRS 17 Insurance Contracts Example (Spreadsheet Model)</v>
          </cell>
        </row>
        <row r="21">
          <cell r="D21" t="str">
            <v>LO#1 LFM-141-18: IFRS 17 Insurance Contracts – IFRS Standards Effects Analysis, May 2017, IASB (sections 1, 2, 4 &amp; 6.1-2 only) - Reduced Page count as per US Exam?</v>
          </cell>
        </row>
        <row r="22">
          <cell r="D22" t="str">
            <v>LO#1 LFM-632-23: OSFI B-3 Sound Reinsurance Practices and Procedures</v>
          </cell>
        </row>
        <row r="23">
          <cell r="D23" t="str">
            <v>LO#1 LFM-634-23: CIA Standards of Practice: Insurance Sections (excluding 2600), Jan 2023</v>
          </cell>
        </row>
        <row r="24">
          <cell r="D24" t="str">
            <v>LO#1 LFM-635-13: Participating Account Management and Disclosure to Participating Policyholders and Adjustable Policyholders</v>
          </cell>
        </row>
        <row r="25">
          <cell r="D25" t="str">
            <v>LO#1 LFM-649-22: International Actuarial Note 100 Application of IFRS 17 (exclude Section C: Chapter 11 and Section D)</v>
          </cell>
        </row>
        <row r="26">
          <cell r="D26" t="str">
            <v>LO#1 LFM-655-21: IFRS Standards Exposure Draft Amendments to IFRS 17, June 2019</v>
          </cell>
        </row>
        <row r="27">
          <cell r="D27" t="str">
            <v>LO#1 LFM-656-21: PwC In transition: The latest on IFRS 17 Implementation, Feb 2020</v>
          </cell>
        </row>
        <row r="28">
          <cell r="D28" t="str">
            <v>LO#1 LFM-657-22: The IFRS 17 Contractual Service Margin: A Life Insurance Perspective (Sections 1-4.7 &amp; 5)</v>
          </cell>
        </row>
        <row r="29">
          <cell r="D29" t="str">
            <v>LO#1 LFM-658-23: Risk Adjustments For Insurance Contracts Under IFRS 17, Chapter 2 “Principles Underlying Risk adjustments”</v>
          </cell>
        </row>
        <row r="30">
          <cell r="D30" t="str">
            <v>LO#1 OSFI Guideline E15: Appointed Actuary -  Legal Requirements, Qualification and External Review (Sep 2012)</v>
          </cell>
        </row>
        <row r="31">
          <cell r="D31" t="str">
            <v>LO#1 Implementation Considerations For VA Market Risk Benefits, Financial Reporter, Sep 2019</v>
          </cell>
        </row>
        <row r="32">
          <cell r="D32" t="str">
            <v>LO#1 LFM-848-22: A Comprehensive Guide – Reinsurance, 2020, (Sections 1, 2, 4, 7, Appendix D)</v>
          </cell>
        </row>
        <row r="33">
          <cell r="D33" t="str">
            <v>LO#1 LFM-856-23: US GAAP for Life Insurers, 2022, Chapter 1:  US GAAP Objectives and their Implications to Insurers</v>
          </cell>
        </row>
        <row r="34">
          <cell r="D34" t="str">
            <v>LO#1 LFM-856-23: US GAAP for Life Insurers, 2022, Chapter 11: Deferred Annuities</v>
          </cell>
        </row>
        <row r="35">
          <cell r="D35" t="str">
            <v>LO#1 LFM-856-23: US GAAP for Life Insurers, 2022, Chapter 12: Annuities Payout</v>
          </cell>
        </row>
        <row r="36">
          <cell r="D36" t="str">
            <v>LO#1 LFM-856-23: US GAAP for Life Insurers, 2022, Chapter 13: Group Pension (only sections 2.3, 3 &amp; 4)</v>
          </cell>
        </row>
        <row r="37">
          <cell r="D37" t="str">
            <v>LO#1 LFM-856-23: US GAAP for Life Insurers, 2022, Chapter 19: Investment Accounting</v>
          </cell>
        </row>
        <row r="38">
          <cell r="D38" t="str">
            <v>LO#1 LFM-856-23: US GAAP for Life Insurers, 2022, Chapter 20: Derivatives and Hedging</v>
          </cell>
        </row>
        <row r="39">
          <cell r="D39" t="str">
            <v>LO#1 LFM-856-23: US GAAP for Life Insurers, 2022, Chapter 3: Product Classification and Measurement</v>
          </cell>
        </row>
        <row r="40">
          <cell r="D40" t="str">
            <v>LO#1 LFM-856-23: US GAAP for Life Insurers, 2022, Chapter 4: Expenses</v>
          </cell>
        </row>
        <row r="41">
          <cell r="D41" t="str">
            <v>LO#1 LFM-856-23: US GAAP for Life Insurers, 2022, Chapter 5: Non-Participating Traditional Life Insurance</v>
          </cell>
        </row>
        <row r="42">
          <cell r="D42" t="str">
            <v>LO#1 LFM-856-23: US GAAP for Life Insurers, 2022, Chapter 6: Participating Traditional Life Insurance</v>
          </cell>
        </row>
        <row r="43">
          <cell r="D43" t="str">
            <v>LO#1 LFM-856-23: US GAAP for Life Insurers, 2022, Chapter 7: Universal Life Insurance (only sections 1, 2, 5-7)</v>
          </cell>
        </row>
        <row r="44">
          <cell r="D44" t="str">
            <v>LO#1 LFM-856-23: US GAAP for Life Insurers, 2022, Chapter 8: Long Duration Accident and Health Insurance Contracts (only sections 2.8.2, 3-5)</v>
          </cell>
        </row>
        <row r="45">
          <cell r="D45" t="str">
            <v>LO#1 Targeted Improvements Interactive Model</v>
          </cell>
        </row>
        <row r="46">
          <cell r="D46" t="str">
            <v>LO#2 Bridging the GAAP: IFRS 17 and LDTI Differences Explored, Financial Reporter, July 2022</v>
          </cell>
        </row>
        <row r="47">
          <cell r="D47" t="str">
            <v>LO#2 LFM-144-20: The Modernization of Insurance Company Solvency Regulation in the US (exclude Sections 7 and 9)</v>
          </cell>
        </row>
        <row r="48">
          <cell r="D48" t="str">
            <v>LO#2 LFM-149-21: Insurance Contracts Accounting Guide, PWC, Oct 2019 (Sections 1.1, 3.5, 5.1-5.4, 5.6; Figures IG 2-1, 2-2)</v>
          </cell>
        </row>
        <row r="49">
          <cell r="D49" t="str">
            <v>LO#2 LFM-650-20: FASB in Focus - Accounting Standards Update No 2018-12:Targeted Improvements to the Accounting for Long-Duration Contracts Issued by Insurance Companies</v>
          </cell>
        </row>
        <row r="50">
          <cell r="D50" t="str">
            <v>LO#2 LFM-143-20: Fundamentals of the Principle-Based Approach to Statutory Reserves for Life Insurance, July 2019</v>
          </cell>
        </row>
        <row r="51">
          <cell r="D51" t="str">
            <v>LO#2 Impacts of AG 48, Financial Reporter, Dec 2015</v>
          </cell>
        </row>
        <row r="52">
          <cell r="D52" t="str">
            <v>LO#2 LFM-822-16: Study Note on Actuarial Guidelines AG 38 &amp; 48 (exclude pages 6 to 8)</v>
          </cell>
        </row>
        <row r="53">
          <cell r="D53" t="str">
            <v>LO#2 PBA Corner, Financial Reporter, Jun 2016</v>
          </cell>
        </row>
        <row r="54">
          <cell r="D54" t="str">
            <v>LO#2 Principle-Based Reserves Interactive Model</v>
          </cell>
        </row>
        <row r="55">
          <cell r="D55" t="str">
            <v>LO#2 Statutory Vauation of Individual Life &amp; Annuity Contracts, 5th Ed, 2018, Chapter 1 – Overview of Valuation Concepts (exclude 1.1-1.9)</v>
          </cell>
        </row>
        <row r="56">
          <cell r="D56" t="str">
            <v>LO#2 Statutory Vauation of Individual Life &amp; Annuity Contracts, 5th Ed, 2018, Chapter 10 – Valuation Assumptions (exclude 10.1.3, 10.3.8)</v>
          </cell>
        </row>
        <row r="57">
          <cell r="D57" t="str">
            <v>LO#2 Statutory Vauation of Individual Life &amp; Annuity Contracts, 5th Ed, 2018, Chapter 11 – Valuation Methodologies (exclude 11.3.9 to 11.3.11)</v>
          </cell>
        </row>
        <row r="58">
          <cell r="D58" t="str">
            <v xml:space="preserve">LO#2 Statutory Vauation of Individual Life &amp; Annuity Contracts, 5th Ed, 2018, Chapter 12 – Whole Life </v>
          </cell>
        </row>
        <row r="59">
          <cell r="D59" t="str">
            <v xml:space="preserve">LO#2 Statutory Vauation of Individual Life &amp; Annuity Contracts, 5th Ed, 2018, Chapter 13 – Term Life Insurance </v>
          </cell>
        </row>
        <row r="60">
          <cell r="D60" t="str">
            <v>LO#2 Statutory Vauation of Individual Life &amp; Annuity Contracts, 5th Ed, 2018, Chapter 14 – Universal Life (exclude 14.4.8, 14.4.9, 14.5.0, 14.6.2-14.6.6)</v>
          </cell>
        </row>
        <row r="61">
          <cell r="D61" t="str">
            <v>LO#2 Statutory Vauation of Individual Life &amp; Annuity Contracts, 5th Ed, 2018, Chapter 16 – Indexed Universal Life (exclude 16.4.2-16.4.3)</v>
          </cell>
        </row>
        <row r="62">
          <cell r="D62" t="str">
            <v>LO#2 Statutory Vauation of Individual Life &amp; Annuity Contracts, 5th Ed, 2018, Chapter 18 – Fixed Deferred  Annuities (exclude 18.7.4, 18.8)</v>
          </cell>
        </row>
        <row r="63">
          <cell r="D63" t="str">
            <v>LO#2 Statutory Vauation of Individual Life &amp; Annuity Contracts, 5th Ed, 2018, Chapter 19 – Variable Deferred Annuities</v>
          </cell>
        </row>
        <row r="64">
          <cell r="D64" t="str">
            <v>LO#2 Statutory Vauation of Individual Life &amp; Annuity Contracts, 5th Ed, 2018, Chapter 2 – Product Classifications (2.2 only)</v>
          </cell>
        </row>
        <row r="65">
          <cell r="D65" t="str">
            <v xml:space="preserve">LO#2 Statutory Vauation of Individual Life &amp; Annuity Contracts, 5th Ed, 2018, Chapter 20 – Indexed Deferred Annuities </v>
          </cell>
        </row>
        <row r="66">
          <cell r="D66" t="str">
            <v xml:space="preserve">LO#2 Statutory Vauation of Individual Life &amp; Annuity Contracts, 5th Ed, 2018, Chapter 21 – Immediate Annuities </v>
          </cell>
        </row>
        <row r="67">
          <cell r="D67" t="str">
            <v>LO#2 Statutory Vauation of Individual Life &amp; Annuity Contracts, 5th Ed, 2018, Chapter 22 – Miscellaneous Reserves (exclude 22.3 to 22.4) </v>
          </cell>
        </row>
        <row r="68">
          <cell r="D68" t="str">
            <v>LO#2 Statutory Vauation of Individual Life &amp; Annuity Contracts, 5th Ed, 2018, Chapter 23 – VM-20: PBR for Life Products (exclude 23.1)</v>
          </cell>
        </row>
        <row r="69">
          <cell r="D69" t="str">
            <v>LO#2 Statutory Vauation of Individual Life &amp; Annuity Contracts, 5th Ed, 2018, Chapter 24 - Addendum for Variable Annuity PBR Updates</v>
          </cell>
        </row>
        <row r="70">
          <cell r="D70" t="str">
            <v>LO#2 Statutory Vauation of Individual Life &amp; Annuity Contracts, 5th Ed, 2018, Chapter 25 - Principle-Based Reserve Report</v>
          </cell>
        </row>
        <row r="71">
          <cell r="D71" t="str">
            <v>LO#2 Statutory Vauation of Individual Life &amp; Annuity Contracts, 5th Ed, 2018, Chapter 3 – NAIC Annual Statement</v>
          </cell>
        </row>
        <row r="72">
          <cell r="D72" t="str">
            <v>LO#2 Statutory Vauation of Individual Life &amp; Annuity Contracts, 5th Ed, 2018, Chapter 4 – Standard Valuation Law</v>
          </cell>
        </row>
        <row r="73">
          <cell r="D73" t="str">
            <v>LO#2 Statutory Vauation of Individual Life &amp; Annuity Contracts, 5th Ed, 2018, Chapter 5 – The Valuation Manual</v>
          </cell>
        </row>
        <row r="74">
          <cell r="D74" t="str">
            <v>LO#3 Canadian Insurance Taxation, 4th Ed, 2015, Chapter 3-6, 9, 10, 11 &amp; 24</v>
          </cell>
        </row>
        <row r="75">
          <cell r="D75" t="str">
            <v>LO#3 CIA Educational Note: Future Income and Alternative Taxes, Dec 2012 (excluding Apeendix D)</v>
          </cell>
        </row>
        <row r="76">
          <cell r="D76" t="str">
            <v xml:space="preserve">LO#3 LFM-845-20: Chapters 1 and 2 of Life Insurance and Modified Endowments Under IRC §7702 and §7702A, Desrochers, 2nd Edition </v>
          </cell>
        </row>
        <row r="77">
          <cell r="D77" t="str">
            <v>LO#3 LFM-846-20: Company Tax – Introductory Study Note</v>
          </cell>
        </row>
        <row r="78">
          <cell r="D78" t="str">
            <v>LO#3 LFM-850-22: Changes to Section 7702 (IRC) and Nonforfeiture Interet Rates</v>
          </cell>
        </row>
        <row r="79">
          <cell r="D79" t="str">
            <v>LO#3 The Tax Cuts and Jobs Act of 2017— Effects on Life Insurers, American Academy of Actuaries, Oct 2020</v>
          </cell>
        </row>
        <row r="80">
          <cell r="D80" t="str">
            <v xml:space="preserve">LO#4 LFM-151-22: IAIS—International Capital Standard, ComFrame, Holistic Framework for Systemic Risk in the Insurance Sector, Sullivan &amp; Cromwell LLP, Dec 2019
Only pages 1-3, 8-28  </v>
          </cell>
        </row>
        <row r="81">
          <cell r="D81" t="str">
            <v>LO#4 LFM-636-20: OSFI Guideline A-4 Internal Target Capital Ratio for Insurance Companies, December 2017</v>
          </cell>
        </row>
        <row r="82">
          <cell r="D82" t="str">
            <v>LO#4 LFM-641-19: OSFI: Own Risk and Solvency Assessment (E-19), December 2017</v>
          </cell>
        </row>
        <row r="83">
          <cell r="D83" t="str">
            <v>LO#4 LFM-645-23: OSFI Guideline – Life Insurance Capital Adequacy Test (LICAT), July 2022, Ch. 1-11 (excluding Sections 4.2-4.4 &amp; 7.3-7.10)</v>
          </cell>
        </row>
        <row r="84">
          <cell r="D84" t="str">
            <v xml:space="preserve">LO#4 A Multi-Stakeholder Approach to Capital Adequacy, Conning Research </v>
          </cell>
        </row>
        <row r="85">
          <cell r="D85" t="str">
            <v>LO#4 Economic Capital for life Insurance Companies, SOA Research paper, Oct 2016 (exclude sections 5 and 7)</v>
          </cell>
        </row>
        <row r="86">
          <cell r="D86" t="str">
            <v>LO#4 LFM-148-20: The Theory of Risk Capital in Financial Firms</v>
          </cell>
        </row>
        <row r="87">
          <cell r="D87" t="str">
            <v>LO#4 ASOP 55 – Capital Adequacy Assessment, Section 3 and Appendix 1</v>
          </cell>
        </row>
        <row r="88">
          <cell r="D88" t="str">
            <v>LO#4 LFM-136-16: Chapter 11 of Life Insurance Products and Finance, Atkinson &amp; Dallas, pp. 499-502</v>
          </cell>
        </row>
        <row r="89">
          <cell r="D89" t="str">
            <v>LO#4 LFM-813-13: U.S. Insurance Regulation Solvency Framework and Current Topics</v>
          </cell>
        </row>
        <row r="90">
          <cell r="D90" t="str">
            <v xml:space="preserve">LO#4 LFM-852-22: Group Capital Calculation: Public Summary, National Association of Insurance Commissioners,  Dec 2020  </v>
          </cell>
        </row>
        <row r="91">
          <cell r="D91" t="str">
            <v>LO#4 LFM-853-22: Group Capital Calculation: Pictorial, National Association of Insurance Commissioners, Dec 2020</v>
          </cell>
        </row>
        <row r="92">
          <cell r="D92" t="str">
            <v>LO#4 LFM-854-22: NAIC Own Risk and Solvency Assessment (ORSA) Guidance Manual, National Association of Insurance Commissioners, Dec 2017</v>
          </cell>
        </row>
        <row r="93">
          <cell r="D93" t="str">
            <v>LO#4 Statutory Vauation of Individual Life &amp; Annuity Contracts, 5th Ed, 2018, Chapter 29 – Risk-Based Capital</v>
          </cell>
        </row>
        <row r="94">
          <cell r="D94" t="str">
            <v>LO#5 CIA: Sources of Earning: Determination and Disclosure, Aug 2004</v>
          </cell>
        </row>
        <row r="95">
          <cell r="D95" t="str">
            <v>LO#5 LFM-601-13: OSFI Guideline D-9: Sources of Earnings Disclosure (Life Insurance Companies)</v>
          </cell>
        </row>
        <row r="96">
          <cell r="D96" t="str">
            <v xml:space="preserve">LO#5 Embedded Value: Practice and Theory, SOA, Actuarial Practice Forum, March 2009 </v>
          </cell>
        </row>
        <row r="97">
          <cell r="D97" t="str">
            <v xml:space="preserve">LO#5 LFM-106-07: Insurance Industry Mergers and Acquisitions, Chapter 4 (Sections 4.1-4.6) </v>
          </cell>
        </row>
        <row r="98">
          <cell r="D98" t="str">
            <v xml:space="preserve">LO#5 LFM-138-16: Prudential Financial - Stockholder's Equity and Operating Leverage, HBR, 2008  </v>
          </cell>
        </row>
        <row r="99">
          <cell r="D99" t="str">
            <v>LO#5 LFM-152-22: Introduction to Source of Earnings Analysis (excluding Appendices)</v>
          </cell>
        </row>
        <row r="100">
          <cell r="D100" t="str">
            <v>LO#5 Statutory Vauation of Individual Life &amp; Annuity Contracts, 5th Ed, 2018, Chapter 19 – Variable Deferred Annuities, Section 19.4</v>
          </cell>
        </row>
        <row r="101">
          <cell r="D101" t="str">
            <v>LO#6 Bridging the GAAP: IFRS 17 and LDTI Differences Explored, Financial Reporter, July 2022</v>
          </cell>
        </row>
        <row r="102">
          <cell r="D102" t="str">
            <v>LO#6 LFM-141-18: IFRS 17 Insurance Contracts – IFRS Standards Effects Analysis, May 2017, IASB (sections 1, 2, 4 &amp; 6.1-2 only) - Reduced Page count as per US Exam?</v>
          </cell>
        </row>
        <row r="103">
          <cell r="D103" t="str">
            <v>LO#6 LFM-144-20: The Modernization of Insurance Company Solvency Regulation in the US (exclude Sections 7 and 9)</v>
          </cell>
        </row>
        <row r="104">
          <cell r="D104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05">
          <cell r="D105" t="str">
            <v>LO#6 LFM-847-20: Life Insurance Regulatory Framework, OSFI, 2012</v>
          </cell>
        </row>
        <row r="106">
          <cell r="D106" t="str">
            <v>LO#6 LFM-851-23: OSFI Guideline – Life Insurance Capital Adequacy Test (LICAT), July 2022, Only Ch. 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4821-A975-4DB5-A64F-1BCF557F5E61}">
  <sheetPr>
    <pageSetUpPr autoPageBreaks="0"/>
  </sheetPr>
  <dimension ref="A2:Q166"/>
  <sheetViews>
    <sheetView tabSelected="1" zoomScale="80" zoomScaleNormal="80" workbookViewId="0">
      <selection activeCell="G5" sqref="G5"/>
    </sheetView>
  </sheetViews>
  <sheetFormatPr defaultColWidth="9.109375" defaultRowHeight="14.4" x14ac:dyDescent="0.3"/>
  <cols>
    <col min="1" max="1" width="5.5546875" style="2" customWidth="1"/>
    <col min="2" max="2" width="53.33203125" style="2" customWidth="1"/>
    <col min="3" max="3" width="1.33203125" style="2" customWidth="1"/>
    <col min="4" max="4" width="10.109375" style="2" customWidth="1"/>
    <col min="5" max="9" width="11.88671875" style="2" bestFit="1" customWidth="1"/>
    <col min="10" max="10" width="9.109375" style="2"/>
    <col min="11" max="11" width="9.5546875" style="2" bestFit="1" customWidth="1"/>
    <col min="12" max="15" width="11.44140625" style="2" customWidth="1"/>
    <col min="16" max="16384" width="9.109375" style="2"/>
  </cols>
  <sheetData>
    <row r="2" spans="1:16" ht="15.75" customHeight="1" x14ac:dyDescent="0.3">
      <c r="A2" s="1"/>
      <c r="B2" s="39" t="s">
        <v>63</v>
      </c>
      <c r="G2" s="46" t="s">
        <v>62</v>
      </c>
      <c r="H2" s="46"/>
      <c r="I2" s="46"/>
      <c r="J2" s="46"/>
      <c r="K2" s="46"/>
      <c r="L2" s="46"/>
      <c r="M2" s="46"/>
      <c r="N2" s="46"/>
      <c r="O2" s="46"/>
    </row>
    <row r="3" spans="1:16" x14ac:dyDescent="0.3">
      <c r="G3" s="46"/>
      <c r="H3" s="46"/>
      <c r="I3" s="46"/>
      <c r="J3" s="46"/>
      <c r="K3" s="46"/>
      <c r="L3" s="46"/>
      <c r="M3" s="46"/>
      <c r="N3" s="46"/>
      <c r="O3" s="46"/>
    </row>
    <row r="4" spans="1:16" x14ac:dyDescent="0.3">
      <c r="B4" s="37" t="s">
        <v>0</v>
      </c>
      <c r="C4" s="37"/>
      <c r="D4" s="38">
        <v>0.1</v>
      </c>
      <c r="G4" s="46"/>
      <c r="H4" s="46"/>
      <c r="I4" s="46"/>
      <c r="J4" s="46"/>
      <c r="K4" s="46"/>
      <c r="L4" s="46"/>
      <c r="M4" s="46"/>
      <c r="N4" s="46"/>
      <c r="O4" s="46"/>
    </row>
    <row r="5" spans="1:16" x14ac:dyDescent="0.3">
      <c r="B5" s="37" t="s">
        <v>1</v>
      </c>
      <c r="C5" s="37"/>
      <c r="D5" s="38">
        <v>0.05</v>
      </c>
    </row>
    <row r="6" spans="1:16" x14ac:dyDescent="0.3">
      <c r="B6" s="37" t="s">
        <v>2</v>
      </c>
      <c r="C6" s="37"/>
      <c r="D6" s="38">
        <v>0.06</v>
      </c>
    </row>
    <row r="7" spans="1:16" x14ac:dyDescent="0.3">
      <c r="B7" s="37"/>
      <c r="C7" s="37"/>
      <c r="D7" s="37">
        <v>0</v>
      </c>
      <c r="E7" s="37">
        <v>1</v>
      </c>
      <c r="F7" s="37">
        <f>E7+1</f>
        <v>2</v>
      </c>
      <c r="G7" s="37">
        <f>F7+1</f>
        <v>3</v>
      </c>
      <c r="H7" s="37">
        <f>G7+1</f>
        <v>4</v>
      </c>
      <c r="I7" s="37">
        <f>H7+1</f>
        <v>5</v>
      </c>
      <c r="K7" s="2">
        <v>1</v>
      </c>
      <c r="L7" s="2">
        <f>K7+1</f>
        <v>2</v>
      </c>
      <c r="M7" s="2">
        <f>L7+1</f>
        <v>3</v>
      </c>
      <c r="N7" s="2">
        <f>M7+1</f>
        <v>4</v>
      </c>
      <c r="O7" s="2">
        <f>N7+1</f>
        <v>5</v>
      </c>
    </row>
    <row r="8" spans="1:16" x14ac:dyDescent="0.3">
      <c r="B8" s="37"/>
      <c r="C8" s="37"/>
      <c r="D8" s="37"/>
      <c r="E8" s="37"/>
      <c r="F8" s="37"/>
      <c r="G8" s="37"/>
      <c r="H8" s="37"/>
      <c r="I8" s="37"/>
    </row>
    <row r="9" spans="1:16" x14ac:dyDescent="0.3">
      <c r="B9" s="39" t="s">
        <v>3</v>
      </c>
      <c r="C9" s="37"/>
      <c r="D9" s="37"/>
      <c r="E9" s="37"/>
      <c r="F9" s="37"/>
      <c r="G9" s="37"/>
      <c r="H9" s="37"/>
      <c r="I9" s="37"/>
    </row>
    <row r="10" spans="1:16" x14ac:dyDescent="0.3">
      <c r="A10" s="2" t="s">
        <v>4</v>
      </c>
      <c r="B10" s="40" t="s">
        <v>5</v>
      </c>
      <c r="C10" s="41"/>
      <c r="D10" s="41"/>
      <c r="E10" s="42">
        <v>295000</v>
      </c>
      <c r="F10" s="42">
        <v>280191</v>
      </c>
      <c r="G10" s="42">
        <v>266125</v>
      </c>
      <c r="H10" s="42">
        <v>252753</v>
      </c>
      <c r="I10" s="42">
        <v>240052</v>
      </c>
      <c r="J10" s="4"/>
      <c r="K10" s="4"/>
      <c r="L10" s="4"/>
      <c r="M10" s="4"/>
      <c r="N10" s="4"/>
      <c r="O10" s="4"/>
      <c r="P10" s="5"/>
    </row>
    <row r="11" spans="1:16" x14ac:dyDescent="0.3">
      <c r="B11" s="43" t="s">
        <v>6</v>
      </c>
      <c r="C11" s="37"/>
      <c r="D11" s="37"/>
      <c r="E11" s="44"/>
      <c r="F11" s="44"/>
      <c r="G11" s="44"/>
      <c r="H11" s="44"/>
      <c r="I11" s="44"/>
      <c r="P11" s="6"/>
    </row>
    <row r="12" spans="1:16" x14ac:dyDescent="0.3">
      <c r="B12" s="43" t="s">
        <v>7</v>
      </c>
      <c r="C12" s="37"/>
      <c r="D12" s="37"/>
      <c r="E12" s="44"/>
      <c r="F12" s="44"/>
      <c r="G12" s="44"/>
      <c r="H12" s="44"/>
      <c r="I12" s="44"/>
      <c r="P12" s="6"/>
    </row>
    <row r="13" spans="1:16" x14ac:dyDescent="0.3">
      <c r="A13" s="2" t="s">
        <v>4</v>
      </c>
      <c r="B13" s="43" t="s">
        <v>8</v>
      </c>
      <c r="C13" s="37"/>
      <c r="D13" s="37"/>
      <c r="E13" s="44">
        <v>-250000</v>
      </c>
      <c r="F13" s="44"/>
      <c r="G13" s="44"/>
      <c r="H13" s="44"/>
      <c r="I13" s="44"/>
      <c r="P13" s="6"/>
    </row>
    <row r="14" spans="1:16" x14ac:dyDescent="0.3">
      <c r="A14" s="2" t="s">
        <v>9</v>
      </c>
      <c r="B14" s="43" t="s">
        <v>10</v>
      </c>
      <c r="C14" s="37"/>
      <c r="D14" s="37"/>
      <c r="E14" s="44">
        <v>-41000</v>
      </c>
      <c r="F14" s="44">
        <v>-47490</v>
      </c>
      <c r="G14" s="44">
        <v>-45106</v>
      </c>
      <c r="H14" s="44">
        <v>-42839</v>
      </c>
      <c r="I14" s="44">
        <v>-40687</v>
      </c>
      <c r="P14" s="6"/>
    </row>
    <row r="15" spans="1:16" x14ac:dyDescent="0.3">
      <c r="B15" s="43" t="s">
        <v>11</v>
      </c>
      <c r="C15" s="37"/>
      <c r="D15" s="37"/>
      <c r="E15" s="44"/>
      <c r="F15" s="44"/>
      <c r="G15" s="44"/>
      <c r="H15" s="44"/>
      <c r="I15" s="44"/>
      <c r="P15" s="6"/>
    </row>
    <row r="16" spans="1:16" x14ac:dyDescent="0.3">
      <c r="B16" s="43" t="s">
        <v>12</v>
      </c>
      <c r="C16" s="37"/>
      <c r="D16" s="37"/>
      <c r="E16" s="44"/>
      <c r="F16" s="44"/>
      <c r="G16" s="44"/>
      <c r="H16" s="44"/>
      <c r="I16" s="44"/>
      <c r="P16" s="6"/>
    </row>
    <row r="17" spans="1:16" x14ac:dyDescent="0.3">
      <c r="A17" s="2" t="s">
        <v>9</v>
      </c>
      <c r="B17" s="43" t="s">
        <v>13</v>
      </c>
      <c r="C17" s="37"/>
      <c r="D17" s="37"/>
      <c r="E17" s="45">
        <v>-60000</v>
      </c>
      <c r="F17" s="45">
        <v>-56988</v>
      </c>
      <c r="G17" s="45">
        <v>-67659</v>
      </c>
      <c r="H17" s="45">
        <v>-64259</v>
      </c>
      <c r="I17" s="45">
        <v>-73236</v>
      </c>
      <c r="P17" s="6"/>
    </row>
    <row r="18" spans="1:16" x14ac:dyDescent="0.3">
      <c r="B18" s="7" t="s">
        <v>14</v>
      </c>
      <c r="C18" s="8"/>
      <c r="D18" s="8"/>
      <c r="E18" s="8">
        <f>SUM(E10:E17)</f>
        <v>-56000</v>
      </c>
      <c r="F18" s="8">
        <f>SUM(F10:F17)</f>
        <v>175713</v>
      </c>
      <c r="G18" s="8">
        <f>SUM(G10:G17)</f>
        <v>153360</v>
      </c>
      <c r="H18" s="8">
        <f>SUM(H10:H17)</f>
        <v>145655</v>
      </c>
      <c r="I18" s="8">
        <f>SUM(I10:I17)</f>
        <v>126129</v>
      </c>
      <c r="J18" s="8"/>
      <c r="K18" s="8"/>
      <c r="L18" s="8"/>
      <c r="M18" s="8"/>
      <c r="N18" s="8"/>
      <c r="O18" s="8"/>
      <c r="P18" s="9"/>
    </row>
    <row r="20" spans="1:16" x14ac:dyDescent="0.3">
      <c r="B20" s="11" t="s">
        <v>15</v>
      </c>
    </row>
    <row r="21" spans="1:16" x14ac:dyDescent="0.3">
      <c r="A21" s="2" t="s">
        <v>4</v>
      </c>
      <c r="B21" s="13" t="s">
        <v>5</v>
      </c>
      <c r="C21" s="4"/>
      <c r="D21" s="4"/>
      <c r="E21" s="4">
        <f>E10</f>
        <v>295000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</row>
    <row r="22" spans="1:16" x14ac:dyDescent="0.3">
      <c r="B22" s="14" t="s">
        <v>6</v>
      </c>
      <c r="E22" s="2">
        <f>E11</f>
        <v>0</v>
      </c>
      <c r="P22" s="6"/>
    </row>
    <row r="23" spans="1:16" x14ac:dyDescent="0.3">
      <c r="B23" s="14" t="s">
        <v>7</v>
      </c>
      <c r="E23" s="2">
        <f>E12</f>
        <v>0</v>
      </c>
      <c r="P23" s="6"/>
    </row>
    <row r="24" spans="1:16" x14ac:dyDescent="0.3">
      <c r="A24" s="2" t="s">
        <v>4</v>
      </c>
      <c r="B24" s="14" t="s">
        <v>8</v>
      </c>
      <c r="E24" s="2">
        <f>E13</f>
        <v>-250000</v>
      </c>
      <c r="P24" s="6"/>
    </row>
    <row r="25" spans="1:16" x14ac:dyDescent="0.3">
      <c r="A25" s="2" t="s">
        <v>9</v>
      </c>
      <c r="B25" s="14" t="s">
        <v>10</v>
      </c>
      <c r="E25" s="15">
        <f>E14*0.95</f>
        <v>-38950</v>
      </c>
      <c r="P25" s="6"/>
    </row>
    <row r="26" spans="1:16" x14ac:dyDescent="0.3">
      <c r="B26" s="14" t="s">
        <v>11</v>
      </c>
      <c r="E26" s="2">
        <f>E15</f>
        <v>0</v>
      </c>
      <c r="P26" s="6"/>
    </row>
    <row r="27" spans="1:16" x14ac:dyDescent="0.3">
      <c r="B27" s="14" t="s">
        <v>12</v>
      </c>
      <c r="E27" s="2">
        <f>E16</f>
        <v>0</v>
      </c>
      <c r="P27" s="6"/>
    </row>
    <row r="28" spans="1:16" x14ac:dyDescent="0.3">
      <c r="A28" s="2" t="s">
        <v>9</v>
      </c>
      <c r="B28" s="14" t="s">
        <v>13</v>
      </c>
      <c r="E28" s="15">
        <f>E17*1.1</f>
        <v>-66000</v>
      </c>
      <c r="P28" s="6"/>
    </row>
    <row r="29" spans="1:16" x14ac:dyDescent="0.3">
      <c r="B29" s="7" t="s">
        <v>14</v>
      </c>
      <c r="C29" s="8"/>
      <c r="D29" s="8"/>
      <c r="E29" s="8">
        <f>SUM(E21:E28)</f>
        <v>-59950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  <row r="31" spans="1:16" x14ac:dyDescent="0.3">
      <c r="B31" s="11" t="s">
        <v>16</v>
      </c>
    </row>
    <row r="32" spans="1:16" x14ac:dyDescent="0.3">
      <c r="A32" s="16"/>
      <c r="B32" s="17" t="s">
        <v>13</v>
      </c>
      <c r="C32" s="18"/>
      <c r="D32" s="18"/>
      <c r="E32" s="18">
        <f>E17*$D$4</f>
        <v>-6000</v>
      </c>
      <c r="F32" s="18">
        <f>F17*$D$4</f>
        <v>-5698.8</v>
      </c>
      <c r="G32" s="18">
        <f>G17*$D$4</f>
        <v>-6765.9000000000005</v>
      </c>
      <c r="H32" s="18">
        <f>H17*$D$4</f>
        <v>-6425.9000000000005</v>
      </c>
      <c r="I32" s="18">
        <f>I17*$D$4</f>
        <v>-7323.6</v>
      </c>
      <c r="J32" s="18"/>
      <c r="K32" s="18"/>
      <c r="L32" s="18"/>
      <c r="M32" s="18"/>
      <c r="N32" s="18"/>
      <c r="O32" s="18"/>
      <c r="P32" s="19"/>
    </row>
    <row r="33" spans="1:17" x14ac:dyDescent="0.3">
      <c r="A33" s="16"/>
    </row>
    <row r="34" spans="1:17" x14ac:dyDescent="0.3">
      <c r="A34" s="16"/>
      <c r="B34" s="11" t="s">
        <v>17</v>
      </c>
    </row>
    <row r="35" spans="1:17" x14ac:dyDescent="0.3">
      <c r="A35" s="16"/>
      <c r="B35" s="17" t="s">
        <v>13</v>
      </c>
      <c r="C35" s="18"/>
      <c r="D35" s="18"/>
      <c r="E35" s="18">
        <f>E32</f>
        <v>-6000</v>
      </c>
      <c r="F35" s="18">
        <f>F32</f>
        <v>-5698.8</v>
      </c>
      <c r="G35" s="18">
        <f>G32</f>
        <v>-6765.9000000000005</v>
      </c>
      <c r="H35" s="18">
        <f>H32</f>
        <v>-6425.9000000000005</v>
      </c>
      <c r="I35" s="18">
        <f>I32</f>
        <v>-7323.6</v>
      </c>
      <c r="J35" s="18"/>
      <c r="K35" s="18"/>
      <c r="L35" s="18"/>
      <c r="M35" s="18"/>
      <c r="N35" s="18"/>
      <c r="O35" s="18"/>
      <c r="P35" s="19"/>
    </row>
    <row r="37" spans="1:17" x14ac:dyDescent="0.3">
      <c r="B37" s="11" t="s">
        <v>18</v>
      </c>
    </row>
    <row r="38" spans="1:17" x14ac:dyDescent="0.3">
      <c r="B38" s="13" t="s">
        <v>19</v>
      </c>
      <c r="C38" s="4"/>
      <c r="D38" s="4"/>
      <c r="E38" s="4">
        <v>500</v>
      </c>
      <c r="F38" s="4">
        <f>E41</f>
        <v>400</v>
      </c>
      <c r="G38" s="4">
        <f>F41</f>
        <v>300</v>
      </c>
      <c r="H38" s="4">
        <f>G41</f>
        <v>200</v>
      </c>
      <c r="I38" s="4">
        <f>H41</f>
        <v>100</v>
      </c>
      <c r="J38" s="4"/>
      <c r="K38" s="4"/>
      <c r="L38" s="4"/>
      <c r="M38" s="4"/>
      <c r="N38" s="4"/>
      <c r="O38" s="4"/>
      <c r="P38" s="5"/>
    </row>
    <row r="39" spans="1:17" x14ac:dyDescent="0.3">
      <c r="B39" s="14" t="s">
        <v>20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/>
      <c r="Q39" s="20"/>
    </row>
    <row r="40" spans="1:17" x14ac:dyDescent="0.3">
      <c r="B40" s="14" t="s">
        <v>21</v>
      </c>
      <c r="P40" s="6"/>
    </row>
    <row r="41" spans="1:17" x14ac:dyDescent="0.3">
      <c r="B41" s="7" t="s">
        <v>22</v>
      </c>
      <c r="C41" s="8"/>
      <c r="D41" s="8"/>
      <c r="E41" s="8">
        <v>400</v>
      </c>
      <c r="F41" s="8">
        <v>300</v>
      </c>
      <c r="G41" s="8">
        <v>200</v>
      </c>
      <c r="H41" s="8">
        <v>100</v>
      </c>
      <c r="I41" s="8">
        <v>0</v>
      </c>
      <c r="J41" s="8"/>
      <c r="K41" s="8"/>
      <c r="L41" s="8"/>
      <c r="M41" s="8"/>
      <c r="N41" s="8"/>
      <c r="O41" s="8"/>
      <c r="P41" s="9"/>
    </row>
    <row r="42" spans="1:17" x14ac:dyDescent="0.3">
      <c r="E42" s="22">
        <f>E38/SUM(E38:$I$38)</f>
        <v>0.33333333333333331</v>
      </c>
      <c r="F42" s="22">
        <f>F38/SUM(F38:$I$38)</f>
        <v>0.4</v>
      </c>
      <c r="G42" s="22">
        <f>G38/SUM(G38:$I$38)</f>
        <v>0.5</v>
      </c>
      <c r="H42" s="22">
        <f>H38/SUM(H38:$I$38)</f>
        <v>0.66666666666666663</v>
      </c>
      <c r="I42" s="22">
        <f>I38/SUM(I38:$I$38)</f>
        <v>1</v>
      </c>
    </row>
    <row r="43" spans="1:17" x14ac:dyDescent="0.3">
      <c r="B43" s="11" t="s">
        <v>23</v>
      </c>
      <c r="E43" s="22"/>
      <c r="F43" s="22"/>
      <c r="G43" s="22"/>
      <c r="H43" s="22"/>
      <c r="I43" s="22"/>
    </row>
    <row r="44" spans="1:17" x14ac:dyDescent="0.3">
      <c r="A44" s="2" t="s">
        <v>4</v>
      </c>
      <c r="B44" s="13" t="s">
        <v>24</v>
      </c>
      <c r="C44" s="4"/>
      <c r="D44" s="5">
        <f>E10+NPV($D$5,'6(c)'!F10:I10)</f>
        <v>1219060.7104035867</v>
      </c>
    </row>
    <row r="45" spans="1:17" x14ac:dyDescent="0.3">
      <c r="B45" s="14" t="s">
        <v>25</v>
      </c>
      <c r="D45" s="6"/>
    </row>
    <row r="46" spans="1:17" x14ac:dyDescent="0.3">
      <c r="A46" s="2" t="s">
        <v>9</v>
      </c>
      <c r="B46" s="14" t="s">
        <v>26</v>
      </c>
      <c r="D46" s="6">
        <f>NPV($D$5,E14:I14)</f>
        <v>-188209.78815166416</v>
      </c>
    </row>
    <row r="47" spans="1:17" x14ac:dyDescent="0.3">
      <c r="A47" s="2" t="s">
        <v>9</v>
      </c>
      <c r="B47" s="14" t="s">
        <v>27</v>
      </c>
      <c r="D47" s="6">
        <f>NPV($D$5,E17:I17)</f>
        <v>-277527.40179540118</v>
      </c>
    </row>
    <row r="48" spans="1:17" x14ac:dyDescent="0.3">
      <c r="A48" s="2" t="s">
        <v>4</v>
      </c>
      <c r="B48" s="14" t="s">
        <v>28</v>
      </c>
      <c r="D48" s="6">
        <f>E13</f>
        <v>-250000</v>
      </c>
    </row>
    <row r="49" spans="2:16" x14ac:dyDescent="0.3">
      <c r="B49" s="7" t="s">
        <v>29</v>
      </c>
      <c r="C49" s="8"/>
      <c r="D49" s="9">
        <f>NPV(D5,E32:I32)</f>
        <v>-27752.740179540124</v>
      </c>
    </row>
    <row r="50" spans="2:16" x14ac:dyDescent="0.3">
      <c r="B50" s="23" t="s">
        <v>30</v>
      </c>
      <c r="C50" s="11"/>
      <c r="D50" s="24">
        <f>SUM(D44:D49)</f>
        <v>475570.78027698118</v>
      </c>
    </row>
    <row r="51" spans="2:16" x14ac:dyDescent="0.3">
      <c r="B51" s="14" t="s">
        <v>31</v>
      </c>
      <c r="D51" s="6">
        <f>MAX(0,D50)</f>
        <v>475570.78027698118</v>
      </c>
    </row>
    <row r="52" spans="2:16" x14ac:dyDescent="0.3">
      <c r="B52" s="7" t="s">
        <v>23</v>
      </c>
      <c r="C52" s="8"/>
      <c r="D52" s="9">
        <f>-D50+D51</f>
        <v>0</v>
      </c>
    </row>
    <row r="54" spans="2:16" x14ac:dyDescent="0.3">
      <c r="B54" s="11" t="s">
        <v>32</v>
      </c>
    </row>
    <row r="55" spans="2:16" x14ac:dyDescent="0.3">
      <c r="B55" s="13" t="s">
        <v>19</v>
      </c>
      <c r="C55" s="4"/>
      <c r="D55" s="4"/>
      <c r="E55" s="4">
        <v>0</v>
      </c>
      <c r="F55" s="4">
        <f>E63</f>
        <v>-582239.69647934742</v>
      </c>
      <c r="G55" s="4">
        <f>F63</f>
        <v>-421629.13130331482</v>
      </c>
      <c r="H55" s="4">
        <f>G63</f>
        <v>-276044.33786848054</v>
      </c>
      <c r="I55" s="4">
        <f>H63</f>
        <v>-131553.90476190456</v>
      </c>
      <c r="J55" s="4"/>
      <c r="K55" s="4"/>
      <c r="L55" s="4"/>
      <c r="M55" s="4"/>
      <c r="N55" s="4"/>
      <c r="O55" s="4"/>
      <c r="P55" s="5"/>
    </row>
    <row r="56" spans="2:16" x14ac:dyDescent="0.3">
      <c r="B56" s="14" t="s">
        <v>33</v>
      </c>
      <c r="E56" s="2">
        <f>SUM(D44:D48)*-1</f>
        <v>-503323.52045652131</v>
      </c>
      <c r="F56" s="2">
        <v>0</v>
      </c>
      <c r="G56" s="2">
        <v>0</v>
      </c>
      <c r="H56" s="2">
        <v>0</v>
      </c>
      <c r="I56" s="2">
        <v>0</v>
      </c>
      <c r="P56" s="6"/>
    </row>
    <row r="57" spans="2:16" x14ac:dyDescent="0.3">
      <c r="B57" s="14" t="s">
        <v>34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P57" s="6"/>
    </row>
    <row r="58" spans="2:16" x14ac:dyDescent="0.3">
      <c r="B58" s="14" t="s">
        <v>35</v>
      </c>
      <c r="E58" s="2">
        <f>E10</f>
        <v>295000</v>
      </c>
      <c r="F58" s="2">
        <f>F10</f>
        <v>280191</v>
      </c>
      <c r="G58" s="2">
        <f>G10</f>
        <v>266125</v>
      </c>
      <c r="H58" s="2">
        <f>H10</f>
        <v>252753</v>
      </c>
      <c r="I58" s="2">
        <f>I10</f>
        <v>240052</v>
      </c>
      <c r="P58" s="6"/>
    </row>
    <row r="59" spans="2:16" x14ac:dyDescent="0.3">
      <c r="B59" s="14" t="s">
        <v>36</v>
      </c>
      <c r="E59" s="2">
        <f>SUM(E11:E14,E17)</f>
        <v>-351000</v>
      </c>
      <c r="F59" s="2">
        <f>SUM(F11:F14,F17)</f>
        <v>-104478</v>
      </c>
      <c r="G59" s="2">
        <f>SUM(G11:G14,G17)</f>
        <v>-112765</v>
      </c>
      <c r="H59" s="2">
        <f>SUM(H11:H14,H17)</f>
        <v>-107098</v>
      </c>
      <c r="I59" s="2">
        <f>SUM(I11:I14,I17)</f>
        <v>-113923</v>
      </c>
      <c r="P59" s="6"/>
    </row>
    <row r="60" spans="2:16" x14ac:dyDescent="0.3">
      <c r="B60" s="14" t="s">
        <v>37</v>
      </c>
      <c r="E60" s="2">
        <f>(E55+E56)*$D$5+SUM(E10:E13)*$D$5</f>
        <v>-22916.176022826068</v>
      </c>
      <c r="F60" s="2">
        <f>(F55+F56)*$D$5+SUM(F10:F13)*$D$5</f>
        <v>-15102.434823967373</v>
      </c>
      <c r="G60" s="2">
        <f>(G55+G56)*$D$5+SUM(G10:G13)*$D$5</f>
        <v>-7775.2065651657431</v>
      </c>
      <c r="H60" s="2">
        <f>(H55+H56)*$D$5+SUM(H10:H13)*$D$5</f>
        <v>-1164.5668934240257</v>
      </c>
      <c r="I60" s="2">
        <f>(I55+I56)*$D$5+SUM(I10:I13)*$D$5</f>
        <v>5424.9047619047724</v>
      </c>
      <c r="P60" s="6"/>
    </row>
    <row r="61" spans="2:16" x14ac:dyDescent="0.3">
      <c r="B61" s="14" t="s">
        <v>38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P61" s="6"/>
    </row>
    <row r="62" spans="2:16" x14ac:dyDescent="0.3">
      <c r="B62" s="14" t="s">
        <v>39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P62" s="6"/>
    </row>
    <row r="63" spans="2:16" x14ac:dyDescent="0.3">
      <c r="B63" s="7" t="s">
        <v>22</v>
      </c>
      <c r="C63" s="8"/>
      <c r="D63" s="8"/>
      <c r="E63" s="8">
        <f>SUM(E55:E62)</f>
        <v>-582239.69647934742</v>
      </c>
      <c r="F63" s="8">
        <f>SUM(F55:F62)</f>
        <v>-421629.13130331482</v>
      </c>
      <c r="G63" s="8">
        <f>SUM(G55:G62)</f>
        <v>-276044.33786848054</v>
      </c>
      <c r="H63" s="8">
        <f>SUM(H55:H62)</f>
        <v>-131553.90476190456</v>
      </c>
      <c r="I63" s="8">
        <f>SUM(I55:I62)</f>
        <v>2.1282176021486521E-10</v>
      </c>
      <c r="J63" s="8"/>
      <c r="K63" s="8"/>
      <c r="L63" s="8"/>
      <c r="M63" s="8"/>
      <c r="N63" s="8"/>
      <c r="O63" s="8"/>
      <c r="P63" s="9"/>
    </row>
    <row r="65" spans="2:16" x14ac:dyDescent="0.3">
      <c r="B65" s="11" t="s">
        <v>40</v>
      </c>
    </row>
    <row r="66" spans="2:16" x14ac:dyDescent="0.3">
      <c r="B66" s="13" t="s">
        <v>19</v>
      </c>
      <c r="C66" s="4"/>
      <c r="D66" s="4"/>
      <c r="E66" s="4">
        <v>0</v>
      </c>
      <c r="F66" s="4">
        <f>E74</f>
        <v>23140.37718851713</v>
      </c>
      <c r="G66" s="4">
        <f>F74</f>
        <v>18598.596047942989</v>
      </c>
      <c r="H66" s="4">
        <f>G74</f>
        <v>12762.625850340137</v>
      </c>
      <c r="I66" s="4">
        <f>H74</f>
        <v>6974.8571428571422</v>
      </c>
      <c r="J66" s="4"/>
      <c r="K66" s="4"/>
      <c r="L66" s="4"/>
      <c r="M66" s="4"/>
      <c r="N66" s="4"/>
      <c r="O66" s="4"/>
      <c r="P66" s="5"/>
    </row>
    <row r="67" spans="2:16" x14ac:dyDescent="0.3">
      <c r="B67" s="14" t="s">
        <v>33</v>
      </c>
      <c r="E67" s="2">
        <f>-D49</f>
        <v>27752.740179540124</v>
      </c>
      <c r="F67" s="2">
        <v>0</v>
      </c>
      <c r="G67" s="2">
        <v>0</v>
      </c>
      <c r="H67" s="2">
        <v>0</v>
      </c>
      <c r="I67" s="2">
        <v>0</v>
      </c>
      <c r="P67" s="6"/>
    </row>
    <row r="68" spans="2:16" x14ac:dyDescent="0.3">
      <c r="B68" s="14" t="s">
        <v>34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P68" s="6"/>
    </row>
    <row r="69" spans="2:16" x14ac:dyDescent="0.3">
      <c r="B69" s="14" t="s">
        <v>35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P69" s="6"/>
    </row>
    <row r="70" spans="2:16" x14ac:dyDescent="0.3">
      <c r="B70" s="14" t="s">
        <v>36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P70" s="6"/>
    </row>
    <row r="71" spans="2:16" x14ac:dyDescent="0.3">
      <c r="B71" s="14" t="s">
        <v>37</v>
      </c>
      <c r="E71" s="2">
        <f>(E66+E67)*$D$5</f>
        <v>1387.6370089770062</v>
      </c>
      <c r="F71" s="2">
        <f>(F66+F67)*$D$5</f>
        <v>1157.0188594258566</v>
      </c>
      <c r="G71" s="2">
        <f>(G66+G67)*$D$5</f>
        <v>929.9298023971495</v>
      </c>
      <c r="H71" s="2">
        <f>(H66+H67)*$D$5</f>
        <v>638.13129251700684</v>
      </c>
      <c r="I71" s="2">
        <f>(I66+I67)*$D$5</f>
        <v>348.74285714285713</v>
      </c>
      <c r="P71" s="6"/>
    </row>
    <row r="72" spans="2:16" x14ac:dyDescent="0.3">
      <c r="B72" s="14" t="s">
        <v>38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P72" s="6"/>
    </row>
    <row r="73" spans="2:16" x14ac:dyDescent="0.3">
      <c r="B73" s="14" t="s">
        <v>39</v>
      </c>
      <c r="E73" s="2">
        <f>E32</f>
        <v>-6000</v>
      </c>
      <c r="F73" s="2">
        <f>F32</f>
        <v>-5698.8</v>
      </c>
      <c r="G73" s="2">
        <f>G32</f>
        <v>-6765.9000000000005</v>
      </c>
      <c r="H73" s="2">
        <f>H32</f>
        <v>-6425.9000000000005</v>
      </c>
      <c r="I73" s="2">
        <f>I32</f>
        <v>-7323.6</v>
      </c>
      <c r="P73" s="6"/>
    </row>
    <row r="74" spans="2:16" x14ac:dyDescent="0.3">
      <c r="B74" s="7" t="s">
        <v>22</v>
      </c>
      <c r="C74" s="8"/>
      <c r="D74" s="8"/>
      <c r="E74" s="8">
        <f>SUM(E66:E73)</f>
        <v>23140.37718851713</v>
      </c>
      <c r="F74" s="8">
        <f>SUM(F66:F73)</f>
        <v>18598.596047942989</v>
      </c>
      <c r="G74" s="8">
        <f>SUM(G66:G73)</f>
        <v>12762.625850340137</v>
      </c>
      <c r="H74" s="8">
        <f>SUM(H66:H73)</f>
        <v>6974.8571428571422</v>
      </c>
      <c r="I74" s="8">
        <f>SUM(I66:I73)</f>
        <v>0</v>
      </c>
      <c r="J74" s="8"/>
      <c r="K74" s="8"/>
      <c r="L74" s="8"/>
      <c r="M74" s="8"/>
      <c r="N74" s="8"/>
      <c r="O74" s="8"/>
      <c r="P74" s="9"/>
    </row>
    <row r="76" spans="2:16" x14ac:dyDescent="0.3">
      <c r="B76" s="11" t="s">
        <v>41</v>
      </c>
    </row>
    <row r="77" spans="2:16" x14ac:dyDescent="0.3">
      <c r="B77" s="13" t="s">
        <v>19</v>
      </c>
      <c r="C77" s="4"/>
      <c r="D77" s="4"/>
      <c r="E77" s="4">
        <v>0</v>
      </c>
      <c r="F77" s="4">
        <f>E85</f>
        <v>332899.54619388678</v>
      </c>
      <c r="G77" s="4">
        <f>F85</f>
        <v>209726.71410214866</v>
      </c>
      <c r="H77" s="4">
        <f>G85</f>
        <v>110106.52490362804</v>
      </c>
      <c r="I77" s="4">
        <f>H85</f>
        <v>38537.283716269812</v>
      </c>
      <c r="J77" s="4"/>
      <c r="K77" s="4">
        <f>E77</f>
        <v>0</v>
      </c>
      <c r="L77" s="4">
        <f>K85</f>
        <v>399479.4554326642</v>
      </c>
      <c r="M77" s="4">
        <f>L85</f>
        <v>314590.07115322305</v>
      </c>
      <c r="N77" s="4">
        <f>M85</f>
        <v>220213.04980725615</v>
      </c>
      <c r="O77" s="4">
        <f>N85</f>
        <v>115611.85114880948</v>
      </c>
      <c r="P77" s="5"/>
    </row>
    <row r="78" spans="2:16" x14ac:dyDescent="0.3">
      <c r="B78" s="14" t="s">
        <v>33</v>
      </c>
      <c r="E78" s="2">
        <f>D51</f>
        <v>475570.78027698118</v>
      </c>
      <c r="F78" s="2">
        <v>0</v>
      </c>
      <c r="G78" s="2">
        <v>0</v>
      </c>
      <c r="H78" s="2">
        <v>0</v>
      </c>
      <c r="I78" s="2">
        <v>0</v>
      </c>
      <c r="K78" s="2">
        <f t="shared" ref="K78:O83" si="0">E78</f>
        <v>475570.78027698118</v>
      </c>
      <c r="L78" s="2">
        <f t="shared" si="0"/>
        <v>0</v>
      </c>
      <c r="M78" s="2">
        <f t="shared" si="0"/>
        <v>0</v>
      </c>
      <c r="N78" s="2">
        <f t="shared" si="0"/>
        <v>0</v>
      </c>
      <c r="O78" s="2">
        <f t="shared" si="0"/>
        <v>0</v>
      </c>
      <c r="P78" s="6"/>
    </row>
    <row r="79" spans="2:16" x14ac:dyDescent="0.3">
      <c r="B79" s="14" t="s">
        <v>34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K79" s="2">
        <f t="shared" si="0"/>
        <v>0</v>
      </c>
      <c r="L79" s="2">
        <f t="shared" si="0"/>
        <v>0</v>
      </c>
      <c r="M79" s="2">
        <f t="shared" si="0"/>
        <v>0</v>
      </c>
      <c r="N79" s="2">
        <f t="shared" si="0"/>
        <v>0</v>
      </c>
      <c r="O79" s="2">
        <f t="shared" si="0"/>
        <v>0</v>
      </c>
      <c r="P79" s="6"/>
    </row>
    <row r="80" spans="2:16" x14ac:dyDescent="0.3">
      <c r="B80" s="14" t="s">
        <v>35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K80" s="2">
        <f t="shared" si="0"/>
        <v>0</v>
      </c>
      <c r="L80" s="2">
        <f t="shared" si="0"/>
        <v>0</v>
      </c>
      <c r="M80" s="2">
        <f t="shared" si="0"/>
        <v>0</v>
      </c>
      <c r="N80" s="2">
        <f t="shared" si="0"/>
        <v>0</v>
      </c>
      <c r="O80" s="2">
        <f t="shared" si="0"/>
        <v>0</v>
      </c>
      <c r="P80" s="6"/>
    </row>
    <row r="81" spans="2:16" x14ac:dyDescent="0.3">
      <c r="B81" s="14" t="s">
        <v>36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K81" s="2">
        <f t="shared" si="0"/>
        <v>0</v>
      </c>
      <c r="L81" s="2">
        <f t="shared" si="0"/>
        <v>0</v>
      </c>
      <c r="M81" s="2">
        <f t="shared" si="0"/>
        <v>0</v>
      </c>
      <c r="N81" s="2">
        <f t="shared" si="0"/>
        <v>0</v>
      </c>
      <c r="O81" s="2">
        <f t="shared" si="0"/>
        <v>0</v>
      </c>
      <c r="P81" s="6"/>
    </row>
    <row r="82" spans="2:16" x14ac:dyDescent="0.3">
      <c r="B82" s="14" t="s">
        <v>37</v>
      </c>
      <c r="E82" s="2">
        <f>(E77+E78)*$D$5</f>
        <v>23778.539013849062</v>
      </c>
      <c r="F82" s="2">
        <f>(F77+F78)*$D$5</f>
        <v>16644.977309694339</v>
      </c>
      <c r="G82" s="2">
        <f>(G77+G78)*$D$5</f>
        <v>10486.335705107434</v>
      </c>
      <c r="H82" s="2">
        <f>(H77+H78)*$D$5</f>
        <v>5505.3262451814026</v>
      </c>
      <c r="I82" s="2">
        <f>(I77+I78)*$D$5</f>
        <v>1926.8641858134906</v>
      </c>
      <c r="K82" s="2">
        <f>(K77+K78)*$D$5</f>
        <v>23778.539013849062</v>
      </c>
      <c r="L82" s="2">
        <f>(L77+L78)*$D$5</f>
        <v>19973.972771633213</v>
      </c>
      <c r="M82" s="2">
        <f>(M77+M78)*$D$5</f>
        <v>15729.503557661154</v>
      </c>
      <c r="N82" s="2">
        <f>(N77+N78)*$D$5</f>
        <v>11010.652490362809</v>
      </c>
      <c r="O82" s="2">
        <f>(O77+O78)*$D$5</f>
        <v>5780.5925574404746</v>
      </c>
      <c r="P82" s="6"/>
    </row>
    <row r="83" spans="2:16" x14ac:dyDescent="0.3">
      <c r="B83" s="14" t="s">
        <v>38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K83" s="2">
        <f t="shared" si="0"/>
        <v>0</v>
      </c>
      <c r="L83" s="2">
        <f t="shared" si="0"/>
        <v>0</v>
      </c>
      <c r="M83" s="2">
        <f t="shared" si="0"/>
        <v>0</v>
      </c>
      <c r="N83" s="2">
        <f t="shared" si="0"/>
        <v>0</v>
      </c>
      <c r="O83" s="2">
        <f t="shared" si="0"/>
        <v>0</v>
      </c>
      <c r="P83" s="6"/>
    </row>
    <row r="84" spans="2:16" x14ac:dyDescent="0.3">
      <c r="B84" s="14" t="s">
        <v>39</v>
      </c>
      <c r="E84" s="25">
        <f>-SUM(E77:E83)*E38/SUM(E38:$P$38)</f>
        <v>-166449.77309694342</v>
      </c>
      <c r="F84" s="2">
        <f>-SUM(F77:F83)*F38/SUM(F38:$P$38)</f>
        <v>-139817.80940143246</v>
      </c>
      <c r="G84" s="2">
        <f>-SUM(G77:G83)*G38/SUM(G38:$P$38)</f>
        <v>-110106.52490362804</v>
      </c>
      <c r="H84" s="2">
        <f>-SUM(H77:H83)*H38/SUM(H38:$P$38)</f>
        <v>-77074.567432539639</v>
      </c>
      <c r="I84" s="2">
        <f>-SUM(I77:I83)*I38/SUM(I38:$P$38)</f>
        <v>-40464.147902083307</v>
      </c>
      <c r="K84" s="25">
        <f>-20%*SUM(K77:K83)</f>
        <v>-99869.863858166049</v>
      </c>
      <c r="L84" s="2">
        <f>-25%*SUM(L77:L83)</f>
        <v>-104863.35705107436</v>
      </c>
      <c r="M84" s="2">
        <f>-(1/3)*SUM(M77:M83)</f>
        <v>-110106.52490362806</v>
      </c>
      <c r="N84" s="2">
        <f>-(1/2)*SUM(N77:N83)</f>
        <v>-115611.85114880948</v>
      </c>
      <c r="O84" s="2">
        <f>-SUM(O77:O83)</f>
        <v>-121392.44370624995</v>
      </c>
      <c r="P84" s="6"/>
    </row>
    <row r="85" spans="2:16" x14ac:dyDescent="0.3">
      <c r="B85" s="7" t="s">
        <v>22</v>
      </c>
      <c r="C85" s="8"/>
      <c r="D85" s="8"/>
      <c r="E85" s="8">
        <f>SUM(E77:E84)</f>
        <v>332899.54619388678</v>
      </c>
      <c r="F85" s="8">
        <f>SUM(F77:F84)</f>
        <v>209726.71410214866</v>
      </c>
      <c r="G85" s="8">
        <f t="shared" ref="G85:O85" si="1">SUM(G77:G84)</f>
        <v>110106.52490362804</v>
      </c>
      <c r="H85" s="8">
        <f t="shared" si="1"/>
        <v>38537.283716269812</v>
      </c>
      <c r="I85" s="8">
        <f t="shared" si="1"/>
        <v>0</v>
      </c>
      <c r="J85" s="8"/>
      <c r="K85" s="8">
        <f>SUM(K77:K84)</f>
        <v>399479.4554326642</v>
      </c>
      <c r="L85" s="8">
        <f>SUM(L77:L84)</f>
        <v>314590.07115322305</v>
      </c>
      <c r="M85" s="8">
        <f t="shared" si="1"/>
        <v>220213.04980725615</v>
      </c>
      <c r="N85" s="8">
        <f t="shared" si="1"/>
        <v>115611.85114880948</v>
      </c>
      <c r="O85" s="8">
        <f t="shared" si="1"/>
        <v>0</v>
      </c>
      <c r="P85" s="9"/>
    </row>
    <row r="87" spans="2:16" x14ac:dyDescent="0.3">
      <c r="B87" s="11" t="s">
        <v>42</v>
      </c>
    </row>
    <row r="88" spans="2:16" x14ac:dyDescent="0.3">
      <c r="B88" s="13" t="s">
        <v>19</v>
      </c>
      <c r="C88" s="4"/>
      <c r="D88" s="4"/>
      <c r="E88" s="4">
        <f t="shared" ref="E88:I90" si="2">E55+E66+E77</f>
        <v>0</v>
      </c>
      <c r="F88" s="4">
        <f t="shared" si="2"/>
        <v>-226199.77309694351</v>
      </c>
      <c r="G88" s="4">
        <f t="shared" si="2"/>
        <v>-193303.82115322317</v>
      </c>
      <c r="H88" s="4">
        <f t="shared" si="2"/>
        <v>-153175.18711451237</v>
      </c>
      <c r="I88" s="4">
        <f t="shared" si="2"/>
        <v>-86041.763902777602</v>
      </c>
      <c r="J88" s="4"/>
      <c r="K88" s="4">
        <f t="shared" ref="K88:O94" si="3">E88</f>
        <v>0</v>
      </c>
      <c r="L88" s="4">
        <f>F55+F66+L77</f>
        <v>-159619.86385816609</v>
      </c>
      <c r="M88" s="4">
        <f>G55+G66+M77</f>
        <v>-88440.464102148777</v>
      </c>
      <c r="N88" s="4">
        <f>H55+H66+N77</f>
        <v>-43068.662210884271</v>
      </c>
      <c r="O88" s="4">
        <f>I55+I66+O77</f>
        <v>-8967.1964702379337</v>
      </c>
      <c r="P88" s="5"/>
    </row>
    <row r="89" spans="2:16" x14ac:dyDescent="0.3">
      <c r="B89" s="14" t="s">
        <v>33</v>
      </c>
      <c r="E89" s="2">
        <f t="shared" si="2"/>
        <v>0</v>
      </c>
      <c r="F89" s="2">
        <f t="shared" si="2"/>
        <v>0</v>
      </c>
      <c r="G89" s="2">
        <f t="shared" si="2"/>
        <v>0</v>
      </c>
      <c r="H89" s="2">
        <f t="shared" si="2"/>
        <v>0</v>
      </c>
      <c r="I89" s="2">
        <f t="shared" si="2"/>
        <v>0</v>
      </c>
      <c r="K89" s="2">
        <f t="shared" si="3"/>
        <v>0</v>
      </c>
      <c r="L89" s="2">
        <f t="shared" si="3"/>
        <v>0</v>
      </c>
      <c r="M89" s="2">
        <f t="shared" si="3"/>
        <v>0</v>
      </c>
      <c r="N89" s="2">
        <f t="shared" si="3"/>
        <v>0</v>
      </c>
      <c r="O89" s="2">
        <f t="shared" si="3"/>
        <v>0</v>
      </c>
      <c r="P89" s="6"/>
    </row>
    <row r="90" spans="2:16" x14ac:dyDescent="0.3">
      <c r="B90" s="14" t="s">
        <v>34</v>
      </c>
      <c r="E90" s="2">
        <f t="shared" si="2"/>
        <v>0</v>
      </c>
      <c r="F90" s="2">
        <f t="shared" si="2"/>
        <v>0</v>
      </c>
      <c r="G90" s="2">
        <f t="shared" si="2"/>
        <v>0</v>
      </c>
      <c r="H90" s="2">
        <f t="shared" si="2"/>
        <v>0</v>
      </c>
      <c r="I90" s="2">
        <f t="shared" si="2"/>
        <v>0</v>
      </c>
      <c r="K90" s="2">
        <f t="shared" si="3"/>
        <v>0</v>
      </c>
      <c r="L90" s="2">
        <f t="shared" si="3"/>
        <v>0</v>
      </c>
      <c r="M90" s="2">
        <f t="shared" si="3"/>
        <v>0</v>
      </c>
      <c r="N90" s="2">
        <f t="shared" si="3"/>
        <v>0</v>
      </c>
      <c r="O90" s="2">
        <f t="shared" si="3"/>
        <v>0</v>
      </c>
      <c r="P90" s="6"/>
    </row>
    <row r="91" spans="2:16" x14ac:dyDescent="0.3">
      <c r="B91" s="14" t="s">
        <v>35</v>
      </c>
      <c r="E91" s="2">
        <f t="shared" ref="E91:I96" si="4">E58+E69+E80</f>
        <v>295000</v>
      </c>
      <c r="F91" s="2">
        <f t="shared" si="4"/>
        <v>280191</v>
      </c>
      <c r="G91" s="2">
        <f t="shared" si="4"/>
        <v>266125</v>
      </c>
      <c r="H91" s="2">
        <f t="shared" si="4"/>
        <v>252753</v>
      </c>
      <c r="I91" s="2">
        <f t="shared" si="4"/>
        <v>240052</v>
      </c>
      <c r="K91" s="2">
        <f t="shared" si="3"/>
        <v>295000</v>
      </c>
      <c r="L91" s="2">
        <f>F91</f>
        <v>280191</v>
      </c>
      <c r="M91" s="2">
        <f t="shared" si="3"/>
        <v>266125</v>
      </c>
      <c r="N91" s="2">
        <f t="shared" si="3"/>
        <v>252753</v>
      </c>
      <c r="O91" s="2">
        <f t="shared" si="3"/>
        <v>240052</v>
      </c>
      <c r="P91" s="6"/>
    </row>
    <row r="92" spans="2:16" x14ac:dyDescent="0.3">
      <c r="B92" s="14" t="s">
        <v>36</v>
      </c>
      <c r="E92" s="2">
        <f>E59+E70+E81</f>
        <v>-351000</v>
      </c>
      <c r="F92" s="2">
        <f t="shared" si="4"/>
        <v>-104478</v>
      </c>
      <c r="G92" s="2">
        <f t="shared" si="4"/>
        <v>-112765</v>
      </c>
      <c r="H92" s="2">
        <f t="shared" si="4"/>
        <v>-107098</v>
      </c>
      <c r="I92" s="2">
        <f t="shared" si="4"/>
        <v>-113923</v>
      </c>
      <c r="K92" s="2">
        <f t="shared" si="3"/>
        <v>-351000</v>
      </c>
      <c r="L92" s="2">
        <f t="shared" si="3"/>
        <v>-104478</v>
      </c>
      <c r="M92" s="2">
        <f t="shared" si="3"/>
        <v>-112765</v>
      </c>
      <c r="N92" s="2">
        <f t="shared" si="3"/>
        <v>-107098</v>
      </c>
      <c r="O92" s="2">
        <f t="shared" si="3"/>
        <v>-113923</v>
      </c>
      <c r="P92" s="6"/>
    </row>
    <row r="93" spans="2:16" x14ac:dyDescent="0.3">
      <c r="B93" s="14" t="s">
        <v>37</v>
      </c>
      <c r="E93" s="25">
        <f>E60+E71+E82</f>
        <v>2250</v>
      </c>
      <c r="F93" s="2">
        <f t="shared" si="4"/>
        <v>2699.5613451528225</v>
      </c>
      <c r="G93" s="2">
        <f t="shared" si="4"/>
        <v>3641.058942338841</v>
      </c>
      <c r="H93" s="2">
        <f t="shared" si="4"/>
        <v>4978.8906442743837</v>
      </c>
      <c r="I93" s="2">
        <f t="shared" si="4"/>
        <v>7700.5118048611203</v>
      </c>
      <c r="K93" s="25">
        <f>E60+E71+K82</f>
        <v>2250</v>
      </c>
      <c r="L93" s="2">
        <f>F60+F71+L82</f>
        <v>6028.5568070916961</v>
      </c>
      <c r="M93" s="2">
        <f>G60+G71+M82</f>
        <v>8884.2267948925601</v>
      </c>
      <c r="N93" s="2">
        <f>H60+H71+N82</f>
        <v>10484.216889455791</v>
      </c>
      <c r="O93" s="2">
        <f>I60+I71+O82</f>
        <v>11554.240176488103</v>
      </c>
      <c r="P93" s="6"/>
    </row>
    <row r="94" spans="2:16" x14ac:dyDescent="0.3">
      <c r="B94" s="14" t="s">
        <v>38</v>
      </c>
      <c r="E94" s="2">
        <f t="shared" si="4"/>
        <v>0</v>
      </c>
      <c r="F94" s="2">
        <f t="shared" si="4"/>
        <v>0</v>
      </c>
      <c r="G94" s="2">
        <f t="shared" si="4"/>
        <v>0</v>
      </c>
      <c r="H94" s="2">
        <f t="shared" si="4"/>
        <v>0</v>
      </c>
      <c r="I94" s="2">
        <f t="shared" si="4"/>
        <v>0</v>
      </c>
      <c r="K94" s="2">
        <f t="shared" si="3"/>
        <v>0</v>
      </c>
      <c r="L94" s="2">
        <f t="shared" si="3"/>
        <v>0</v>
      </c>
      <c r="M94" s="2">
        <f t="shared" si="3"/>
        <v>0</v>
      </c>
      <c r="N94" s="2">
        <f t="shared" si="3"/>
        <v>0</v>
      </c>
      <c r="O94" s="2">
        <f t="shared" si="3"/>
        <v>0</v>
      </c>
      <c r="P94" s="6"/>
    </row>
    <row r="95" spans="2:16" x14ac:dyDescent="0.3">
      <c r="B95" s="14" t="s">
        <v>39</v>
      </c>
      <c r="E95" s="2">
        <f>E62+E73+E84</f>
        <v>-172449.77309694342</v>
      </c>
      <c r="F95" s="2">
        <f t="shared" si="4"/>
        <v>-145516.60940143245</v>
      </c>
      <c r="G95" s="2">
        <f t="shared" si="4"/>
        <v>-116872.42490362804</v>
      </c>
      <c r="H95" s="2">
        <f t="shared" si="4"/>
        <v>-83500.467432539634</v>
      </c>
      <c r="I95" s="2">
        <f t="shared" si="4"/>
        <v>-47787.747902083305</v>
      </c>
      <c r="K95" s="2">
        <f t="shared" ref="K95:O96" si="5">E62+E73+K84</f>
        <v>-105869.86385816605</v>
      </c>
      <c r="L95" s="2">
        <f t="shared" si="5"/>
        <v>-110562.15705107436</v>
      </c>
      <c r="M95" s="2">
        <f t="shared" si="5"/>
        <v>-116872.42490362805</v>
      </c>
      <c r="N95" s="2">
        <f t="shared" si="5"/>
        <v>-122037.75114880948</v>
      </c>
      <c r="O95" s="2">
        <f t="shared" si="5"/>
        <v>-128716.04370624995</v>
      </c>
      <c r="P95" s="6"/>
    </row>
    <row r="96" spans="2:16" x14ac:dyDescent="0.3">
      <c r="B96" s="7" t="s">
        <v>22</v>
      </c>
      <c r="C96" s="8"/>
      <c r="D96" s="8"/>
      <c r="E96" s="8">
        <f t="shared" si="4"/>
        <v>-226199.77309694351</v>
      </c>
      <c r="F96" s="8">
        <f t="shared" si="4"/>
        <v>-193303.82115322317</v>
      </c>
      <c r="G96" s="8">
        <f t="shared" si="4"/>
        <v>-153175.18711451237</v>
      </c>
      <c r="H96" s="8">
        <f t="shared" si="4"/>
        <v>-86041.763902777602</v>
      </c>
      <c r="I96" s="8">
        <f t="shared" si="4"/>
        <v>2.1282176021486521E-10</v>
      </c>
      <c r="J96" s="8"/>
      <c r="K96" s="8">
        <f t="shared" si="5"/>
        <v>-159619.86385816609</v>
      </c>
      <c r="L96" s="8">
        <f t="shared" si="5"/>
        <v>-88440.464102148777</v>
      </c>
      <c r="M96" s="8">
        <f t="shared" si="5"/>
        <v>-43068.662210884271</v>
      </c>
      <c r="N96" s="8">
        <f t="shared" si="5"/>
        <v>-8967.1964702379337</v>
      </c>
      <c r="O96" s="8">
        <f t="shared" si="5"/>
        <v>2.1282176021486521E-10</v>
      </c>
      <c r="P96" s="9"/>
    </row>
    <row r="98" spans="2:16" x14ac:dyDescent="0.3">
      <c r="B98" s="11" t="s">
        <v>43</v>
      </c>
    </row>
    <row r="99" spans="2:16" x14ac:dyDescent="0.3">
      <c r="B99" s="13" t="s">
        <v>19</v>
      </c>
      <c r="C99" s="4"/>
      <c r="D99" s="4"/>
      <c r="E99" s="4">
        <v>0</v>
      </c>
      <c r="F99" s="4">
        <f>E103</f>
        <v>175000</v>
      </c>
      <c r="G99" s="4">
        <f>F103</f>
        <v>110250</v>
      </c>
      <c r="H99" s="4">
        <f>G103</f>
        <v>57881.25</v>
      </c>
      <c r="I99" s="4">
        <f>H103</f>
        <v>20258.4375</v>
      </c>
      <c r="J99" s="4"/>
      <c r="K99" s="4">
        <f>E99</f>
        <v>0</v>
      </c>
      <c r="L99" s="4">
        <f>K103</f>
        <v>210000</v>
      </c>
      <c r="M99" s="4">
        <f>L103</f>
        <v>165375</v>
      </c>
      <c r="N99" s="4">
        <f>M103</f>
        <v>115762.5</v>
      </c>
      <c r="O99" s="4">
        <f>N103</f>
        <v>60775.3125</v>
      </c>
      <c r="P99" s="5"/>
    </row>
    <row r="100" spans="2:16" x14ac:dyDescent="0.3">
      <c r="B100" s="14" t="s">
        <v>44</v>
      </c>
      <c r="E100" s="2">
        <f>(E11+E13)*-1</f>
        <v>250000</v>
      </c>
      <c r="F100" s="2">
        <f>(F11+F13)*-1</f>
        <v>0</v>
      </c>
      <c r="G100" s="2">
        <f>(G11+G13)*-1</f>
        <v>0</v>
      </c>
      <c r="H100" s="2">
        <f>(H11+H13)*-1</f>
        <v>0</v>
      </c>
      <c r="I100" s="2">
        <f>(I11+I13)*-1</f>
        <v>0</v>
      </c>
      <c r="K100" s="2">
        <f>E100</f>
        <v>250000</v>
      </c>
      <c r="L100" s="2">
        <f>F100</f>
        <v>0</v>
      </c>
      <c r="M100" s="2">
        <f>G100</f>
        <v>0</v>
      </c>
      <c r="N100" s="2">
        <f>H100</f>
        <v>0</v>
      </c>
      <c r="O100" s="2">
        <f>I100</f>
        <v>0</v>
      </c>
      <c r="P100" s="6"/>
    </row>
    <row r="101" spans="2:16" x14ac:dyDescent="0.3">
      <c r="B101" s="14" t="s">
        <v>45</v>
      </c>
      <c r="E101" s="2">
        <f>(E99+E100)*$D$5</f>
        <v>12500</v>
      </c>
      <c r="F101" s="2">
        <f>(F99+F100)*$D$5</f>
        <v>8750</v>
      </c>
      <c r="G101" s="2">
        <f>(G99+G100)*$D$5</f>
        <v>5512.5</v>
      </c>
      <c r="H101" s="2">
        <f>(H99+H100)*$D$5</f>
        <v>2894.0625</v>
      </c>
      <c r="I101" s="2">
        <f>(I99+I100)*$D$5</f>
        <v>1012.921875</v>
      </c>
      <c r="K101" s="2">
        <f>(K99+K100)*$D$5</f>
        <v>12500</v>
      </c>
      <c r="L101" s="2">
        <f>(L99+L100)*$D$5</f>
        <v>10500</v>
      </c>
      <c r="M101" s="2">
        <f>(M99+M100)*$D$5</f>
        <v>8268.75</v>
      </c>
      <c r="N101" s="2">
        <f>(N99+N100)*$D$5</f>
        <v>5788.125</v>
      </c>
      <c r="O101" s="2">
        <f>(O99+O100)*$D$5</f>
        <v>3038.765625</v>
      </c>
      <c r="P101" s="6"/>
    </row>
    <row r="102" spans="2:16" x14ac:dyDescent="0.3">
      <c r="B102" s="14" t="s">
        <v>46</v>
      </c>
      <c r="E102" s="25">
        <f>-SUM(E99:E101)*E38/SUM(E38:$I$38)</f>
        <v>-87500</v>
      </c>
      <c r="F102" s="2">
        <f>-SUM(F99:F101)*F38/SUM(F38:$I$38)</f>
        <v>-73500</v>
      </c>
      <c r="G102" s="2">
        <f>-SUM(G99:G101)*G38/SUM(G38:$I$38)</f>
        <v>-57881.25</v>
      </c>
      <c r="H102" s="2">
        <f>-SUM(H99:H101)*H38/SUM(H38:$I$38)</f>
        <v>-40516.875</v>
      </c>
      <c r="I102" s="2">
        <f>-SUM(I99:I101)*I38/SUM(I38:$I$38)</f>
        <v>-21271.359375</v>
      </c>
      <c r="K102" s="25">
        <f>-SUM(K99:K101)*(1/5)</f>
        <v>-52500</v>
      </c>
      <c r="L102" s="2">
        <f>-SUM(L99:L101)*(1/4)</f>
        <v>-55125</v>
      </c>
      <c r="M102" s="2">
        <f>-SUM(M99:M101)*(1/3)</f>
        <v>-57881.25</v>
      </c>
      <c r="N102" s="2">
        <f>-SUM(N99:N101)*(1/2)</f>
        <v>-60775.3125</v>
      </c>
      <c r="O102" s="2">
        <f>-SUM(O99:O101)*(1)</f>
        <v>-63814.078125</v>
      </c>
      <c r="P102" s="6"/>
    </row>
    <row r="103" spans="2:16" x14ac:dyDescent="0.3">
      <c r="B103" s="7" t="s">
        <v>22</v>
      </c>
      <c r="C103" s="8"/>
      <c r="D103" s="8"/>
      <c r="E103" s="8">
        <f>SUM(E99:E102)</f>
        <v>175000</v>
      </c>
      <c r="F103" s="8">
        <f>SUM(F99:F102)</f>
        <v>110250</v>
      </c>
      <c r="G103" s="8">
        <f t="shared" ref="G103:O103" si="6">SUM(G99:G102)</f>
        <v>57881.25</v>
      </c>
      <c r="H103" s="8">
        <f t="shared" si="6"/>
        <v>20258.4375</v>
      </c>
      <c r="I103" s="8">
        <f t="shared" si="6"/>
        <v>0</v>
      </c>
      <c r="J103" s="8"/>
      <c r="K103" s="8">
        <f>SUM(K99:K102)</f>
        <v>210000</v>
      </c>
      <c r="L103" s="8">
        <f>SUM(L99:L102)</f>
        <v>165375</v>
      </c>
      <c r="M103" s="8">
        <f t="shared" si="6"/>
        <v>115762.5</v>
      </c>
      <c r="N103" s="8">
        <f t="shared" si="6"/>
        <v>60775.3125</v>
      </c>
      <c r="O103" s="8">
        <f t="shared" si="6"/>
        <v>0</v>
      </c>
      <c r="P103" s="9"/>
    </row>
    <row r="105" spans="2:16" x14ac:dyDescent="0.3">
      <c r="B105" s="11" t="s">
        <v>47</v>
      </c>
    </row>
    <row r="106" spans="2:16" x14ac:dyDescent="0.3">
      <c r="B106" s="13" t="s">
        <v>48</v>
      </c>
      <c r="C106" s="4"/>
      <c r="D106" s="4"/>
      <c r="E106" s="4">
        <f>-E84</f>
        <v>166449.77309694342</v>
      </c>
      <c r="F106" s="4">
        <f t="shared" ref="F106:O106" si="7">-F84</f>
        <v>139817.80940143246</v>
      </c>
      <c r="G106" s="4">
        <f t="shared" si="7"/>
        <v>110106.52490362804</v>
      </c>
      <c r="H106" s="4">
        <f t="shared" si="7"/>
        <v>77074.567432539639</v>
      </c>
      <c r="I106" s="4">
        <f t="shared" si="7"/>
        <v>40464.147902083307</v>
      </c>
      <c r="J106" s="4"/>
      <c r="K106" s="4">
        <f t="shared" si="7"/>
        <v>99869.863858166049</v>
      </c>
      <c r="L106" s="4">
        <f t="shared" si="7"/>
        <v>104863.35705107436</v>
      </c>
      <c r="M106" s="4">
        <f t="shared" si="7"/>
        <v>110106.52490362806</v>
      </c>
      <c r="N106" s="4">
        <f t="shared" si="7"/>
        <v>115611.85114880948</v>
      </c>
      <c r="O106" s="4">
        <f t="shared" si="7"/>
        <v>121392.44370624995</v>
      </c>
      <c r="P106" s="5"/>
    </row>
    <row r="107" spans="2:16" x14ac:dyDescent="0.3">
      <c r="B107" s="14" t="s">
        <v>49</v>
      </c>
      <c r="E107" s="2">
        <f>-E73</f>
        <v>6000</v>
      </c>
      <c r="F107" s="2">
        <f>-F73</f>
        <v>5698.8</v>
      </c>
      <c r="G107" s="2">
        <f>-G73</f>
        <v>6765.9000000000005</v>
      </c>
      <c r="H107" s="2">
        <f>-H73</f>
        <v>6425.9000000000005</v>
      </c>
      <c r="I107" s="2">
        <f>-I73</f>
        <v>7323.6</v>
      </c>
      <c r="K107" s="2">
        <f>E107</f>
        <v>6000</v>
      </c>
      <c r="L107" s="2">
        <f t="shared" ref="L107:O109" si="8">F107</f>
        <v>5698.8</v>
      </c>
      <c r="M107" s="2">
        <f t="shared" si="8"/>
        <v>6765.9000000000005</v>
      </c>
      <c r="N107" s="2">
        <f t="shared" si="8"/>
        <v>6425.9000000000005</v>
      </c>
      <c r="O107" s="2">
        <f t="shared" si="8"/>
        <v>7323.6</v>
      </c>
      <c r="P107" s="6"/>
    </row>
    <row r="108" spans="2:16" x14ac:dyDescent="0.3">
      <c r="B108" s="14" t="s">
        <v>50</v>
      </c>
      <c r="E108" s="2">
        <f>-E17</f>
        <v>60000</v>
      </c>
      <c r="F108" s="2">
        <f>-F17</f>
        <v>56988</v>
      </c>
      <c r="G108" s="2">
        <f>-G17</f>
        <v>67659</v>
      </c>
      <c r="H108" s="2">
        <f>-H17</f>
        <v>64259</v>
      </c>
      <c r="I108" s="2">
        <f>-I17</f>
        <v>73236</v>
      </c>
      <c r="K108" s="2">
        <f>E108</f>
        <v>60000</v>
      </c>
      <c r="L108" s="2">
        <f t="shared" si="8"/>
        <v>56988</v>
      </c>
      <c r="M108" s="2">
        <f t="shared" si="8"/>
        <v>67659</v>
      </c>
      <c r="N108" s="2">
        <f t="shared" si="8"/>
        <v>64259</v>
      </c>
      <c r="O108" s="2">
        <f t="shared" si="8"/>
        <v>73236</v>
      </c>
      <c r="P108" s="6"/>
    </row>
    <row r="109" spans="2:16" x14ac:dyDescent="0.3">
      <c r="B109" s="14" t="s">
        <v>51</v>
      </c>
      <c r="E109" s="2">
        <f>-E12-E14</f>
        <v>41000</v>
      </c>
      <c r="F109" s="2">
        <f>-F12-F14</f>
        <v>47490</v>
      </c>
      <c r="G109" s="2">
        <f>-G12-G14</f>
        <v>45106</v>
      </c>
      <c r="H109" s="2">
        <f>-H12-H14</f>
        <v>42839</v>
      </c>
      <c r="I109" s="2">
        <f>-I12-I14</f>
        <v>40687</v>
      </c>
      <c r="K109" s="2">
        <f>E109</f>
        <v>41000</v>
      </c>
      <c r="L109" s="2">
        <f t="shared" si="8"/>
        <v>47490</v>
      </c>
      <c r="M109" s="2">
        <f t="shared" si="8"/>
        <v>45106</v>
      </c>
      <c r="N109" s="2">
        <f t="shared" si="8"/>
        <v>42839</v>
      </c>
      <c r="O109" s="2">
        <f t="shared" si="8"/>
        <v>40687</v>
      </c>
      <c r="P109" s="6"/>
    </row>
    <row r="110" spans="2:16" x14ac:dyDescent="0.3">
      <c r="B110" s="14" t="s">
        <v>52</v>
      </c>
      <c r="E110" s="2">
        <f>-E102</f>
        <v>87500</v>
      </c>
      <c r="F110" s="2">
        <f t="shared" ref="F110:O110" si="9">-F102</f>
        <v>73500</v>
      </c>
      <c r="G110" s="2">
        <f t="shared" si="9"/>
        <v>57881.25</v>
      </c>
      <c r="H110" s="2">
        <f t="shared" si="9"/>
        <v>40516.875</v>
      </c>
      <c r="I110" s="2">
        <f t="shared" si="9"/>
        <v>21271.359375</v>
      </c>
      <c r="K110" s="2">
        <f t="shared" si="9"/>
        <v>52500</v>
      </c>
      <c r="L110" s="2">
        <f t="shared" si="9"/>
        <v>55125</v>
      </c>
      <c r="M110" s="2">
        <f t="shared" si="9"/>
        <v>57881.25</v>
      </c>
      <c r="N110" s="2">
        <f t="shared" si="9"/>
        <v>60775.3125</v>
      </c>
      <c r="O110" s="2">
        <f t="shared" si="9"/>
        <v>63814.078125</v>
      </c>
      <c r="P110" s="6"/>
    </row>
    <row r="111" spans="2:16" x14ac:dyDescent="0.3">
      <c r="B111" s="23" t="s">
        <v>53</v>
      </c>
      <c r="E111" s="25">
        <f>SUM(E106:E110)</f>
        <v>360949.77309694339</v>
      </c>
      <c r="F111" s="11">
        <f t="shared" ref="F111:O111" si="10">SUM(F106:F110)</f>
        <v>323494.60940143245</v>
      </c>
      <c r="G111" s="11">
        <f t="shared" si="10"/>
        <v>287518.67490362807</v>
      </c>
      <c r="H111" s="11">
        <f t="shared" si="10"/>
        <v>231115.34243253962</v>
      </c>
      <c r="I111" s="11">
        <f t="shared" si="10"/>
        <v>182982.1072770833</v>
      </c>
      <c r="J111" s="11"/>
      <c r="K111" s="25">
        <f t="shared" si="10"/>
        <v>259369.86385816603</v>
      </c>
      <c r="L111" s="11">
        <f t="shared" si="10"/>
        <v>270165.15705107438</v>
      </c>
      <c r="M111" s="11">
        <f t="shared" si="10"/>
        <v>287518.67490362807</v>
      </c>
      <c r="N111" s="11">
        <f t="shared" si="10"/>
        <v>289911.06364880945</v>
      </c>
      <c r="O111" s="11">
        <f t="shared" si="10"/>
        <v>306453.12183124997</v>
      </c>
      <c r="P111" s="24"/>
    </row>
    <row r="112" spans="2:16" x14ac:dyDescent="0.3">
      <c r="B112" s="23"/>
      <c r="E112" s="11"/>
      <c r="P112" s="6"/>
    </row>
    <row r="113" spans="1:16" x14ac:dyDescent="0.3">
      <c r="B113" s="14" t="s">
        <v>54</v>
      </c>
      <c r="E113" s="2">
        <f>E28</f>
        <v>-66000</v>
      </c>
      <c r="F113" s="2">
        <f>F28</f>
        <v>0</v>
      </c>
      <c r="G113" s="2">
        <f>G28</f>
        <v>0</v>
      </c>
      <c r="H113" s="2">
        <f>H28</f>
        <v>0</v>
      </c>
      <c r="I113" s="2">
        <f>I28</f>
        <v>0</v>
      </c>
      <c r="K113" s="2">
        <f>E113</f>
        <v>-66000</v>
      </c>
      <c r="L113" s="2">
        <f>L28</f>
        <v>0</v>
      </c>
      <c r="M113" s="2">
        <f>M28</f>
        <v>0</v>
      </c>
      <c r="N113" s="2">
        <f>N28</f>
        <v>0</v>
      </c>
      <c r="O113" s="2">
        <f>O28</f>
        <v>0</v>
      </c>
      <c r="P113" s="6"/>
    </row>
    <row r="114" spans="1:16" x14ac:dyDescent="0.3">
      <c r="B114" s="14" t="s">
        <v>55</v>
      </c>
      <c r="E114" s="2">
        <f>E23+E25</f>
        <v>-38950</v>
      </c>
      <c r="F114" s="2">
        <f>F23+F25</f>
        <v>0</v>
      </c>
      <c r="G114" s="2">
        <f>G23+G25</f>
        <v>0</v>
      </c>
      <c r="H114" s="2">
        <f>H23+H25</f>
        <v>0</v>
      </c>
      <c r="I114" s="2">
        <f>I23+I25</f>
        <v>0</v>
      </c>
      <c r="K114" s="2">
        <f>E114</f>
        <v>-38950</v>
      </c>
      <c r="L114" s="2">
        <f>L23+L25</f>
        <v>0</v>
      </c>
      <c r="M114" s="2">
        <f>M23+M25</f>
        <v>0</v>
      </c>
      <c r="N114" s="2">
        <f>N23+N25</f>
        <v>0</v>
      </c>
      <c r="O114" s="2">
        <f>O23+O25</f>
        <v>0</v>
      </c>
      <c r="P114" s="6"/>
    </row>
    <row r="115" spans="1:16" x14ac:dyDescent="0.3">
      <c r="B115" s="14" t="s">
        <v>56</v>
      </c>
      <c r="E115" s="2">
        <f>E102</f>
        <v>-87500</v>
      </c>
      <c r="F115" s="2">
        <f t="shared" ref="F115:O115" si="11">F102</f>
        <v>-73500</v>
      </c>
      <c r="G115" s="2">
        <f t="shared" si="11"/>
        <v>-57881.25</v>
      </c>
      <c r="H115" s="2">
        <f t="shared" si="11"/>
        <v>-40516.875</v>
      </c>
      <c r="I115" s="2">
        <f t="shared" si="11"/>
        <v>-21271.359375</v>
      </c>
      <c r="K115" s="2">
        <f t="shared" si="11"/>
        <v>-52500</v>
      </c>
      <c r="L115" s="2">
        <f t="shared" si="11"/>
        <v>-55125</v>
      </c>
      <c r="M115" s="2">
        <f t="shared" si="11"/>
        <v>-57881.25</v>
      </c>
      <c r="N115" s="2">
        <f t="shared" si="11"/>
        <v>-60775.3125</v>
      </c>
      <c r="O115" s="2">
        <f t="shared" si="11"/>
        <v>-63814.078125</v>
      </c>
      <c r="P115" s="6"/>
    </row>
    <row r="116" spans="1:16" x14ac:dyDescent="0.3">
      <c r="B116" s="23" t="s">
        <v>57</v>
      </c>
      <c r="E116" s="25">
        <f>SUM(E113:E115)</f>
        <v>-192450</v>
      </c>
      <c r="F116" s="11">
        <f t="shared" ref="F116:O116" si="12">SUM(F113:F115)</f>
        <v>-73500</v>
      </c>
      <c r="G116" s="11">
        <f t="shared" si="12"/>
        <v>-57881.25</v>
      </c>
      <c r="H116" s="11">
        <f t="shared" si="12"/>
        <v>-40516.875</v>
      </c>
      <c r="I116" s="11">
        <f t="shared" si="12"/>
        <v>-21271.359375</v>
      </c>
      <c r="J116" s="11"/>
      <c r="K116" s="25">
        <f t="shared" si="12"/>
        <v>-157450</v>
      </c>
      <c r="L116" s="11">
        <f t="shared" si="12"/>
        <v>-55125</v>
      </c>
      <c r="M116" s="11">
        <f t="shared" si="12"/>
        <v>-57881.25</v>
      </c>
      <c r="N116" s="11">
        <f t="shared" si="12"/>
        <v>-60775.3125</v>
      </c>
      <c r="O116" s="11">
        <f t="shared" si="12"/>
        <v>-63814.078125</v>
      </c>
      <c r="P116" s="24"/>
    </row>
    <row r="117" spans="1:16" x14ac:dyDescent="0.3">
      <c r="B117" s="23"/>
      <c r="P117" s="6"/>
    </row>
    <row r="118" spans="1:16" x14ac:dyDescent="0.3">
      <c r="B118" s="23" t="s">
        <v>58</v>
      </c>
      <c r="E118" s="11">
        <f>E26+E27</f>
        <v>0</v>
      </c>
      <c r="F118" s="11">
        <f>F26+F27</f>
        <v>0</v>
      </c>
      <c r="G118" s="11">
        <f>G26+G27</f>
        <v>0</v>
      </c>
      <c r="H118" s="11">
        <f>H26+H27</f>
        <v>0</v>
      </c>
      <c r="I118" s="11">
        <f>I26+I27</f>
        <v>0</v>
      </c>
      <c r="J118" s="11"/>
      <c r="K118" s="11">
        <f>K26+K27</f>
        <v>0</v>
      </c>
      <c r="L118" s="11">
        <f>L26+L27</f>
        <v>0</v>
      </c>
      <c r="M118" s="11">
        <f>M26+M27</f>
        <v>0</v>
      </c>
      <c r="N118" s="11">
        <f>N26+N27</f>
        <v>0</v>
      </c>
      <c r="O118" s="11">
        <f>O26+O27</f>
        <v>0</v>
      </c>
      <c r="P118" s="24"/>
    </row>
    <row r="119" spans="1:16" x14ac:dyDescent="0.3">
      <c r="B119" s="14"/>
      <c r="P119" s="6"/>
    </row>
    <row r="120" spans="1:16" x14ac:dyDescent="0.3">
      <c r="B120" s="14" t="s">
        <v>59</v>
      </c>
      <c r="E120" s="2">
        <f>SUM(E88:E89)*$D$6+SUM(E10:E13)*$D$6</f>
        <v>2700</v>
      </c>
      <c r="F120" s="2">
        <f>SUM(F88:F89)*$D$6+SUM(F10:F13)*$D$6</f>
        <v>3239.4736141833891</v>
      </c>
      <c r="G120" s="2">
        <f>SUM(G88:G89)*$D$6+SUM(G10:G13)*$D$6</f>
        <v>4369.270730806611</v>
      </c>
      <c r="H120" s="2">
        <f>SUM(H88:H89)*$D$6+SUM(H10:H13)*$D$6</f>
        <v>5974.6687731292586</v>
      </c>
      <c r="I120" s="2">
        <f>SUM(I88:I89)*$D$6+SUM(I10:I13)*$D$6</f>
        <v>9240.6141658333436</v>
      </c>
      <c r="K120" s="2">
        <f>SUM(K88:K89)*$D$6+SUM(E10:E13)*$D$6</f>
        <v>2700</v>
      </c>
      <c r="L120" s="2">
        <f>SUM(L88:L89)*$D$6+SUM(F10:F13)*$D$6</f>
        <v>7234.2681685100342</v>
      </c>
      <c r="M120" s="2">
        <f>SUM(M88:M89)*$D$6+SUM(G10:G13)*$D$6</f>
        <v>10661.072153871073</v>
      </c>
      <c r="N120" s="2">
        <f>SUM(N88:N89)*$D$6+SUM(H10:H13)*$D$6</f>
        <v>12581.060267346944</v>
      </c>
      <c r="O120" s="2">
        <f>SUM(O88:O89)*$D$6+SUM(I10:I13)*$D$6</f>
        <v>13865.088211785724</v>
      </c>
      <c r="P120" s="6"/>
    </row>
    <row r="121" spans="1:16" x14ac:dyDescent="0.3">
      <c r="B121" s="14" t="s">
        <v>37</v>
      </c>
      <c r="E121" s="2">
        <f>-E93</f>
        <v>-2250</v>
      </c>
      <c r="F121" s="2">
        <f>-F93</f>
        <v>-2699.5613451528225</v>
      </c>
      <c r="G121" s="2">
        <f>-G93</f>
        <v>-3641.058942338841</v>
      </c>
      <c r="H121" s="2">
        <f>-H93</f>
        <v>-4978.8906442743837</v>
      </c>
      <c r="I121" s="2">
        <f>-I93</f>
        <v>-7700.5118048611203</v>
      </c>
      <c r="K121" s="2">
        <f>-K93</f>
        <v>-2250</v>
      </c>
      <c r="L121" s="2">
        <f>-L93</f>
        <v>-6028.5568070916961</v>
      </c>
      <c r="M121" s="2">
        <f>-M93</f>
        <v>-8884.2267948925601</v>
      </c>
      <c r="N121" s="2">
        <f>-N93</f>
        <v>-10484.216889455791</v>
      </c>
      <c r="O121" s="2">
        <f>-O93</f>
        <v>-11554.240176488103</v>
      </c>
      <c r="P121" s="6"/>
    </row>
    <row r="122" spans="1:16" x14ac:dyDescent="0.3">
      <c r="B122" s="23" t="s">
        <v>60</v>
      </c>
      <c r="E122" s="25">
        <f>SUM(E120:E121)</f>
        <v>450</v>
      </c>
      <c r="F122" s="11">
        <f t="shared" ref="F122:O122" si="13">SUM(F120:F121)</f>
        <v>539.91226903056668</v>
      </c>
      <c r="G122" s="11">
        <f t="shared" si="13"/>
        <v>728.21178846777002</v>
      </c>
      <c r="H122" s="11">
        <f t="shared" si="13"/>
        <v>995.77812885487492</v>
      </c>
      <c r="I122" s="11">
        <f t="shared" si="13"/>
        <v>1540.1023609722233</v>
      </c>
      <c r="J122" s="11"/>
      <c r="K122" s="25">
        <f t="shared" si="13"/>
        <v>450</v>
      </c>
      <c r="L122" s="11">
        <f t="shared" si="13"/>
        <v>1205.7113614183381</v>
      </c>
      <c r="M122" s="11">
        <f t="shared" si="13"/>
        <v>1776.8453589785131</v>
      </c>
      <c r="N122" s="11">
        <f t="shared" si="13"/>
        <v>2096.8433778911531</v>
      </c>
      <c r="O122" s="11">
        <f t="shared" si="13"/>
        <v>2310.8480352976203</v>
      </c>
      <c r="P122" s="24"/>
    </row>
    <row r="123" spans="1:16" ht="15" thickBot="1" x14ac:dyDescent="0.35">
      <c r="B123" s="14"/>
      <c r="P123" s="6"/>
    </row>
    <row r="124" spans="1:16" ht="15" thickBot="1" x14ac:dyDescent="0.35">
      <c r="B124" s="26" t="s">
        <v>61</v>
      </c>
      <c r="C124" s="8"/>
      <c r="D124" s="8"/>
      <c r="E124" s="27">
        <f>E111+E116+E118+E122</f>
        <v>168949.77309694339</v>
      </c>
      <c r="F124" s="28">
        <f>F111+F116+F118+F122</f>
        <v>250534.52167046303</v>
      </c>
      <c r="G124" s="28">
        <f>G111+G116+G118+G122</f>
        <v>230365.63669209584</v>
      </c>
      <c r="H124" s="28">
        <f>H111+H116+H118+H122</f>
        <v>191594.24556139449</v>
      </c>
      <c r="I124" s="28">
        <f>I111+I116+I118+I122</f>
        <v>163250.85026305553</v>
      </c>
      <c r="J124" s="28"/>
      <c r="K124" s="27">
        <f>K111+K116+K118+K122</f>
        <v>102369.86385816603</v>
      </c>
      <c r="L124" s="28">
        <f>L111+L116+L118+L122</f>
        <v>216245.86841249271</v>
      </c>
      <c r="M124" s="28">
        <f>M111+M116+M118+M122</f>
        <v>231414.27026260659</v>
      </c>
      <c r="N124" s="28">
        <f>N111+N116+N118+N122</f>
        <v>231232.59452670059</v>
      </c>
      <c r="O124" s="28">
        <f>O111+O116+O118+O122</f>
        <v>244949.89174154759</v>
      </c>
      <c r="P124" s="29"/>
    </row>
    <row r="126" spans="1:16" x14ac:dyDescent="0.3">
      <c r="B126" s="30"/>
      <c r="N126" s="31"/>
    </row>
    <row r="127" spans="1:16" x14ac:dyDescent="0.3">
      <c r="A127" s="3"/>
    </row>
    <row r="128" spans="1:16" x14ac:dyDescent="0.3">
      <c r="A128" s="3"/>
    </row>
    <row r="137" spans="1:5" x14ac:dyDescent="0.3">
      <c r="A137" s="32"/>
    </row>
    <row r="138" spans="1:5" x14ac:dyDescent="0.3">
      <c r="A138" s="33"/>
    </row>
    <row r="143" spans="1:5" x14ac:dyDescent="0.3">
      <c r="E143" s="34"/>
    </row>
    <row r="144" spans="1:5" x14ac:dyDescent="0.3">
      <c r="B144" s="12"/>
      <c r="E144" s="35"/>
    </row>
    <row r="145" spans="1:16" x14ac:dyDescent="0.3"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</row>
    <row r="155" spans="1:16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6" x14ac:dyDescent="0.3">
      <c r="B156" s="10"/>
    </row>
    <row r="162" spans="1:16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1:16" x14ac:dyDescent="0.3">
      <c r="B163" s="10"/>
    </row>
    <row r="164" spans="1:16" x14ac:dyDescent="0.3">
      <c r="B164" s="10"/>
    </row>
    <row r="165" spans="1:16" x14ac:dyDescent="0.3">
      <c r="B165" s="10"/>
    </row>
    <row r="166" spans="1:16" x14ac:dyDescent="0.3">
      <c r="B166" s="10"/>
    </row>
  </sheetData>
  <mergeCells count="1">
    <mergeCell ref="G2:O4"/>
  </mergeCells>
  <pageMargins left="0.7" right="0.7" top="0.75" bottom="0.75" header="0.3" footer="0.3"/>
  <pageSetup orientation="portrait" r:id="rId1"/>
  <headerFooter>
    <oddFooter>&amp;C_x000D_&amp;1#&amp;"Calibri"&amp;10&amp;K000000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Zadra</dc:creator>
  <cp:lastModifiedBy>Mark Dulceak</cp:lastModifiedBy>
  <dcterms:created xsi:type="dcterms:W3CDTF">2024-01-05T01:43:13Z</dcterms:created>
  <dcterms:modified xsi:type="dcterms:W3CDTF">2024-02-01T15:24:08Z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9aa860-6a65-4942-a19a-0478291725e1_Enabled">
    <vt:lpwstr>true</vt:lpwstr>
  </property>
  <property fmtid="{D5CDD505-2E9C-101B-9397-08002B2CF9AE}" pid="3" name="MSIP_Label_3c9aa860-6a65-4942-a19a-0478291725e1_SetDate">
    <vt:lpwstr>2024-01-05T01:44:05Z</vt:lpwstr>
  </property>
  <property fmtid="{D5CDD505-2E9C-101B-9397-08002B2CF9AE}" pid="4" name="MSIP_Label_3c9aa860-6a65-4942-a19a-0478291725e1_Method">
    <vt:lpwstr>Privileged</vt:lpwstr>
  </property>
  <property fmtid="{D5CDD505-2E9C-101B-9397-08002B2CF9AE}" pid="5" name="MSIP_Label_3c9aa860-6a65-4942-a19a-0478291725e1_Name">
    <vt:lpwstr>CONFIDENTIAL</vt:lpwstr>
  </property>
  <property fmtid="{D5CDD505-2E9C-101B-9397-08002B2CF9AE}" pid="6" name="MSIP_Label_3c9aa860-6a65-4942-a19a-0478291725e1_SiteId">
    <vt:lpwstr>5d3e2773-e07f-4432-a630-1a0f68a28a05</vt:lpwstr>
  </property>
  <property fmtid="{D5CDD505-2E9C-101B-9397-08002B2CF9AE}" pid="7" name="MSIP_Label_3c9aa860-6a65-4942-a19a-0478291725e1_ActionId">
    <vt:lpwstr>4ee2568f-e764-4a46-8ef5-c0b76be064a4</vt:lpwstr>
  </property>
  <property fmtid="{D5CDD505-2E9C-101B-9397-08002B2CF9AE}" pid="8" name="MSIP_Label_3c9aa860-6a65-4942-a19a-0478291725e1_ContentBits">
    <vt:lpwstr>2</vt:lpwstr>
  </property>
</Properties>
</file>