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Q:\Aleshia\Fall 2021 solutions\"/>
    </mc:Choice>
  </mc:AlternateContent>
  <xr:revisionPtr revIDLastSave="0" documentId="8_{0A5B169B-5877-420A-9F54-33FA3A02F4A2}" xr6:coauthVersionLast="47" xr6:coauthVersionMax="47" xr10:uidLastSave="{00000000-0000-0000-0000-000000000000}"/>
  <bookViews>
    <workbookView xWindow="384" yWindow="384" windowWidth="17280" windowHeight="8964" tabRatio="784" xr2:uid="{00000000-000D-0000-FFFF-FFFF00000000}"/>
  </bookViews>
  <sheets>
    <sheet name="Question 1" sheetId="37" r:id="rId1"/>
    <sheet name="Question 2" sheetId="38" r:id="rId2"/>
    <sheet name="Question 3" sheetId="40" r:id="rId3"/>
    <sheet name="Question 4" sheetId="41" r:id="rId4"/>
    <sheet name="Question 5" sheetId="42" r:id="rId5"/>
    <sheet name="Question 6" sheetId="43" r:id="rId6"/>
    <sheet name="Question 7" sheetId="44" r:id="rId7"/>
    <sheet name="Question 8" sheetId="45" r:id="rId8"/>
    <sheet name="Question 9" sheetId="46" r:id="rId9"/>
    <sheet name="Question 10" sheetId="47" r:id="rId10"/>
    <sheet name="Question 11" sheetId="48" r:id="rId11"/>
    <sheet name="Question 12" sheetId="49" r:id="rId12"/>
    <sheet name="Question 13" sheetId="50" r:id="rId13"/>
    <sheet name="Question 14" sheetId="51" r:id="rId14"/>
    <sheet name="Question 15" sheetId="52" r:id="rId15"/>
    <sheet name="Question 16" sheetId="53" r:id="rId16"/>
    <sheet name="Question 17" sheetId="54" r:id="rId17"/>
    <sheet name="Question 18" sheetId="55" r:id="rId18"/>
    <sheet name="Question 19" sheetId="56" r:id="rId19"/>
    <sheet name="Question 20" sheetId="57" r:id="rId20"/>
  </sheets>
  <definedNames>
    <definedName name="_xlnm.Print_Area" localSheetId="0">'Question 1'!$A$1:$L$63</definedName>
    <definedName name="_xlnm.Print_Area" localSheetId="9">'Question 10'!$A$1:$L$44</definedName>
    <definedName name="_xlnm.Print_Area" localSheetId="10">'Question 11'!$A$1:$L$57</definedName>
    <definedName name="_xlnm.Print_Area" localSheetId="11">'Question 12'!$A$1:$H$18</definedName>
    <definedName name="_xlnm.Print_Area" localSheetId="12">'Question 13'!$A$1:$L$69</definedName>
    <definedName name="_xlnm.Print_Area" localSheetId="13">'Question 14'!$A$1:$L$67</definedName>
    <definedName name="_xlnm.Print_Area" localSheetId="14">'Question 15'!$A$1:$L$41</definedName>
    <definedName name="_xlnm.Print_Area" localSheetId="15">'Question 16'!$A$1:$L$129</definedName>
    <definedName name="_xlnm.Print_Area" localSheetId="16">'Question 17'!$A$1:$L$80</definedName>
    <definedName name="_xlnm.Print_Area" localSheetId="17">'Question 18'!$A$1:$L$123</definedName>
    <definedName name="_xlnm.Print_Area" localSheetId="18">'Question 19'!$A$1:$L$77</definedName>
    <definedName name="_xlnm.Print_Area" localSheetId="1">'Question 2'!$A$1:$L$71</definedName>
    <definedName name="_xlnm.Print_Area" localSheetId="19">'Question 20'!$A$1:$L$44</definedName>
    <definedName name="_xlnm.Print_Area" localSheetId="2">'Question 3'!$A$1:$L$47</definedName>
    <definedName name="_xlnm.Print_Area" localSheetId="3">'Question 4'!$A$1:$L$72</definedName>
    <definedName name="_xlnm.Print_Area" localSheetId="4">'Question 5'!$A$1:$L$50</definedName>
    <definedName name="_xlnm.Print_Area" localSheetId="5">'Question 6'!$A$1:$L$83</definedName>
    <definedName name="_xlnm.Print_Area" localSheetId="6">'Question 7'!$A$1:$L$4</definedName>
    <definedName name="_xlnm.Print_Area" localSheetId="7">'Question 8'!$A$1:$L$97</definedName>
    <definedName name="_xlnm.Print_Area" localSheetId="8">'Question 9'!$A$1:$L$104</definedName>
    <definedName name="Tail">'Question 14'!$D$44</definedName>
    <definedName name="Trend">'Question 14'!$D$43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8" i="54" l="1"/>
  <c r="C68" i="54"/>
  <c r="D67" i="54"/>
  <c r="C67" i="54"/>
  <c r="D52" i="54"/>
  <c r="F50" i="54"/>
  <c r="F49" i="54"/>
  <c r="D50" i="54" s="1"/>
  <c r="D49" i="54"/>
  <c r="C69" i="54" l="1"/>
  <c r="C70" i="54" s="1"/>
  <c r="D69" i="54"/>
  <c r="D70" i="54" s="1"/>
  <c r="D54" i="54"/>
  <c r="D55" i="54"/>
  <c r="D83" i="45" l="1"/>
  <c r="C83" i="45"/>
  <c r="F74" i="45"/>
  <c r="E74" i="45"/>
  <c r="D74" i="45"/>
  <c r="C74" i="45"/>
  <c r="G65" i="45"/>
  <c r="G64" i="45"/>
  <c r="G63" i="45"/>
  <c r="G62" i="45"/>
  <c r="C24" i="45"/>
  <c r="D23" i="45"/>
  <c r="F23" i="45" s="1"/>
  <c r="C69" i="45" s="1"/>
  <c r="G69" i="45" s="1"/>
  <c r="D52" i="57"/>
  <c r="C48" i="57"/>
  <c r="D48" i="57" s="1"/>
  <c r="C47" i="57"/>
  <c r="D47" i="57" s="1"/>
  <c r="C46" i="57"/>
  <c r="D46" i="57" s="1"/>
  <c r="D49" i="57" s="1"/>
  <c r="C24" i="57"/>
  <c r="D24" i="57" s="1"/>
  <c r="C33" i="57" s="1"/>
  <c r="C36" i="57" s="1"/>
  <c r="C23" i="57"/>
  <c r="D23" i="57" s="1"/>
  <c r="C22" i="57"/>
  <c r="D22" i="57" s="1"/>
  <c r="C31" i="57" s="1"/>
  <c r="E24" i="57"/>
  <c r="D33" i="57" s="1"/>
  <c r="E23" i="57"/>
  <c r="D32" i="57" s="1"/>
  <c r="E22" i="57"/>
  <c r="D31" i="57" s="1"/>
  <c r="B22" i="57"/>
  <c r="B23" i="57" s="1"/>
  <c r="B24" i="57" s="1"/>
  <c r="G65" i="56"/>
  <c r="F65" i="56"/>
  <c r="D65" i="56"/>
  <c r="G64" i="56"/>
  <c r="F64" i="56"/>
  <c r="D64" i="56"/>
  <c r="G63" i="56"/>
  <c r="F63" i="56"/>
  <c r="D63" i="56"/>
  <c r="G55" i="56"/>
  <c r="F55" i="56"/>
  <c r="D55" i="56"/>
  <c r="G54" i="56"/>
  <c r="F54" i="56"/>
  <c r="D54" i="56"/>
  <c r="G53" i="56"/>
  <c r="F53" i="56"/>
  <c r="D53" i="56"/>
  <c r="G45" i="56"/>
  <c r="F45" i="56"/>
  <c r="D45" i="56"/>
  <c r="G44" i="56"/>
  <c r="F44" i="56"/>
  <c r="D44" i="56"/>
  <c r="H43" i="56"/>
  <c r="H44" i="56" s="1"/>
  <c r="G43" i="56"/>
  <c r="F43" i="56"/>
  <c r="D43" i="56"/>
  <c r="G42" i="56"/>
  <c r="F42" i="56"/>
  <c r="D42" i="56"/>
  <c r="E23" i="45" l="1"/>
  <c r="D24" i="45"/>
  <c r="C25" i="45"/>
  <c r="D34" i="57"/>
  <c r="D36" i="57" s="1"/>
  <c r="D50" i="57"/>
  <c r="D55" i="57" s="1"/>
  <c r="F23" i="57"/>
  <c r="E32" i="57" s="1"/>
  <c r="C32" i="57"/>
  <c r="C34" i="57" s="1"/>
  <c r="E36" i="57"/>
  <c r="F24" i="57"/>
  <c r="E33" i="57" s="1"/>
  <c r="F22" i="57"/>
  <c r="E31" i="57" s="1"/>
  <c r="H54" i="56"/>
  <c r="I44" i="56"/>
  <c r="I42" i="56"/>
  <c r="H63" i="56"/>
  <c r="H64" i="56"/>
  <c r="H55" i="56"/>
  <c r="H53" i="56"/>
  <c r="H65" i="56"/>
  <c r="I43" i="56"/>
  <c r="I45" i="56"/>
  <c r="F24" i="45" l="1"/>
  <c r="E24" i="45"/>
  <c r="D25" i="45"/>
  <c r="C26" i="45"/>
  <c r="E34" i="57"/>
  <c r="H56" i="56"/>
  <c r="I46" i="56"/>
  <c r="H66" i="56"/>
  <c r="B36" i="54"/>
  <c r="B34" i="54"/>
  <c r="C62" i="48"/>
  <c r="D49" i="48"/>
  <c r="F34" i="48"/>
  <c r="F33" i="48" s="1"/>
  <c r="F32" i="48" s="1"/>
  <c r="F31" i="48" s="1"/>
  <c r="F30" i="48" s="1"/>
  <c r="F29" i="48" s="1"/>
  <c r="E34" i="48"/>
  <c r="D35" i="48"/>
  <c r="I35" i="48" s="1"/>
  <c r="D34" i="48"/>
  <c r="D33" i="48"/>
  <c r="D32" i="48"/>
  <c r="D31" i="48"/>
  <c r="D30" i="48"/>
  <c r="D29" i="48"/>
  <c r="C35" i="48"/>
  <c r="H35" i="48" s="1"/>
  <c r="C34" i="48"/>
  <c r="C33" i="48"/>
  <c r="C32" i="48"/>
  <c r="C31" i="48"/>
  <c r="C30" i="48"/>
  <c r="C29" i="48"/>
  <c r="G30" i="48"/>
  <c r="G31" i="48" s="1"/>
  <c r="G32" i="48" s="1"/>
  <c r="G33" i="48" s="1"/>
  <c r="G34" i="48" s="1"/>
  <c r="C70" i="45" l="1"/>
  <c r="D70" i="45"/>
  <c r="F25" i="45"/>
  <c r="E25" i="45"/>
  <c r="D26" i="45"/>
  <c r="I72" i="56"/>
  <c r="H34" i="48"/>
  <c r="E33" i="48"/>
  <c r="E32" i="48" s="1"/>
  <c r="E31" i="48" s="1"/>
  <c r="E30" i="48" s="1"/>
  <c r="E29" i="48" s="1"/>
  <c r="I32" i="48"/>
  <c r="I33" i="48"/>
  <c r="I34" i="48"/>
  <c r="H31" i="48"/>
  <c r="H32" i="48"/>
  <c r="H33" i="48"/>
  <c r="G70" i="45" l="1"/>
  <c r="C71" i="45"/>
  <c r="E71" i="45"/>
  <c r="D71" i="45"/>
  <c r="F26" i="45"/>
  <c r="E26" i="45"/>
  <c r="E27" i="45" s="1"/>
  <c r="I31" i="48"/>
  <c r="H30" i="48"/>
  <c r="H29" i="48"/>
  <c r="G77" i="45" l="1"/>
  <c r="C81" i="45" s="1"/>
  <c r="C80" i="45"/>
  <c r="C85" i="45" s="1"/>
  <c r="F27" i="45"/>
  <c r="D80" i="45" s="1"/>
  <c r="C72" i="45"/>
  <c r="F72" i="45"/>
  <c r="F73" i="45" s="1"/>
  <c r="F75" i="45" s="1"/>
  <c r="E72" i="45"/>
  <c r="E73" i="45" s="1"/>
  <c r="E75" i="45" s="1"/>
  <c r="D72" i="45"/>
  <c r="D73" i="45" s="1"/>
  <c r="D75" i="45" s="1"/>
  <c r="C73" i="45"/>
  <c r="C75" i="45" s="1"/>
  <c r="G71" i="45"/>
  <c r="H37" i="48"/>
  <c r="H36" i="48"/>
  <c r="D38" i="48" s="1"/>
  <c r="I29" i="48"/>
  <c r="I30" i="48"/>
  <c r="D85" i="45" l="1"/>
  <c r="G72" i="45"/>
  <c r="G73" i="45" s="1"/>
  <c r="G75" i="45"/>
  <c r="I37" i="48"/>
  <c r="I36" i="48"/>
  <c r="D39" i="48" s="1"/>
  <c r="D41" i="48" s="1"/>
  <c r="D50" i="48" s="1"/>
  <c r="D51" i="48" s="1"/>
  <c r="C84" i="45" l="1"/>
  <c r="C86" i="45" s="1"/>
  <c r="C88" i="45" s="1"/>
  <c r="D81" i="45"/>
  <c r="G43" i="52"/>
  <c r="F45" i="52"/>
  <c r="F46" i="52" s="1"/>
  <c r="F44" i="52"/>
  <c r="F43" i="52"/>
  <c r="E46" i="52"/>
  <c r="E45" i="52"/>
  <c r="E44" i="52"/>
  <c r="E43" i="52"/>
  <c r="D46" i="52"/>
  <c r="D45" i="52"/>
  <c r="D44" i="52"/>
  <c r="D43" i="52"/>
  <c r="C45" i="52"/>
  <c r="C46" i="52" s="1"/>
  <c r="C44" i="52"/>
  <c r="C43" i="52"/>
  <c r="B45" i="52"/>
  <c r="B46" i="52" s="1"/>
  <c r="G44" i="52"/>
  <c r="G45" i="52" s="1"/>
  <c r="B44" i="52"/>
  <c r="H22" i="52"/>
  <c r="H25" i="52" s="1"/>
  <c r="H103" i="51"/>
  <c r="H104" i="51" s="1"/>
  <c r="H97" i="51"/>
  <c r="C56" i="51"/>
  <c r="C75" i="51" s="1"/>
  <c r="D55" i="51"/>
  <c r="D74" i="51" s="1"/>
  <c r="C55" i="51"/>
  <c r="E54" i="51"/>
  <c r="E73" i="51" s="1"/>
  <c r="E82" i="51" s="1"/>
  <c r="D54" i="51"/>
  <c r="C54" i="51"/>
  <c r="F53" i="51"/>
  <c r="F72" i="51" s="1"/>
  <c r="E53" i="51"/>
  <c r="D53" i="51"/>
  <c r="C53" i="51"/>
  <c r="G52" i="51"/>
  <c r="G71" i="51" s="1"/>
  <c r="F52" i="51"/>
  <c r="E52" i="51"/>
  <c r="D52" i="51"/>
  <c r="C52" i="51"/>
  <c r="H51" i="51"/>
  <c r="H70" i="51" s="1"/>
  <c r="G51" i="51"/>
  <c r="F51" i="51"/>
  <c r="E51" i="51"/>
  <c r="D51" i="51"/>
  <c r="C51" i="51"/>
  <c r="D84" i="45" l="1"/>
  <c r="D86" i="45" s="1"/>
  <c r="D88" i="45" s="1"/>
  <c r="G46" i="52"/>
  <c r="H44" i="52"/>
  <c r="H43" i="52"/>
  <c r="H23" i="52"/>
  <c r="H24" i="52" s="1"/>
  <c r="H26" i="52" s="1"/>
  <c r="H27" i="52" s="1"/>
  <c r="E91" i="51"/>
  <c r="C84" i="51"/>
  <c r="C74" i="51"/>
  <c r="H79" i="51"/>
  <c r="F71" i="51"/>
  <c r="F81" i="51"/>
  <c r="G80" i="51"/>
  <c r="G89" i="51" s="1"/>
  <c r="G70" i="51"/>
  <c r="D83" i="51"/>
  <c r="D73" i="51"/>
  <c r="E72" i="51"/>
  <c r="H45" i="52" l="1"/>
  <c r="C112" i="51"/>
  <c r="C110" i="51"/>
  <c r="H88" i="51"/>
  <c r="C93" i="51"/>
  <c r="C114" i="51" s="1"/>
  <c r="F90" i="51"/>
  <c r="D92" i="51"/>
  <c r="G79" i="51"/>
  <c r="G88" i="51" s="1"/>
  <c r="F70" i="51"/>
  <c r="F79" i="51" s="1"/>
  <c r="F88" i="51" s="1"/>
  <c r="F80" i="51"/>
  <c r="F89" i="51" s="1"/>
  <c r="E71" i="51"/>
  <c r="E81" i="51"/>
  <c r="D72" i="51"/>
  <c r="D82" i="51"/>
  <c r="C83" i="51"/>
  <c r="C73" i="51"/>
  <c r="H46" i="52" l="1"/>
  <c r="G103" i="51"/>
  <c r="C113" i="51"/>
  <c r="C111" i="51"/>
  <c r="C109" i="51"/>
  <c r="G97" i="51"/>
  <c r="F98" i="51"/>
  <c r="F97" i="51"/>
  <c r="C92" i="51"/>
  <c r="C101" i="51" s="1"/>
  <c r="D91" i="51"/>
  <c r="E90" i="51"/>
  <c r="E99" i="51" s="1"/>
  <c r="F103" i="51"/>
  <c r="D71" i="51"/>
  <c r="D81" i="51"/>
  <c r="E70" i="51"/>
  <c r="E79" i="51" s="1"/>
  <c r="E88" i="51" s="1"/>
  <c r="E80" i="51"/>
  <c r="C72" i="51"/>
  <c r="C82" i="51"/>
  <c r="C115" i="51" l="1"/>
  <c r="D100" i="51"/>
  <c r="E97" i="51"/>
  <c r="C91" i="51"/>
  <c r="C100" i="51" s="1"/>
  <c r="E89" i="51"/>
  <c r="D90" i="51"/>
  <c r="C71" i="51"/>
  <c r="C81" i="51"/>
  <c r="C90" i="51" s="1"/>
  <c r="G104" i="51"/>
  <c r="F104" i="51" s="1"/>
  <c r="D70" i="51"/>
  <c r="D79" i="51" s="1"/>
  <c r="D88" i="51" s="1"/>
  <c r="D80" i="51"/>
  <c r="D89" i="51" s="1"/>
  <c r="C99" i="51" l="1"/>
  <c r="E103" i="51"/>
  <c r="D98" i="51"/>
  <c r="E98" i="51"/>
  <c r="E104" i="51"/>
  <c r="C98" i="51"/>
  <c r="D99" i="51"/>
  <c r="D97" i="51"/>
  <c r="D111" i="51"/>
  <c r="E111" i="51" s="1"/>
  <c r="F111" i="51" s="1"/>
  <c r="C70" i="51"/>
  <c r="C79" i="51" s="1"/>
  <c r="C88" i="51" s="1"/>
  <c r="C97" i="51" s="1"/>
  <c r="C80" i="51"/>
  <c r="C89" i="51" s="1"/>
  <c r="D110" i="51"/>
  <c r="E110" i="51" s="1"/>
  <c r="F110" i="51" s="1"/>
  <c r="D109" i="51"/>
  <c r="E109" i="51" s="1"/>
  <c r="F109" i="51" s="1"/>
  <c r="D103" i="51"/>
  <c r="D104" i="51" l="1"/>
  <c r="D113" i="51" s="1"/>
  <c r="E113" i="51" s="1"/>
  <c r="F113" i="51" s="1"/>
  <c r="D112" i="51"/>
  <c r="E112" i="51" s="1"/>
  <c r="F112" i="51" s="1"/>
  <c r="C103" i="51"/>
  <c r="C104" i="51" l="1"/>
  <c r="D114" i="51" s="1"/>
  <c r="E114" i="51" s="1"/>
  <c r="F114" i="51" l="1"/>
  <c r="F115" i="51" s="1"/>
  <c r="E115" i="51"/>
  <c r="C78" i="50" l="1"/>
  <c r="C77" i="50"/>
  <c r="D71" i="50"/>
  <c r="D70" i="50"/>
  <c r="D77" i="50" s="1"/>
  <c r="G74" i="50"/>
  <c r="E78" i="50" s="1"/>
  <c r="D78" i="50"/>
  <c r="C44" i="50"/>
  <c r="E29" i="50"/>
  <c r="F29" i="50" s="1"/>
  <c r="E28" i="50"/>
  <c r="F28" i="50" s="1"/>
  <c r="E27" i="50"/>
  <c r="F27" i="50" s="1"/>
  <c r="E26" i="50"/>
  <c r="F26" i="50" s="1"/>
  <c r="E25" i="50"/>
  <c r="E44" i="50" s="1"/>
  <c r="E45" i="50" s="1"/>
  <c r="C30" i="50"/>
  <c r="D29" i="50"/>
  <c r="D28" i="50"/>
  <c r="D27" i="50"/>
  <c r="D26" i="50"/>
  <c r="B26" i="50"/>
  <c r="B27" i="50" s="1"/>
  <c r="B28" i="50" s="1"/>
  <c r="B29" i="50" s="1"/>
  <c r="D25" i="50"/>
  <c r="D44" i="50" s="1"/>
  <c r="E48" i="47"/>
  <c r="E47" i="47"/>
  <c r="E46" i="47"/>
  <c r="D33" i="47"/>
  <c r="E33" i="47" s="1"/>
  <c r="F33" i="47" s="1"/>
  <c r="D32" i="47"/>
  <c r="E32" i="47" s="1"/>
  <c r="F32" i="47" s="1"/>
  <c r="D31" i="47"/>
  <c r="B31" i="47"/>
  <c r="B32" i="47" s="1"/>
  <c r="B33" i="47" s="1"/>
  <c r="D30" i="47"/>
  <c r="E30" i="47" s="1"/>
  <c r="F30" i="47" s="1"/>
  <c r="D29" i="47"/>
  <c r="E29" i="47" s="1"/>
  <c r="F29" i="47" s="1"/>
  <c r="E77" i="50" l="1"/>
  <c r="F77" i="50" s="1"/>
  <c r="F78" i="50"/>
  <c r="F25" i="50"/>
  <c r="F44" i="50" s="1"/>
  <c r="F45" i="50" s="1"/>
  <c r="D30" i="50"/>
  <c r="F30" i="50"/>
  <c r="E30" i="50"/>
  <c r="E31" i="50" s="1"/>
  <c r="D38" i="47"/>
  <c r="E31" i="47"/>
  <c r="F31" i="47" s="1"/>
  <c r="D36" i="47"/>
  <c r="F79" i="50" l="1"/>
  <c r="F31" i="50"/>
  <c r="G55" i="42" l="1"/>
  <c r="G56" i="42" s="1"/>
  <c r="G60" i="42" s="1"/>
  <c r="G53" i="42"/>
  <c r="G59" i="42" s="1"/>
  <c r="E32" i="42"/>
  <c r="E31" i="42"/>
  <c r="E30" i="42"/>
  <c r="E29" i="42"/>
  <c r="B29" i="42"/>
  <c r="B30" i="42" s="1"/>
  <c r="B31" i="42" s="1"/>
  <c r="B32" i="42" s="1"/>
  <c r="E28" i="42"/>
  <c r="E58" i="41"/>
  <c r="E57" i="41"/>
  <c r="G57" i="41"/>
  <c r="F57" i="41"/>
  <c r="H57" i="41"/>
  <c r="G58" i="41"/>
  <c r="F58" i="41"/>
  <c r="H58" i="41"/>
  <c r="H59" i="41"/>
  <c r="H60" i="41"/>
  <c r="H61" i="41"/>
  <c r="E56" i="41"/>
  <c r="G56" i="41"/>
  <c r="F56" i="41"/>
  <c r="H56" i="41"/>
  <c r="F18" i="41"/>
  <c r="F20" i="41"/>
  <c r="F21" i="41"/>
  <c r="F22" i="41"/>
  <c r="F23" i="41"/>
  <c r="D35" i="41"/>
  <c r="C51" i="40"/>
  <c r="C52" i="40"/>
  <c r="D52" i="40"/>
  <c r="C50" i="40"/>
  <c r="D51" i="40"/>
  <c r="D50" i="40"/>
  <c r="F32" i="40"/>
  <c r="F33" i="40"/>
  <c r="F34" i="40"/>
  <c r="F35" i="40"/>
  <c r="F36" i="40"/>
  <c r="F38" i="40"/>
  <c r="F39" i="40"/>
  <c r="F40" i="40"/>
  <c r="E32" i="40"/>
  <c r="E33" i="40"/>
  <c r="E34" i="40"/>
  <c r="E35" i="40"/>
  <c r="E36" i="40"/>
  <c r="E38" i="40"/>
  <c r="E39" i="40"/>
  <c r="E40" i="40"/>
  <c r="D32" i="40"/>
  <c r="D33" i="40"/>
  <c r="D34" i="40"/>
  <c r="D35" i="40"/>
  <c r="D36" i="40"/>
  <c r="D38" i="40"/>
  <c r="D39" i="40"/>
  <c r="D40" i="40"/>
  <c r="F31" i="40"/>
  <c r="F37" i="40"/>
  <c r="E31" i="40"/>
  <c r="E37" i="40"/>
  <c r="D31" i="40"/>
  <c r="D37" i="40"/>
  <c r="F30" i="40"/>
  <c r="E30" i="40"/>
  <c r="D30" i="40"/>
  <c r="B36" i="40"/>
  <c r="B35" i="40"/>
  <c r="B34" i="40"/>
  <c r="B33" i="40"/>
  <c r="B32" i="40"/>
  <c r="B31" i="40"/>
  <c r="C119" i="53"/>
  <c r="D118" i="53"/>
  <c r="C118" i="53"/>
  <c r="E117" i="53"/>
  <c r="D117" i="53"/>
  <c r="C117" i="53"/>
  <c r="F116" i="53"/>
  <c r="E116" i="53"/>
  <c r="D116" i="53"/>
  <c r="C116" i="53"/>
  <c r="G115" i="53"/>
  <c r="F115" i="53"/>
  <c r="E115" i="53"/>
  <c r="D115" i="53"/>
  <c r="C115" i="53"/>
  <c r="H114" i="53"/>
  <c r="G114" i="53"/>
  <c r="F114" i="53"/>
  <c r="E114" i="53"/>
  <c r="D114" i="53"/>
  <c r="C114" i="53"/>
  <c r="I113" i="53"/>
  <c r="H113" i="53"/>
  <c r="G113" i="53"/>
  <c r="F113" i="53"/>
  <c r="E113" i="53"/>
  <c r="D113" i="53"/>
  <c r="C113" i="53"/>
  <c r="B119" i="53"/>
  <c r="B118" i="53"/>
  <c r="B117" i="53"/>
  <c r="B116" i="53"/>
  <c r="B115" i="53"/>
  <c r="B114" i="53"/>
  <c r="B113" i="53"/>
  <c r="D112" i="53"/>
  <c r="E112" i="53"/>
  <c r="F112" i="53"/>
  <c r="G112" i="53"/>
  <c r="H112" i="53"/>
  <c r="I112" i="53"/>
  <c r="D62" i="53"/>
  <c r="C62" i="53"/>
  <c r="F61" i="53"/>
  <c r="E61" i="53"/>
  <c r="D61" i="53"/>
  <c r="C61" i="53"/>
  <c r="H60" i="53"/>
  <c r="G60" i="53"/>
  <c r="F60" i="53"/>
  <c r="E60" i="53"/>
  <c r="D60" i="53"/>
  <c r="C60" i="53"/>
  <c r="D50" i="53"/>
  <c r="C50" i="53"/>
  <c r="C56" i="53"/>
  <c r="F49" i="53"/>
  <c r="E49" i="53"/>
  <c r="D49" i="53"/>
  <c r="C49" i="53"/>
  <c r="C55" i="53"/>
  <c r="H48" i="53"/>
  <c r="G48" i="53"/>
  <c r="F48" i="53"/>
  <c r="E48" i="53"/>
  <c r="D48" i="53"/>
  <c r="C48" i="53"/>
  <c r="C68" i="53"/>
  <c r="D55" i="53"/>
  <c r="C67" i="53"/>
  <c r="C54" i="53"/>
  <c r="C66" i="53"/>
  <c r="D56" i="53"/>
  <c r="D68" i="53"/>
  <c r="D54" i="53"/>
  <c r="E55" i="53"/>
  <c r="D67" i="53"/>
  <c r="E54" i="53"/>
  <c r="D66" i="53"/>
  <c r="F55" i="53"/>
  <c r="F67" i="53"/>
  <c r="E67" i="53"/>
  <c r="F54" i="53"/>
  <c r="E66" i="53"/>
  <c r="G54" i="53"/>
  <c r="F66" i="53"/>
  <c r="H54" i="53"/>
  <c r="H66" i="53"/>
  <c r="G66" i="53"/>
  <c r="E38" i="43"/>
  <c r="E37" i="43"/>
  <c r="D42" i="43"/>
  <c r="D41" i="43"/>
  <c r="D37" i="43"/>
  <c r="C39" i="43"/>
  <c r="D39" i="43"/>
  <c r="C42" i="43"/>
  <c r="E42" i="43"/>
  <c r="C41" i="43"/>
  <c r="E41" i="43"/>
  <c r="C40" i="43"/>
  <c r="D40" i="43"/>
  <c r="C38" i="43"/>
  <c r="D38" i="43"/>
  <c r="C37" i="43"/>
  <c r="E39" i="43"/>
  <c r="E40" i="43"/>
  <c r="D43" i="43"/>
  <c r="E43" i="43"/>
  <c r="C43" i="43"/>
  <c r="C107" i="55"/>
  <c r="C91" i="55"/>
  <c r="D91" i="55"/>
  <c r="C90" i="55"/>
  <c r="D90" i="55"/>
  <c r="C89" i="55"/>
  <c r="D89" i="55"/>
  <c r="C88" i="55"/>
  <c r="D88" i="55"/>
  <c r="C87" i="55"/>
  <c r="D87" i="55"/>
  <c r="C86" i="55"/>
  <c r="D86" i="55"/>
  <c r="C85" i="55"/>
  <c r="D85" i="55"/>
  <c r="C84" i="55"/>
  <c r="D84" i="55"/>
  <c r="B90" i="55"/>
  <c r="B89" i="55"/>
  <c r="B88" i="55"/>
  <c r="B87" i="55"/>
  <c r="B86" i="55"/>
  <c r="B85" i="55"/>
  <c r="B84" i="55"/>
  <c r="C74" i="55"/>
  <c r="C73" i="55"/>
  <c r="C72" i="55"/>
  <c r="G72" i="55"/>
  <c r="B74" i="55"/>
  <c r="B73" i="55"/>
  <c r="B72" i="55"/>
  <c r="H74" i="55"/>
  <c r="H73" i="55"/>
  <c r="H72" i="55"/>
  <c r="E45" i="55"/>
  <c r="D45" i="55"/>
  <c r="E39" i="55"/>
  <c r="D39" i="55"/>
  <c r="H45" i="55"/>
  <c r="G45" i="55"/>
  <c r="F45" i="55"/>
  <c r="C45" i="55"/>
  <c r="C41" i="55"/>
  <c r="D40" i="55"/>
  <c r="C40" i="55"/>
  <c r="C39" i="55"/>
  <c r="F38" i="55"/>
  <c r="E38" i="55"/>
  <c r="D38" i="55"/>
  <c r="C38" i="55"/>
  <c r="G37" i="55"/>
  <c r="F37" i="55"/>
  <c r="E37" i="55"/>
  <c r="D37" i="55"/>
  <c r="C37" i="55"/>
  <c r="H36" i="55"/>
  <c r="G36" i="55"/>
  <c r="F36" i="55"/>
  <c r="E36" i="55"/>
  <c r="D36" i="55"/>
  <c r="C36" i="55"/>
  <c r="I35" i="55"/>
  <c r="I43" i="55"/>
  <c r="I48" i="55"/>
  <c r="F74" i="55"/>
  <c r="F73" i="55"/>
  <c r="H35" i="55"/>
  <c r="G35" i="55"/>
  <c r="F35" i="55"/>
  <c r="E35" i="55"/>
  <c r="D35" i="55"/>
  <c r="C35" i="55"/>
  <c r="E85" i="55"/>
  <c r="D47" i="55"/>
  <c r="D48" i="55"/>
  <c r="C44" i="55"/>
  <c r="D92" i="55"/>
  <c r="C92" i="55"/>
  <c r="C106" i="55"/>
  <c r="C110" i="55"/>
  <c r="F84" i="55"/>
  <c r="H43" i="55"/>
  <c r="H48" i="55"/>
  <c r="E74" i="55"/>
  <c r="G74" i="55"/>
  <c r="I74" i="55"/>
  <c r="E47" i="55"/>
  <c r="E48" i="55"/>
  <c r="F47" i="55"/>
  <c r="F48" i="55"/>
  <c r="D46" i="55"/>
  <c r="G43" i="55"/>
  <c r="G48" i="55"/>
  <c r="F43" i="55"/>
  <c r="I72" i="55"/>
  <c r="G73" i="55"/>
  <c r="I73" i="55"/>
  <c r="D43" i="55"/>
  <c r="E43" i="55"/>
  <c r="C43" i="55"/>
  <c r="C46" i="55"/>
  <c r="C47" i="55"/>
  <c r="C48" i="55"/>
  <c r="D44" i="55"/>
  <c r="E44" i="55"/>
  <c r="F85" i="55"/>
  <c r="E86" i="55"/>
  <c r="E87" i="55"/>
  <c r="F86" i="55"/>
  <c r="F87" i="55"/>
  <c r="E88" i="55"/>
  <c r="E89" i="55"/>
  <c r="F88" i="55"/>
  <c r="F89" i="55"/>
  <c r="E90" i="55"/>
  <c r="F90" i="55"/>
  <c r="F92" i="55"/>
  <c r="E91" i="55"/>
  <c r="F91" i="55"/>
  <c r="C76" i="46"/>
  <c r="C75" i="46"/>
  <c r="C74" i="46"/>
  <c r="C73" i="46"/>
  <c r="C72" i="46"/>
  <c r="C71" i="46"/>
  <c r="C70" i="46"/>
  <c r="C69" i="46"/>
  <c r="C68" i="46"/>
  <c r="B75" i="46"/>
  <c r="B74" i="46"/>
  <c r="B73" i="46"/>
  <c r="B72" i="46"/>
  <c r="B71" i="46"/>
  <c r="B70" i="46"/>
  <c r="B69" i="46"/>
  <c r="B68" i="46"/>
  <c r="B58" i="46"/>
  <c r="B57" i="46"/>
  <c r="B56" i="46"/>
  <c r="B55" i="46"/>
  <c r="B54" i="46"/>
  <c r="B53" i="46"/>
  <c r="B52" i="46"/>
  <c r="B51" i="46"/>
  <c r="G39" i="46"/>
  <c r="G38" i="46"/>
  <c r="G37" i="46"/>
  <c r="G36" i="46"/>
  <c r="G35" i="46"/>
  <c r="G34" i="46"/>
  <c r="G33" i="46"/>
  <c r="F41" i="46"/>
  <c r="H41" i="46"/>
  <c r="C41" i="46"/>
  <c r="D41" i="46"/>
  <c r="E41" i="46"/>
  <c r="C40" i="46"/>
  <c r="D40" i="46"/>
  <c r="E40" i="46"/>
  <c r="C39" i="46"/>
  <c r="D39" i="46"/>
  <c r="E39" i="46"/>
  <c r="C38" i="46"/>
  <c r="D38" i="46"/>
  <c r="E38" i="46"/>
  <c r="C37" i="46"/>
  <c r="D37" i="46"/>
  <c r="E37" i="46"/>
  <c r="C36" i="46"/>
  <c r="D36" i="46"/>
  <c r="E36" i="46"/>
  <c r="C35" i="46"/>
  <c r="D35" i="46"/>
  <c r="E35" i="46"/>
  <c r="C34" i="46"/>
  <c r="D34" i="46"/>
  <c r="E34" i="46"/>
  <c r="C33" i="46"/>
  <c r="D33" i="46"/>
  <c r="E33" i="46"/>
  <c r="B40" i="46"/>
  <c r="F40" i="46"/>
  <c r="H40" i="46"/>
  <c r="B39" i="46"/>
  <c r="F39" i="46"/>
  <c r="H39" i="46"/>
  <c r="D80" i="38"/>
  <c r="D79" i="38"/>
  <c r="D78" i="38"/>
  <c r="D77" i="38"/>
  <c r="D76" i="38"/>
  <c r="D75" i="38"/>
  <c r="E75" i="38"/>
  <c r="D74" i="38"/>
  <c r="E74" i="38"/>
  <c r="D73" i="38"/>
  <c r="C80" i="38"/>
  <c r="C79" i="38"/>
  <c r="C78" i="38"/>
  <c r="C77" i="38"/>
  <c r="C76" i="38"/>
  <c r="C75" i="38"/>
  <c r="C74" i="38"/>
  <c r="C73" i="38"/>
  <c r="C81" i="38"/>
  <c r="E80" i="38"/>
  <c r="E79" i="38"/>
  <c r="B79" i="38"/>
  <c r="B78" i="38"/>
  <c r="B77" i="38"/>
  <c r="B76" i="38"/>
  <c r="B75" i="38"/>
  <c r="B74" i="38"/>
  <c r="B73" i="38"/>
  <c r="E78" i="38"/>
  <c r="E77" i="38"/>
  <c r="C65" i="38"/>
  <c r="C64" i="38"/>
  <c r="C63" i="38"/>
  <c r="C62" i="38"/>
  <c r="C61" i="38"/>
  <c r="C60" i="38"/>
  <c r="C59" i="38"/>
  <c r="C58" i="38"/>
  <c r="B64" i="38"/>
  <c r="B63" i="38"/>
  <c r="B62" i="38"/>
  <c r="B61" i="38"/>
  <c r="B60" i="38"/>
  <c r="B59" i="38"/>
  <c r="B58" i="38"/>
  <c r="D43" i="38"/>
  <c r="C43" i="38"/>
  <c r="C42" i="38"/>
  <c r="C41" i="38"/>
  <c r="C40" i="38"/>
  <c r="C39" i="38"/>
  <c r="C38" i="38"/>
  <c r="C37" i="38"/>
  <c r="C36" i="38"/>
  <c r="B42" i="38"/>
  <c r="D42" i="38"/>
  <c r="G69" i="37"/>
  <c r="G68" i="37"/>
  <c r="G67" i="37"/>
  <c r="G65" i="37"/>
  <c r="F69" i="37"/>
  <c r="F68" i="37"/>
  <c r="F67" i="37"/>
  <c r="F66" i="37"/>
  <c r="G66" i="37"/>
  <c r="F65" i="37"/>
  <c r="F35" i="37"/>
  <c r="H35" i="37"/>
  <c r="F33" i="37"/>
  <c r="H33" i="37"/>
  <c r="F31" i="37"/>
  <c r="F32" i="37"/>
  <c r="C24" i="37"/>
  <c r="C23" i="37"/>
  <c r="C22" i="37"/>
  <c r="C21" i="37"/>
  <c r="C77" i="46"/>
  <c r="D53" i="46"/>
  <c r="D54" i="46"/>
  <c r="D56" i="46"/>
  <c r="D55" i="46"/>
  <c r="D58" i="46"/>
  <c r="D57" i="46"/>
  <c r="D51" i="46"/>
  <c r="D59" i="46"/>
  <c r="D52" i="46"/>
  <c r="B38" i="46"/>
  <c r="F38" i="46"/>
  <c r="H38" i="46"/>
  <c r="B37" i="46"/>
  <c r="E42" i="46"/>
  <c r="E76" i="38"/>
  <c r="E43" i="38"/>
  <c r="E42" i="38"/>
  <c r="B41" i="38"/>
  <c r="D41" i="38"/>
  <c r="E41" i="38"/>
  <c r="C44" i="38"/>
  <c r="G70" i="37"/>
  <c r="F34" i="37"/>
  <c r="H32" i="37"/>
  <c r="C43" i="37"/>
  <c r="H34" i="37"/>
  <c r="H31" i="37"/>
  <c r="C25" i="37"/>
  <c r="B36" i="46"/>
  <c r="F37" i="46"/>
  <c r="H37" i="46"/>
  <c r="E73" i="38"/>
  <c r="D81" i="38"/>
  <c r="E81" i="38"/>
  <c r="B40" i="38"/>
  <c r="D40" i="38"/>
  <c r="E40" i="38"/>
  <c r="C44" i="37"/>
  <c r="H36" i="37"/>
  <c r="B35" i="46"/>
  <c r="F36" i="46"/>
  <c r="H36" i="46"/>
  <c r="B39" i="38"/>
  <c r="D39" i="38"/>
  <c r="E39" i="38"/>
  <c r="C46" i="37"/>
  <c r="F35" i="46"/>
  <c r="H35" i="46"/>
  <c r="B34" i="46"/>
  <c r="B38" i="38"/>
  <c r="D38" i="38"/>
  <c r="E38" i="38"/>
  <c r="E49" i="38"/>
  <c r="B33" i="46"/>
  <c r="F33" i="46"/>
  <c r="H33" i="46"/>
  <c r="F34" i="46"/>
  <c r="H34" i="46"/>
  <c r="B37" i="38"/>
  <c r="D37" i="38"/>
  <c r="E37" i="38"/>
  <c r="H42" i="46"/>
  <c r="H44" i="46"/>
  <c r="B36" i="38"/>
  <c r="D36" i="38"/>
  <c r="E36" i="38"/>
  <c r="E47" i="38"/>
  <c r="E50" i="38"/>
  <c r="E48" i="38"/>
  <c r="C53" i="46"/>
  <c r="C52" i="46"/>
  <c r="C56" i="46"/>
  <c r="C55" i="46"/>
  <c r="C59" i="46"/>
  <c r="C51" i="46"/>
  <c r="C58" i="46"/>
  <c r="C54" i="46"/>
  <c r="C57" i="46"/>
  <c r="F43" i="38"/>
  <c r="G43" i="38"/>
  <c r="D65" i="38"/>
  <c r="E65" i="38"/>
  <c r="F42" i="38"/>
  <c r="G42" i="38"/>
  <c r="D64" i="38"/>
  <c r="E64" i="38"/>
  <c r="F38" i="38"/>
  <c r="G38" i="38"/>
  <c r="D60" i="38"/>
  <c r="E60" i="38"/>
  <c r="F41" i="38"/>
  <c r="G41" i="38"/>
  <c r="D63" i="38"/>
  <c r="E63" i="38"/>
  <c r="F40" i="38"/>
  <c r="G40" i="38"/>
  <c r="D62" i="38"/>
  <c r="E62" i="38"/>
  <c r="F39" i="38"/>
  <c r="G39" i="38"/>
  <c r="D61" i="38"/>
  <c r="E61" i="38"/>
  <c r="F36" i="38"/>
  <c r="G36" i="38"/>
  <c r="D58" i="38"/>
  <c r="F37" i="38"/>
  <c r="G37" i="38"/>
  <c r="D59" i="38"/>
  <c r="E59" i="38"/>
  <c r="E55" i="46"/>
  <c r="F55" i="46"/>
  <c r="E56" i="46"/>
  <c r="F56" i="46"/>
  <c r="D73" i="46"/>
  <c r="E73" i="46"/>
  <c r="E52" i="46"/>
  <c r="F52" i="46"/>
  <c r="D69" i="46"/>
  <c r="E69" i="46"/>
  <c r="E54" i="46"/>
  <c r="F54" i="46"/>
  <c r="E58" i="46"/>
  <c r="F58" i="46"/>
  <c r="E59" i="46"/>
  <c r="F59" i="46"/>
  <c r="D76" i="46"/>
  <c r="E76" i="46"/>
  <c r="E57" i="46"/>
  <c r="F57" i="46"/>
  <c r="D74" i="46"/>
  <c r="E74" i="46"/>
  <c r="E53" i="46"/>
  <c r="F53" i="46"/>
  <c r="C60" i="46"/>
  <c r="E51" i="46"/>
  <c r="D68" i="46"/>
  <c r="E58" i="38"/>
  <c r="E66" i="38"/>
  <c r="D66" i="38"/>
  <c r="G44" i="38"/>
  <c r="E68" i="46"/>
  <c r="D75" i="46"/>
  <c r="E75" i="46"/>
  <c r="D72" i="46"/>
  <c r="E72" i="46"/>
  <c r="D70" i="46"/>
  <c r="E70" i="46"/>
  <c r="D71" i="46"/>
  <c r="E71" i="46"/>
  <c r="F51" i="46"/>
  <c r="F60" i="46"/>
  <c r="E60" i="46"/>
  <c r="E77" i="46"/>
  <c r="D77" i="46"/>
  <c r="F29" i="42" l="1"/>
  <c r="F30" i="42"/>
  <c r="F31" i="42"/>
  <c r="F32" i="42"/>
  <c r="G61" i="42"/>
  <c r="F33" i="42" l="1"/>
</calcChain>
</file>

<file path=xl/sharedStrings.xml><?xml version="1.0" encoding="utf-8"?>
<sst xmlns="http://schemas.openxmlformats.org/spreadsheetml/2006/main" count="1057" uniqueCount="689">
  <si>
    <t>(c)</t>
  </si>
  <si>
    <t>ANSWER:</t>
  </si>
  <si>
    <t>(d)</t>
  </si>
  <si>
    <t>(e)</t>
  </si>
  <si>
    <t>(a)</t>
  </si>
  <si>
    <t>(b)</t>
  </si>
  <si>
    <t>(f)</t>
  </si>
  <si>
    <t>(g)</t>
  </si>
  <si>
    <t>(h)</t>
  </si>
  <si>
    <t>The response for part (a) is to be provided in the Word document.</t>
  </si>
  <si>
    <r>
      <t>(</t>
    </r>
    <r>
      <rPr>
        <i/>
        <sz val="12"/>
        <color rgb="FF002060"/>
        <rFont val="Times New Roman"/>
        <family val="1"/>
      </rPr>
      <t>4 points</t>
    </r>
    <r>
      <rPr>
        <sz val="12"/>
        <color rgb="FF002060"/>
        <rFont val="Times New Roman"/>
        <family val="1"/>
      </rPr>
      <t>)</t>
    </r>
  </si>
  <si>
    <t>Question 1</t>
  </si>
  <si>
    <r>
      <t>(</t>
    </r>
    <r>
      <rPr>
        <i/>
        <sz val="12"/>
        <color rgb="FF002060"/>
        <rFont val="Times New Roman"/>
        <family val="1"/>
      </rPr>
      <t>5 points</t>
    </r>
    <r>
      <rPr>
        <sz val="12"/>
        <color rgb="FF002060"/>
        <rFont val="Times New Roman"/>
        <family val="1"/>
      </rPr>
      <t>)</t>
    </r>
  </si>
  <si>
    <t>You are analyzing the following policies:</t>
  </si>
  <si>
    <r>
      <t>(</t>
    </r>
    <r>
      <rPr>
        <i/>
        <sz val="12"/>
        <color rgb="FF002060"/>
        <rFont val="Times New Roman"/>
        <family val="1"/>
      </rPr>
      <t>1 point</t>
    </r>
    <r>
      <rPr>
        <sz val="12"/>
        <color rgb="FF002060"/>
        <rFont val="Times New Roman"/>
        <family val="1"/>
      </rPr>
      <t>)  Calculate the 2020 calendar year total written premiums.</t>
    </r>
  </si>
  <si>
    <r>
      <t>(</t>
    </r>
    <r>
      <rPr>
        <i/>
        <sz val="12"/>
        <color rgb="FF002060"/>
        <rFont val="Times New Roman"/>
        <family val="1"/>
      </rPr>
      <t>1.5 points</t>
    </r>
    <r>
      <rPr>
        <sz val="12"/>
        <color rgb="FF002060"/>
        <rFont val="Times New Roman"/>
        <family val="1"/>
      </rPr>
      <t>)  Calculate the 2020 calendar year total earned premiums.</t>
    </r>
  </si>
  <si>
    <r>
      <t>(</t>
    </r>
    <r>
      <rPr>
        <i/>
        <sz val="12"/>
        <color rgb="FF002060"/>
        <rFont val="Times New Roman"/>
        <family val="1"/>
      </rPr>
      <t>1 point</t>
    </r>
    <r>
      <rPr>
        <sz val="12"/>
        <color rgb="FF002060"/>
        <rFont val="Times New Roman"/>
        <family val="1"/>
      </rPr>
      <t>)  Calculate the total unearned premiums as of December 31, 2020.</t>
    </r>
  </si>
  <si>
    <t>You are calculating 2020 total earned premiums adjusted to the current rate level.</t>
  </si>
  <si>
    <r>
      <t>(</t>
    </r>
    <r>
      <rPr>
        <i/>
        <sz val="12"/>
        <color rgb="FF002060"/>
        <rFont val="Times New Roman"/>
        <family val="1"/>
      </rPr>
      <t>1 point</t>
    </r>
    <r>
      <rPr>
        <sz val="12"/>
        <color rgb="FF002060"/>
        <rFont val="Times New Roman"/>
        <family val="1"/>
      </rPr>
      <t>)  Explain why the parallelogram approach would be inaccurate for this calculation.</t>
    </r>
  </si>
  <si>
    <r>
      <t>(</t>
    </r>
    <r>
      <rPr>
        <i/>
        <sz val="12"/>
        <color rgb="FF002060"/>
        <rFont val="Times New Roman"/>
        <family val="1"/>
      </rPr>
      <t>0.5 points</t>
    </r>
    <r>
      <rPr>
        <sz val="12"/>
        <color rgb="FF002060"/>
        <rFont val="Times New Roman"/>
        <family val="1"/>
      </rPr>
      <t>)  Calculate the 2020 total earned premiums adjusted to the current rate level.</t>
    </r>
  </si>
  <si>
    <t>Question 2</t>
  </si>
  <si>
    <r>
      <t>(</t>
    </r>
    <r>
      <rPr>
        <i/>
        <sz val="12"/>
        <color rgb="FF002060"/>
        <rFont val="Times New Roman"/>
        <family val="1"/>
      </rPr>
      <t>7 points</t>
    </r>
    <r>
      <rPr>
        <sz val="12"/>
        <color rgb="FF002060"/>
        <rFont val="Times New Roman"/>
        <family val="1"/>
      </rPr>
      <t>)</t>
    </r>
  </si>
  <si>
    <t>The response for part (b) is to be provided in the Word document.</t>
  </si>
  <si>
    <t>The response for part (c) is to be provided in the Word document.</t>
  </si>
  <si>
    <t>The response for part (d) is to be provided in the Word document.</t>
  </si>
  <si>
    <t>The response for part (e) is to be provided in the Word document.</t>
  </si>
  <si>
    <t>You are given the following information to estimate ultimate claims as of December 31, 2020.</t>
  </si>
  <si>
    <t>Report Year</t>
  </si>
  <si>
    <t>Earned Exposures</t>
  </si>
  <si>
    <t xml:space="preserve">Actual Reported Claims </t>
  </si>
  <si>
    <t>Cumulative Development Factors</t>
  </si>
  <si>
    <t>Total</t>
  </si>
  <si>
    <r>
      <t>(</t>
    </r>
    <r>
      <rPr>
        <i/>
        <sz val="12"/>
        <color rgb="FF002060"/>
        <rFont val="Times New Roman"/>
        <family val="1"/>
      </rPr>
      <t>2 points</t>
    </r>
    <r>
      <rPr>
        <sz val="12"/>
        <color rgb="FF002060"/>
        <rFont val="Times New Roman"/>
        <family val="1"/>
      </rPr>
      <t>)  Calculate ultimate claims using the pure premium approach to the expected method.</t>
    </r>
  </si>
  <si>
    <r>
      <t>(</t>
    </r>
    <r>
      <rPr>
        <i/>
        <sz val="12"/>
        <color rgb="FF002060"/>
        <rFont val="Times New Roman"/>
        <family val="1"/>
      </rPr>
      <t>1 point</t>
    </r>
    <r>
      <rPr>
        <sz val="12"/>
        <color rgb="FF002060"/>
        <rFont val="Times New Roman"/>
        <family val="1"/>
      </rPr>
      <t>)  Evaluate the reasonableness of the inputs for the Bornhuetter Ferguson method in part (g).</t>
    </r>
  </si>
  <si>
    <t>Question 3</t>
  </si>
  <si>
    <t xml:space="preserve">Insurance policies may include deductibles and limits.  Both features are used to reduce the claims paid by insurers with a corresponding adjustment to the premium. </t>
  </si>
  <si>
    <t>You are given the following information for a deductible analysis using empirical data:</t>
  </si>
  <si>
    <t>Accident Year</t>
  </si>
  <si>
    <t>Trended Ultimate Claims, Adjusted to Deductible Level</t>
  </si>
  <si>
    <t>Base Deductible</t>
  </si>
  <si>
    <t>Optional Deductibles</t>
  </si>
  <si>
    <r>
      <t>(</t>
    </r>
    <r>
      <rPr>
        <i/>
        <sz val="12"/>
        <color rgb="FF002060"/>
        <rFont val="Times New Roman"/>
        <family val="1"/>
      </rPr>
      <t>2 points</t>
    </r>
    <r>
      <rPr>
        <sz val="12"/>
        <color rgb="FF002060"/>
        <rFont val="Times New Roman"/>
        <family val="1"/>
      </rPr>
      <t>)  Determine the elimination ratios and deductible factors for each of the deductible options.</t>
    </r>
  </si>
  <si>
    <t>Question 4</t>
  </si>
  <si>
    <t>XYZ insurer is thinking of offering an earthquake endorsement to its basic homeowners policy. You are given the following information:</t>
  </si>
  <si>
    <t>·       New rates are to be effective July 1, 2022 for one year with all policies written as 12-month policies.</t>
  </si>
  <si>
    <r>
      <t>(</t>
    </r>
    <r>
      <rPr>
        <i/>
        <sz val="12"/>
        <color rgb="FF002060"/>
        <rFont val="Times New Roman"/>
        <family val="1"/>
      </rPr>
      <t>2 points</t>
    </r>
    <r>
      <rPr>
        <sz val="12"/>
        <color rgb="FF002060"/>
        <rFont val="Times New Roman"/>
        <family val="1"/>
      </rPr>
      <t xml:space="preserve">)  Calculate the pure premium for the earthquake endorsement. </t>
    </r>
  </si>
  <si>
    <r>
      <t>(</t>
    </r>
    <r>
      <rPr>
        <i/>
        <sz val="12"/>
        <color rgb="FF002060"/>
        <rFont val="Times New Roman"/>
        <family val="1"/>
      </rPr>
      <t>0.5 points</t>
    </r>
    <r>
      <rPr>
        <sz val="12"/>
        <color rgb="FF002060"/>
        <rFont val="Times New Roman"/>
        <family val="1"/>
      </rPr>
      <t xml:space="preserve">)  Calculate the premium for the earthquake endorsement. </t>
    </r>
  </si>
  <si>
    <t xml:space="preserve">Basic Homeowners </t>
  </si>
  <si>
    <t>On Level Earned Premium</t>
  </si>
  <si>
    <t>Ultimate Claims</t>
  </si>
  <si>
    <r>
      <t>(</t>
    </r>
    <r>
      <rPr>
        <i/>
        <sz val="12"/>
        <color rgb="FF002060"/>
        <rFont val="Times New Roman"/>
        <family val="1"/>
      </rPr>
      <t>1 point</t>
    </r>
    <r>
      <rPr>
        <sz val="12"/>
        <color rgb="FF002060"/>
        <rFont val="Times New Roman"/>
        <family val="1"/>
      </rPr>
      <t>)  Calculate the indicated rate for the basic homeowners coverage.  Justify any selections.</t>
    </r>
  </si>
  <si>
    <t>Since the earthquake coverage is an optional endorsement, management proposes that there should not be any fixed and variable expense charged to this optional coverage.</t>
  </si>
  <si>
    <r>
      <t>(</t>
    </r>
    <r>
      <rPr>
        <i/>
        <sz val="12"/>
        <color rgb="FF002060"/>
        <rFont val="Times New Roman"/>
        <family val="1"/>
      </rPr>
      <t>0.5 points</t>
    </r>
    <r>
      <rPr>
        <sz val="12"/>
        <color rgb="FF002060"/>
        <rFont val="Times New Roman"/>
        <family val="1"/>
      </rPr>
      <t>)  State whether you agree with management’s proposal.  Justify your response.</t>
    </r>
  </si>
  <si>
    <t>Question 5</t>
  </si>
  <si>
    <t>Calendar Year</t>
  </si>
  <si>
    <t>Earned Proportion of Automobile Policyholders with</t>
  </si>
  <si>
    <t>5% Discount</t>
  </si>
  <si>
    <t>10% Discount</t>
  </si>
  <si>
    <t>·       Policyholders who drive more than 5,000 miles per year and less than 7,500 miles per year qualify for a 5% discount.</t>
  </si>
  <si>
    <t>·       Policyholders who drive less than 5,000 miles per year qualify for a 10% discount.</t>
  </si>
  <si>
    <t>·       Policies are annual and written and earned evenly throughout the year.</t>
  </si>
  <si>
    <t>You are conducting a premium trend analysis for rates to be effective on February 1, 2022, for one year and are given the following additional information:</t>
  </si>
  <si>
    <t>Question 6</t>
  </si>
  <si>
    <t>You are given the following information as of December 31, 2020 for a general liability line of business:</t>
  </si>
  <si>
    <t>Accident</t>
  </si>
  <si>
    <t>Year</t>
  </si>
  <si>
    <t>Earned Premiums</t>
  </si>
  <si>
    <t>Projected Ultimate Claims Based on Frequency-Severity Method</t>
  </si>
  <si>
    <t>Development Based</t>
  </si>
  <si>
    <t>Claim Closure</t>
  </si>
  <si>
    <t>You are also given the following diagnostic results:</t>
  </si>
  <si>
    <t>Reported Claim Ratios</t>
  </si>
  <si>
    <r>
      <t>(</t>
    </r>
    <r>
      <rPr>
        <i/>
        <sz val="12"/>
        <color rgb="FF002060"/>
        <rFont val="Times New Roman"/>
        <family val="1"/>
      </rPr>
      <t>1 point</t>
    </r>
    <r>
      <rPr>
        <sz val="12"/>
        <color rgb="FF002060"/>
        <rFont val="Times New Roman"/>
        <family val="1"/>
      </rPr>
      <t>)  Calculate the indicated IBNR as of December 31, 2020 for each of the frequency-severity method projections above.</t>
    </r>
  </si>
  <si>
    <t>You are given the following IBNR estimates for an auto insurer’s bodily injury liability claims:</t>
  </si>
  <si>
    <t>IBNR Claim Estimates (000)</t>
  </si>
  <si>
    <t xml:space="preserve">Development Method </t>
  </si>
  <si>
    <t>Bornhuetter Ferguson</t>
  </si>
  <si>
    <t xml:space="preserve">Paid </t>
  </si>
  <si>
    <t>Reported</t>
  </si>
  <si>
    <t>Paid</t>
  </si>
  <si>
    <t xml:space="preserve">·       A large claim was reported in accident year 2018.  </t>
  </si>
  <si>
    <t xml:space="preserve">·       The case estimate on the large claim appears adequate.  </t>
  </si>
  <si>
    <t xml:space="preserve">·       The large claim remains unpaid as of December 31, 2020.  </t>
  </si>
  <si>
    <t>·       None of the methods have an explicit adjustment for the large claim.</t>
  </si>
  <si>
    <t>Company management has asked you to recommend an accident year 2018 IBNR reserve as of December 31, 2020.</t>
  </si>
  <si>
    <r>
      <t>(</t>
    </r>
    <r>
      <rPr>
        <i/>
        <sz val="12"/>
        <color rgb="FF002060"/>
        <rFont val="Times New Roman"/>
        <family val="1"/>
      </rPr>
      <t>2 points</t>
    </r>
    <r>
      <rPr>
        <sz val="12"/>
        <color rgb="FF002060"/>
        <rFont val="Times New Roman"/>
        <family val="1"/>
      </rPr>
      <t>)  Critique the appropriateness of each method as a potential IBNR selection for accident year 2018.</t>
    </r>
  </si>
  <si>
    <t>Paid development method</t>
  </si>
  <si>
    <t>Reported development method</t>
  </si>
  <si>
    <t>Paid Bornhuetter Ferguson method</t>
  </si>
  <si>
    <t>Reported Bornhuetter Ferguson method</t>
  </si>
  <si>
    <t>(i)</t>
  </si>
  <si>
    <t>(ii)</t>
  </si>
  <si>
    <t>(iii)</t>
  </si>
  <si>
    <t>(iv)</t>
  </si>
  <si>
    <t>Question 7</t>
  </si>
  <si>
    <t>The response for question 7 is to be provided in the Word document.</t>
  </si>
  <si>
    <t>Question 8</t>
  </si>
  <si>
    <t>You are the appointed actuary for LMN Insurance Company, and you are given the following information:</t>
  </si>
  <si>
    <t>Underwriting Quarter</t>
  </si>
  <si>
    <t>Written Premiums During 2020</t>
  </si>
  <si>
    <t>Auto</t>
  </si>
  <si>
    <t>Homeowners</t>
  </si>
  <si>
    <t>2020Q1</t>
  </si>
  <si>
    <t>2020Q2</t>
  </si>
  <si>
    <t>2020Q3</t>
  </si>
  <si>
    <t>2020Q4</t>
  </si>
  <si>
    <t>·       All policies are written for 12-month policy terms and are written and earned evenly throughout the year.</t>
  </si>
  <si>
    <t>·       Assume each quarter has the same number of days.</t>
  </si>
  <si>
    <t>·       There are no policy cancellations.</t>
  </si>
  <si>
    <r>
      <t>(</t>
    </r>
    <r>
      <rPr>
        <i/>
        <sz val="12"/>
        <color rgb="FF002060"/>
        <rFont val="Times New Roman"/>
        <family val="1"/>
      </rPr>
      <t>1 point</t>
    </r>
    <r>
      <rPr>
        <sz val="12"/>
        <color rgb="FF002060"/>
        <rFont val="Times New Roman"/>
        <family val="1"/>
      </rPr>
      <t>)  Calculate unearned premium by line of business as of December 31, 2020.</t>
    </r>
  </si>
  <si>
    <t>You are estimating policy liabilities as of December 31, 2020 and are given the following information:</t>
  </si>
  <si>
    <t>Accident Year 2020 Actual Claim Ratios by Quarter</t>
  </si>
  <si>
    <t>Accident Year 2021 Expected Claim Ratios by Quarter</t>
  </si>
  <si>
    <t>2021Q1</t>
  </si>
  <si>
    <t>2021Q2</t>
  </si>
  <si>
    <t>2021Q3</t>
  </si>
  <si>
    <t>2021Q4</t>
  </si>
  <si>
    <t>·       The company does not purchase reinsurance.</t>
  </si>
  <si>
    <t>·       One-third of general expenses are associated with ongoing policy administration and maintenance.</t>
  </si>
  <si>
    <r>
      <t>(</t>
    </r>
    <r>
      <rPr>
        <i/>
        <sz val="12"/>
        <color rgb="FF002060"/>
        <rFont val="Times New Roman"/>
        <family val="1"/>
      </rPr>
      <t>2.5 points</t>
    </r>
    <r>
      <rPr>
        <sz val="12"/>
        <color rgb="FF002060"/>
        <rFont val="Times New Roman"/>
        <family val="1"/>
      </rPr>
      <t>)  Calculate the equity in unearned premiums as of December 31, 2020 by line of business.</t>
    </r>
  </si>
  <si>
    <r>
      <t>(</t>
    </r>
    <r>
      <rPr>
        <i/>
        <sz val="12"/>
        <color rgb="FF002060"/>
        <rFont val="Times New Roman"/>
        <family val="1"/>
      </rPr>
      <t>0.5 points</t>
    </r>
    <r>
      <rPr>
        <sz val="12"/>
        <color rgb="FF002060"/>
        <rFont val="Times New Roman"/>
        <family val="1"/>
      </rPr>
      <t>)  Describe two potential implications of this result.</t>
    </r>
  </si>
  <si>
    <t>Question 9</t>
  </si>
  <si>
    <t>You are asked to project ultimate claims evaluated as of December 31, 2020 using the Cape Cod method.  You are given the following information:</t>
  </si>
  <si>
    <t>You are projecting ultimate claims using the Cape Cod method and a pure premium approach.</t>
  </si>
  <si>
    <t>Paid Claims as of Dec. 31, 2020</t>
  </si>
  <si>
    <t>Reported Claims as of Dec. 31, 2020</t>
  </si>
  <si>
    <t>Reported Age-to-Age Factors</t>
  </si>
  <si>
    <t>·       All policies are annual, and they are written and earned evenly throughout the years.</t>
  </si>
  <si>
    <t>(000)</t>
  </si>
  <si>
    <r>
      <t>(</t>
    </r>
    <r>
      <rPr>
        <i/>
        <sz val="12"/>
        <color rgb="FF002060"/>
        <rFont val="Times New Roman"/>
        <family val="1"/>
      </rPr>
      <t>2.5 points</t>
    </r>
    <r>
      <rPr>
        <sz val="12"/>
        <color rgb="FF002060"/>
        <rFont val="Times New Roman"/>
        <family val="1"/>
      </rPr>
      <t>)  Derive a selected adjusted expected pure premium.</t>
    </r>
  </si>
  <si>
    <r>
      <t>(</t>
    </r>
    <r>
      <rPr>
        <i/>
        <sz val="12"/>
        <color rgb="FF002060"/>
        <rFont val="Times New Roman"/>
        <family val="1"/>
      </rPr>
      <t>1.5 points</t>
    </r>
    <r>
      <rPr>
        <sz val="12"/>
        <color rgb="FF002060"/>
        <rFont val="Times New Roman"/>
        <family val="1"/>
      </rPr>
      <t>)  Derive projected ultimate claims.</t>
    </r>
  </si>
  <si>
    <r>
      <t>(</t>
    </r>
    <r>
      <rPr>
        <i/>
        <sz val="12"/>
        <color rgb="FF002060"/>
        <rFont val="Times New Roman"/>
        <family val="1"/>
      </rPr>
      <t>1 point</t>
    </r>
    <r>
      <rPr>
        <sz val="12"/>
        <color rgb="FF002060"/>
        <rFont val="Times New Roman"/>
        <family val="1"/>
      </rPr>
      <t>)  Calculate the difference between the expected reported claims underlying the Cape Cod calculations in part (c) and actual reported claims as of December 31, 2020.</t>
    </r>
  </si>
  <si>
    <r>
      <t>Your manager has given you the following actual versus expected results for a</t>
    </r>
    <r>
      <rPr>
        <i/>
        <sz val="12"/>
        <color rgb="FF002060"/>
        <rFont val="Times New Roman"/>
        <family val="1"/>
      </rPr>
      <t xml:space="preserve"> different line of business</t>
    </r>
    <r>
      <rPr>
        <sz val="12"/>
        <color rgb="FF002060"/>
        <rFont val="Times New Roman"/>
        <family val="1"/>
      </rPr>
      <t>.  The Cape Cod method was also used to estimate expected reported claims for this business.</t>
    </r>
  </si>
  <si>
    <t>Claims (000)</t>
  </si>
  <si>
    <t>Reported Claims as of Dec 31, 2020</t>
  </si>
  <si>
    <t>Expected Reported Claims</t>
  </si>
  <si>
    <t>Difference Actual vs. Expected</t>
  </si>
  <si>
    <t>You have identified an anomaly in these results beginning in accident year 2016.  There are several circumstances (business, operational, environmental, etc.) that could cause such an anomaly.  One possible circumstance would be that the Cape Cod method uses the same trend rate for all years and if the underlying trend decreased in 2016 the Cape Cod method might overestimate the expected reported claims in recent accident years.</t>
  </si>
  <si>
    <r>
      <t>(</t>
    </r>
    <r>
      <rPr>
        <i/>
        <sz val="12"/>
        <color rgb="FF002060"/>
        <rFont val="Times New Roman"/>
        <family val="1"/>
      </rPr>
      <t>1.5 points</t>
    </r>
    <r>
      <rPr>
        <sz val="12"/>
        <color rgb="FF002060"/>
        <rFont val="Times New Roman"/>
        <family val="1"/>
      </rPr>
      <t>)  Describe two other possible circumstances that could cause an anomaly as shown above.</t>
    </r>
  </si>
  <si>
    <t>Question 10</t>
  </si>
  <si>
    <r>
      <t>(</t>
    </r>
    <r>
      <rPr>
        <i/>
        <sz val="12"/>
        <color rgb="FF002060"/>
        <rFont val="Times New Roman"/>
        <family val="1"/>
      </rPr>
      <t>1 point</t>
    </r>
    <r>
      <rPr>
        <sz val="12"/>
        <color rgb="FF002060"/>
        <rFont val="Times New Roman"/>
        <family val="1"/>
      </rPr>
      <t>)  Demonstrate, with a numerical example, a situation in which the claims-made loss cost is greater than the occurrence loss cost.</t>
    </r>
  </si>
  <si>
    <r>
      <t>(</t>
    </r>
    <r>
      <rPr>
        <i/>
        <sz val="12"/>
        <color rgb="FF002060"/>
        <rFont val="Times New Roman"/>
        <family val="1"/>
      </rPr>
      <t>1 point</t>
    </r>
    <r>
      <rPr>
        <sz val="12"/>
        <color rgb="FF002060"/>
        <rFont val="Times New Roman"/>
        <family val="1"/>
      </rPr>
      <t>)  Calculate tail factors for a claims-made policy for the following maturities:</t>
    </r>
  </si>
  <si>
    <t>Second-year</t>
  </si>
  <si>
    <t>Mature</t>
  </si>
  <si>
    <r>
      <t>(</t>
    </r>
    <r>
      <rPr>
        <i/>
        <sz val="12"/>
        <color rgb="FF002060"/>
        <rFont val="Times New Roman"/>
        <family val="1"/>
      </rPr>
      <t>1 point</t>
    </r>
    <r>
      <rPr>
        <sz val="12"/>
        <color rgb="FF002060"/>
        <rFont val="Times New Roman"/>
        <family val="1"/>
      </rPr>
      <t>)  Calculate CM’s earned premium for 2021, 2022 and 2023 for a mature tail policy effective January 1, 2021 with a premium of 25,000.</t>
    </r>
  </si>
  <si>
    <r>
      <t>(</t>
    </r>
    <r>
      <rPr>
        <i/>
        <sz val="12"/>
        <color rgb="FF002060"/>
        <rFont val="Times New Roman"/>
        <family val="1"/>
      </rPr>
      <t>1 point</t>
    </r>
    <r>
      <rPr>
        <sz val="12"/>
        <color rgb="FF002060"/>
        <rFont val="Times New Roman"/>
        <family val="1"/>
      </rPr>
      <t>)  Calculate ultimate claims using the Bornhuetter Ferguson method, where the a priori expected claims are the estimated ultimate claims from the expected method in part (f).</t>
    </r>
  </si>
  <si>
    <t>·       Due to the pandemic in 2020, there was a significant one-time decrease in the distance driven by many policyholders.</t>
  </si>
  <si>
    <r>
      <t>(</t>
    </r>
    <r>
      <rPr>
        <i/>
        <sz val="12"/>
        <color rgb="FF002060"/>
        <rFont val="Times New Roman"/>
        <family val="1"/>
      </rPr>
      <t>2.5 points</t>
    </r>
    <r>
      <rPr>
        <sz val="12"/>
        <color rgb="FF002060"/>
        <rFont val="Times New Roman"/>
        <family val="1"/>
      </rPr>
      <t>)  Calculate the premium trend factor to be used for 2018 using earned premium for the trending analysis and incorporating the annual trend selected in part (b).</t>
    </r>
  </si>
  <si>
    <t>Question 11</t>
  </si>
  <si>
    <t>You are given the following information:</t>
  </si>
  <si>
    <t>Reported Claims as of  Dec. 31, 2020</t>
  </si>
  <si>
    <t>Projected Ultimate Based</t>
  </si>
  <si>
    <t>on Development Method</t>
  </si>
  <si>
    <t>Claims</t>
  </si>
  <si>
    <t>Counts</t>
  </si>
  <si>
    <t>For claims occurring prior to 2020, the following trends were observed for this line of business:</t>
  </si>
  <si>
    <t xml:space="preserve">There was a court ruling that expanded policy coverage for claims occurring in 2020.  It was expected to increase claim frequency 6% over the trended historical average but have no effect on claim severity beyond the observed annual severity trend. </t>
  </si>
  <si>
    <r>
      <t>(</t>
    </r>
    <r>
      <rPr>
        <i/>
        <sz val="12"/>
        <color rgb="FF002060"/>
        <rFont val="Times New Roman"/>
        <family val="1"/>
      </rPr>
      <t>2.5 points</t>
    </r>
    <r>
      <rPr>
        <sz val="12"/>
        <color rgb="FF002060"/>
        <rFont val="Times New Roman"/>
        <family val="1"/>
      </rPr>
      <t>)  Calculate the ultimate claims for accident year 2020 using the development-based frequency-severity method.  Justify any selections.</t>
    </r>
  </si>
  <si>
    <r>
      <t>(</t>
    </r>
    <r>
      <rPr>
        <i/>
        <sz val="12"/>
        <color rgb="FF002060"/>
        <rFont val="Times New Roman"/>
        <family val="1"/>
      </rPr>
      <t>0.5 points</t>
    </r>
    <r>
      <rPr>
        <sz val="12"/>
        <color rgb="FF002060"/>
        <rFont val="Times New Roman"/>
        <family val="1"/>
      </rPr>
      <t>)  Calculate the percentage growth in accident year 2020 IBNR in changing from the development method to the development-based frequency-severity method.</t>
    </r>
  </si>
  <si>
    <r>
      <t>(</t>
    </r>
    <r>
      <rPr>
        <i/>
        <sz val="12"/>
        <color rgb="FF002060"/>
        <rFont val="Times New Roman"/>
        <family val="1"/>
      </rPr>
      <t>1 point</t>
    </r>
    <r>
      <rPr>
        <sz val="12"/>
        <color rgb="FF002060"/>
        <rFont val="Times New Roman"/>
        <family val="1"/>
      </rPr>
      <t>)  Explain why the accident year 2020 IBNR calculated using the development-based frequency-severity method is likely to be more appropriate than the IBNR calculated using the development method.</t>
    </r>
  </si>
  <si>
    <t xml:space="preserve">      ▪</t>
  </si>
  <si>
    <t>Question 12</t>
  </si>
  <si>
    <t>The response for question 12 is to be provided in the Word document.</t>
  </si>
  <si>
    <t>The data for this question is repeated here if needed:</t>
  </si>
  <si>
    <t>Accident Year (AY)</t>
  </si>
  <si>
    <t>Reported CDFs</t>
  </si>
  <si>
    <t>Projected Ultimate Claims</t>
  </si>
  <si>
    <t>Expected Method: Reported Claim Ratio</t>
  </si>
  <si>
    <t>Development Method: Paid Data</t>
  </si>
  <si>
    <t>Cape Cod Method: Paid Data</t>
  </si>
  <si>
    <t>Bornhuetter Ferguson Method: Reported Claim Ratio</t>
  </si>
  <si>
    <t>Paid CDFs</t>
  </si>
  <si>
    <t>Question 13</t>
  </si>
  <si>
    <t>You are conducting a ratemaking exercise and estimating ultimate claims in the layer 1,000,000 excess of 500,000, and are given the following information:</t>
  </si>
  <si>
    <t>Claim #</t>
  </si>
  <si>
    <t>Ground-Up Ultimate Claims</t>
  </si>
  <si>
    <r>
      <t>(</t>
    </r>
    <r>
      <rPr>
        <i/>
        <sz val="12"/>
        <color rgb="FF002060"/>
        <rFont val="Times New Roman"/>
        <family val="1"/>
      </rPr>
      <t>1.5 points</t>
    </r>
    <r>
      <rPr>
        <sz val="12"/>
        <color rgb="FF002060"/>
        <rFont val="Times New Roman"/>
        <family val="1"/>
      </rPr>
      <t>)  Show that the year-to-year increase in ultimate claims in the layer 1,000,000 excess of 500,000 is 4.3% for this sample.</t>
    </r>
  </si>
  <si>
    <t>You are given the following information for an entire book of business:</t>
  </si>
  <si>
    <t>Accident year 2020 reported claims at 500,000 limit</t>
  </si>
  <si>
    <t>Accident year 2020 reported claims at 1,500,000 limit</t>
  </si>
  <si>
    <t>Annual claim trend at 500,000 limit</t>
  </si>
  <si>
    <t>Annual claim trend at 1,500,000 limit</t>
  </si>
  <si>
    <t>Total limits cumulative development factor at 12 months</t>
  </si>
  <si>
    <r>
      <t>Severity Relativity (</t>
    </r>
    <r>
      <rPr>
        <b/>
        <i/>
        <sz val="12"/>
        <color rgb="FF002060"/>
        <rFont val="Times New Roman"/>
        <family val="1"/>
      </rPr>
      <t>R</t>
    </r>
    <r>
      <rPr>
        <b/>
        <i/>
        <vertAlign val="subscript"/>
        <sz val="12"/>
        <color rgb="FF002060"/>
        <rFont val="Times New Roman"/>
        <family val="1"/>
      </rPr>
      <t>t</t>
    </r>
    <r>
      <rPr>
        <b/>
        <sz val="12"/>
        <color rgb="FF002060"/>
        <rFont val="Times New Roman"/>
        <family val="1"/>
      </rPr>
      <t>) by Months of Development</t>
    </r>
  </si>
  <si>
    <r>
      <t>R</t>
    </r>
    <r>
      <rPr>
        <i/>
        <vertAlign val="subscript"/>
        <sz val="12"/>
        <color rgb="FF002060"/>
        <rFont val="Times New Roman"/>
        <family val="1"/>
      </rPr>
      <t>t</t>
    </r>
    <r>
      <rPr>
        <sz val="12"/>
        <color rgb="FF002060"/>
        <rFont val="Times New Roman"/>
        <family val="1"/>
      </rPr>
      <t xml:space="preserve"> 500,000 to unlimited</t>
    </r>
  </si>
  <si>
    <r>
      <t>R</t>
    </r>
    <r>
      <rPr>
        <i/>
        <vertAlign val="subscript"/>
        <sz val="12"/>
        <color rgb="FF002060"/>
        <rFont val="Times New Roman"/>
        <family val="1"/>
      </rPr>
      <t>t</t>
    </r>
    <r>
      <rPr>
        <sz val="12"/>
        <color rgb="FF002060"/>
        <rFont val="Times New Roman"/>
        <family val="1"/>
      </rPr>
      <t xml:space="preserve"> 1,500,000 to unlimited</t>
    </r>
  </si>
  <si>
    <t>·       The oldest maturity age in the reported claims triangle is 96 months.</t>
  </si>
  <si>
    <t>·       The new rates will be effective April 1, 2022 for one year.</t>
  </si>
  <si>
    <t>·       All policies are written for 12-month policy terms.</t>
  </si>
  <si>
    <t>Question 14</t>
  </si>
  <si>
    <t>You are conducting a diagnostic test for changing levels of case reserve adequacy.  You are given the following information:</t>
  </si>
  <si>
    <t>Reported Claims</t>
  </si>
  <si>
    <t>Paid Claims</t>
  </si>
  <si>
    <t>Reported Counts</t>
  </si>
  <si>
    <t>Closed Counts</t>
  </si>
  <si>
    <r>
      <t>(</t>
    </r>
    <r>
      <rPr>
        <i/>
        <sz val="12"/>
        <color rgb="FF002060"/>
        <rFont val="Times New Roman"/>
        <family val="1"/>
      </rPr>
      <t>1 point</t>
    </r>
    <r>
      <rPr>
        <sz val="12"/>
        <color rgb="FF002060"/>
        <rFont val="Times New Roman"/>
        <family val="1"/>
      </rPr>
      <t>)  Calculate the average case estimate triangle.</t>
    </r>
  </si>
  <si>
    <r>
      <t>(</t>
    </r>
    <r>
      <rPr>
        <i/>
        <sz val="12"/>
        <color rgb="FF002060"/>
        <rFont val="Times New Roman"/>
        <family val="1"/>
      </rPr>
      <t>0.5 points</t>
    </r>
    <r>
      <rPr>
        <sz val="12"/>
        <color rgb="FF002060"/>
        <rFont val="Times New Roman"/>
        <family val="1"/>
      </rPr>
      <t>)  Explain why the average case estimate triangle indicates reducing, increasing or stable case reserve adequacy.</t>
    </r>
  </si>
  <si>
    <r>
      <t>(</t>
    </r>
    <r>
      <rPr>
        <i/>
        <sz val="12"/>
        <color rgb="FF002060"/>
        <rFont val="Times New Roman"/>
        <family val="1"/>
      </rPr>
      <t>3.5 points</t>
    </r>
    <r>
      <rPr>
        <sz val="12"/>
        <color rgb="FF002060"/>
        <rFont val="Times New Roman"/>
        <family val="1"/>
      </rPr>
      <t>)  Calculate IBNR by accident year using the reported development method, with a Berquist-Sherman adjustment.</t>
    </r>
  </si>
  <si>
    <t>Question 15</t>
  </si>
  <si>
    <t>You are conducting a ratemaking analysis for a line of business for new rates to be effective January 1, 2022, and are given the following information:</t>
  </si>
  <si>
    <t>Calendar year 2020 earned premium</t>
  </si>
  <si>
    <t>Calendar year 2020 earned exposures</t>
  </si>
  <si>
    <t>Premium on-level factor</t>
  </si>
  <si>
    <t>Premium trend factor</t>
  </si>
  <si>
    <t>Experience claims ratio trended to the future rating period</t>
  </si>
  <si>
    <t>ULAE as a percent of claims</t>
  </si>
  <si>
    <t>Fixed expenses as a percent of premium</t>
  </si>
  <si>
    <t>Annual fixed expense trend</t>
  </si>
  <si>
    <t>Variable expenses as a percent of premium</t>
  </si>
  <si>
    <t>Target profit as a percent of premium</t>
  </si>
  <si>
    <r>
      <t>(</t>
    </r>
    <r>
      <rPr>
        <i/>
        <sz val="12"/>
        <color rgb="FF002060"/>
        <rFont val="Times New Roman"/>
        <family val="1"/>
      </rPr>
      <t>1.5 points</t>
    </r>
    <r>
      <rPr>
        <sz val="12"/>
        <color rgb="FF002060"/>
        <rFont val="Times New Roman"/>
        <family val="1"/>
      </rPr>
      <t>)  Demonstrate that the indicated rate change using the pure premium approach is 5.9%.</t>
    </r>
  </si>
  <si>
    <t>You are given the following additional information:</t>
  </si>
  <si>
    <t>·       No further rate changes are expected.</t>
  </si>
  <si>
    <r>
      <t>(</t>
    </r>
    <r>
      <rPr>
        <i/>
        <sz val="12"/>
        <color rgb="FF002060"/>
        <rFont val="Times New Roman"/>
        <family val="1"/>
      </rPr>
      <t>3.5 points</t>
    </r>
    <r>
      <rPr>
        <sz val="12"/>
        <color rgb="FF002060"/>
        <rFont val="Times New Roman"/>
        <family val="1"/>
      </rPr>
      <t>)  Calculate the forecasted profit per policy for policies written in 2022, 2023, 2024 and 2025.</t>
    </r>
  </si>
  <si>
    <t>Question 16</t>
  </si>
  <si>
    <t>You are given the following claim information.</t>
  </si>
  <si>
    <t>Claim ID</t>
  </si>
  <si>
    <t>Incremental Paid Claims</t>
  </si>
  <si>
    <t>2018H1</t>
  </si>
  <si>
    <t>2018H2</t>
  </si>
  <si>
    <t>2019H1</t>
  </si>
  <si>
    <t>2019H2</t>
  </si>
  <si>
    <t>2020H1</t>
  </si>
  <si>
    <t>2020H2</t>
  </si>
  <si>
    <t>Occurrence Year: 2018</t>
  </si>
  <si>
    <t>Occurrence Year: 2019</t>
  </si>
  <si>
    <t>Occurrence Year: 2020</t>
  </si>
  <si>
    <t>Case Estimates at the End of Each Half Year</t>
  </si>
  <si>
    <r>
      <t>(</t>
    </r>
    <r>
      <rPr>
        <i/>
        <sz val="12"/>
        <color rgb="FF002060"/>
        <rFont val="Times New Roman"/>
        <family val="1"/>
      </rPr>
      <t>3 points</t>
    </r>
    <r>
      <rPr>
        <sz val="12"/>
        <color rgb="FF002060"/>
        <rFont val="Times New Roman"/>
        <family val="1"/>
      </rPr>
      <t>)  Construct a development triangle of cumulative reported claims, by accident year, with maturity ages 6, 12, 18, 24, 30 and 36 months.</t>
    </r>
  </si>
  <si>
    <t xml:space="preserve">The above claim information provides claims from the following three lines of business: </t>
  </si>
  <si>
    <t>·       Medical malpractice</t>
  </si>
  <si>
    <t>·       Workers’ compensation</t>
  </si>
  <si>
    <t>·       Automobile physical damage</t>
  </si>
  <si>
    <r>
      <t>(</t>
    </r>
    <r>
      <rPr>
        <i/>
        <sz val="12"/>
        <color rgb="FF002060"/>
        <rFont val="Times New Roman"/>
        <family val="1"/>
      </rPr>
      <t>1.5 points</t>
    </r>
    <r>
      <rPr>
        <sz val="12"/>
        <color rgb="FF002060"/>
        <rFont val="Times New Roman"/>
        <family val="1"/>
      </rPr>
      <t xml:space="preserve">)  Select which line of business was the likely source for each of the following claims, providing a justification for each selection: </t>
    </r>
  </si>
  <si>
    <t>Claim 2</t>
  </si>
  <si>
    <t>Claim 3</t>
  </si>
  <si>
    <t>Claim 7</t>
  </si>
  <si>
    <t>You are given the following general liability development triangle for investigative analysis.</t>
  </si>
  <si>
    <t> Accident Year</t>
  </si>
  <si>
    <t>Reported Pure Premiums</t>
  </si>
  <si>
    <r>
      <t>(</t>
    </r>
    <r>
      <rPr>
        <i/>
        <sz val="12"/>
        <color rgb="FF002060"/>
        <rFont val="Times New Roman"/>
        <family val="1"/>
      </rPr>
      <t>1 point</t>
    </r>
    <r>
      <rPr>
        <sz val="12"/>
        <color rgb="FF002060"/>
        <rFont val="Times New Roman"/>
        <family val="1"/>
      </rPr>
      <t>)  Identify two anomalies relating to this triangle.</t>
    </r>
  </si>
  <si>
    <r>
      <t>(</t>
    </r>
    <r>
      <rPr>
        <i/>
        <sz val="12"/>
        <color rgb="FF002060"/>
        <rFont val="Times New Roman"/>
        <family val="1"/>
      </rPr>
      <t>1 point</t>
    </r>
    <r>
      <rPr>
        <sz val="12"/>
        <color rgb="FF002060"/>
        <rFont val="Times New Roman"/>
        <family val="1"/>
      </rPr>
      <t>)  Describe a business, operational, or environmental change that could cause each of the anomalies identified in part (d).</t>
    </r>
  </si>
  <si>
    <t>Question 17</t>
  </si>
  <si>
    <t>The proposed reinsurance cover is to be provided in two layers:</t>
  </si>
  <si>
    <t>Loss Basis</t>
  </si>
  <si>
    <t>Return Period (Years)</t>
  </si>
  <si>
    <t>PMLs (000s)</t>
  </si>
  <si>
    <t>HW</t>
  </si>
  <si>
    <t>FI</t>
  </si>
  <si>
    <t>HW and FI Combined</t>
  </si>
  <si>
    <t>Ground up</t>
  </si>
  <si>
    <t>Gross</t>
  </si>
  <si>
    <t>Statistic</t>
  </si>
  <si>
    <t>AAL and Standard Deviation (SD) (000s)</t>
  </si>
  <si>
    <t>100-year to 250-year</t>
  </si>
  <si>
    <t>AAL</t>
  </si>
  <si>
    <t>SD</t>
  </si>
  <si>
    <t xml:space="preserve">250-year to 500-year </t>
  </si>
  <si>
    <t>Layer (PML basis)</t>
  </si>
  <si>
    <r>
      <t>(</t>
    </r>
    <r>
      <rPr>
        <i/>
        <sz val="12"/>
        <color rgb="FF002060"/>
        <rFont val="Times New Roman"/>
        <family val="1"/>
      </rPr>
      <t>0.5 points</t>
    </r>
    <r>
      <rPr>
        <sz val="12"/>
        <color rgb="FF002060"/>
        <rFont val="Times New Roman"/>
        <family val="1"/>
      </rPr>
      <t>)  Calculate the probability of reaching an amount of loss that activates reinsurance coverage for each of the reinsurance layers.</t>
    </r>
  </si>
  <si>
    <t>Question 18</t>
  </si>
  <si>
    <r>
      <t>(</t>
    </r>
    <r>
      <rPr>
        <i/>
        <sz val="12"/>
        <color rgb="FF002060"/>
        <rFont val="Times New Roman"/>
        <family val="1"/>
      </rPr>
      <t>6 points</t>
    </r>
    <r>
      <rPr>
        <sz val="12"/>
        <color rgb="FF002060"/>
        <rFont val="Times New Roman"/>
        <family val="1"/>
      </rPr>
      <t>)</t>
    </r>
  </si>
  <si>
    <t>You are projecting ultimate claims as of December 31, 2020 using the paid development method and are given the following data:</t>
  </si>
  <si>
    <t>Paid Claims (000)</t>
  </si>
  <si>
    <t>24-36</t>
  </si>
  <si>
    <t>36-48</t>
  </si>
  <si>
    <t>48-60</t>
  </si>
  <si>
    <t>60-72</t>
  </si>
  <si>
    <t>72-84</t>
  </si>
  <si>
    <t>84-96</t>
  </si>
  <si>
    <t>12-24</t>
  </si>
  <si>
    <r>
      <t>(</t>
    </r>
    <r>
      <rPr>
        <i/>
        <sz val="12"/>
        <color rgb="FF002060"/>
        <rFont val="Times New Roman"/>
        <family val="1"/>
      </rPr>
      <t>1 point</t>
    </r>
    <r>
      <rPr>
        <sz val="12"/>
        <color rgb="FF002060"/>
        <rFont val="Times New Roman"/>
        <family val="1"/>
      </rPr>
      <t>)  Select age-to-age development factors for all periods excluding the tail factor.  Justify your selections.</t>
    </r>
  </si>
  <si>
    <t>Projected Ultimate Claims from Reported Development Method (000)</t>
  </si>
  <si>
    <r>
      <t>(</t>
    </r>
    <r>
      <rPr>
        <i/>
        <sz val="12"/>
        <color rgb="FF002060"/>
        <rFont val="Times New Roman"/>
        <family val="1"/>
      </rPr>
      <t>1.5 points</t>
    </r>
    <r>
      <rPr>
        <sz val="12"/>
        <color rgb="FF002060"/>
        <rFont val="Times New Roman"/>
        <family val="1"/>
      </rPr>
      <t>)  Derive a paid tail factor using Boor’s algebraic method.</t>
    </r>
  </si>
  <si>
    <t>Subsequently, the Chief Actuary provides you with an alternative tail factor of 1.072 based on industry benchmark data.</t>
  </si>
  <si>
    <r>
      <t>(</t>
    </r>
    <r>
      <rPr>
        <i/>
        <sz val="12"/>
        <color rgb="FF002060"/>
        <rFont val="Times New Roman"/>
        <family val="1"/>
      </rPr>
      <t>1 point</t>
    </r>
    <r>
      <rPr>
        <sz val="12"/>
        <color rgb="FF002060"/>
        <rFont val="Times New Roman"/>
        <family val="1"/>
      </rPr>
      <t>)  Calculate ultimate claims using the paid development method and the tail factor of 1.072.</t>
    </r>
  </si>
  <si>
    <t>You are given the following additional information for estimating ULAE:</t>
  </si>
  <si>
    <t xml:space="preserve">·       Selected ultimate claims for each accident year are based on the results from the reported development method shown above </t>
  </si>
  <si>
    <t xml:space="preserve">(and not the paid development method). </t>
  </si>
  <si>
    <r>
      <t>(</t>
    </r>
    <r>
      <rPr>
        <i/>
        <sz val="12"/>
        <color rgb="FF002060"/>
        <rFont val="Times New Roman"/>
        <family val="1"/>
      </rPr>
      <t>1 point</t>
    </r>
    <r>
      <rPr>
        <sz val="12"/>
        <color rgb="FF002060"/>
        <rFont val="Times New Roman"/>
        <family val="1"/>
      </rPr>
      <t>)  Calculate the unpaid ULAE as of December 31, 2020 using the classical paid-to-paid method and a multiplier of 50%.</t>
    </r>
  </si>
  <si>
    <r>
      <t>(</t>
    </r>
    <r>
      <rPr>
        <i/>
        <sz val="12"/>
        <color rgb="FF002060"/>
        <rFont val="Times New Roman"/>
        <family val="1"/>
      </rPr>
      <t>1 point</t>
    </r>
    <r>
      <rPr>
        <sz val="12"/>
        <color rgb="FF002060"/>
        <rFont val="Times New Roman"/>
        <family val="1"/>
      </rPr>
      <t>)  Describe the Kittel refinement to the classical paid-to-paid method and the weakness it is designed to address.</t>
    </r>
  </si>
  <si>
    <r>
      <t>(</t>
    </r>
    <r>
      <rPr>
        <i/>
        <sz val="12"/>
        <color rgb="FF002060"/>
        <rFont val="Times New Roman"/>
        <family val="1"/>
      </rPr>
      <t>0.5 points</t>
    </r>
    <r>
      <rPr>
        <sz val="12"/>
        <color rgb="FF002060"/>
        <rFont val="Times New Roman"/>
        <family val="1"/>
      </rPr>
      <t>)  Describe the Mango and Allen smoothing adjustment.</t>
    </r>
  </si>
  <si>
    <t>Question 19</t>
  </si>
  <si>
    <t>You are given the following information on all policies written for a homeowners line of business:</t>
  </si>
  <si>
    <t>Policy #</t>
  </si>
  <si>
    <t>Renewal Date Each Year</t>
  </si>
  <si>
    <t>Territory</t>
  </si>
  <si>
    <t>Class</t>
  </si>
  <si>
    <t>See note below</t>
  </si>
  <si>
    <t>April 1</t>
  </si>
  <si>
    <t>June 1</t>
  </si>
  <si>
    <t xml:space="preserve"> October 1</t>
  </si>
  <si>
    <t>·       All policies are 12-month policy terms.</t>
  </si>
  <si>
    <t>·       All policies were first written prior to 2018, have been renewed each year and are still in-force.</t>
  </si>
  <si>
    <t>·       Policy #2 was originally rated as territory 2 and was changed to territory 1 at their 2019 renewal.</t>
  </si>
  <si>
    <t>·       The risk characteristics for policies #1 and #3 have remained the same since each policy was first written.</t>
  </si>
  <si>
    <t>You are given the following historical rate changes since 2018:</t>
  </si>
  <si>
    <t>Effective Date</t>
  </si>
  <si>
    <t>Base Rate</t>
  </si>
  <si>
    <t>Jul. 1, 2018</t>
  </si>
  <si>
    <t>Jul. 1, 2019</t>
  </si>
  <si>
    <t>Jul. 1, 2020</t>
  </si>
  <si>
    <t>Territory Rating Factors</t>
  </si>
  <si>
    <t>Territory 1</t>
  </si>
  <si>
    <t>Territory 2</t>
  </si>
  <si>
    <t>Territory 3</t>
  </si>
  <si>
    <t>Class Rating Factors</t>
  </si>
  <si>
    <t>Class 1</t>
  </si>
  <si>
    <t>Class 2</t>
  </si>
  <si>
    <t>Premiums are the product of base rate and the rating factors.</t>
  </si>
  <si>
    <r>
      <t>(</t>
    </r>
    <r>
      <rPr>
        <i/>
        <sz val="12"/>
        <color rgb="FF002060"/>
        <rFont val="Times New Roman"/>
        <family val="1"/>
      </rPr>
      <t>2 points</t>
    </r>
    <r>
      <rPr>
        <sz val="12"/>
        <color rgb="FF002060"/>
        <rFont val="Times New Roman"/>
        <family val="1"/>
      </rPr>
      <t>)  Calculate the calendar year 2019 total earned premiums at current rate levels using the extension of exposures method.</t>
    </r>
  </si>
  <si>
    <r>
      <t>(</t>
    </r>
    <r>
      <rPr>
        <i/>
        <sz val="12"/>
        <color rgb="FF002060"/>
        <rFont val="Times New Roman"/>
        <family val="1"/>
      </rPr>
      <t>1 point</t>
    </r>
    <r>
      <rPr>
        <sz val="12"/>
        <color rgb="FF002060"/>
        <rFont val="Times New Roman"/>
        <family val="1"/>
      </rPr>
      <t>)  Calculate the total in-force premiums as of July 1, 2019 using the July 1, 2018 rates.</t>
    </r>
  </si>
  <si>
    <r>
      <t>(</t>
    </r>
    <r>
      <rPr>
        <i/>
        <sz val="12"/>
        <color rgb="FF002060"/>
        <rFont val="Times New Roman"/>
        <family val="1"/>
      </rPr>
      <t>1 point</t>
    </r>
    <r>
      <rPr>
        <sz val="12"/>
        <color rgb="FF002060"/>
        <rFont val="Times New Roman"/>
        <family val="1"/>
      </rPr>
      <t>)  Calculate the total in-force premiums as of July 1, 2019 using the July 1, 2019 rates.</t>
    </r>
  </si>
  <si>
    <r>
      <t>(</t>
    </r>
    <r>
      <rPr>
        <i/>
        <sz val="12"/>
        <color rgb="FF002060"/>
        <rFont val="Times New Roman"/>
        <family val="1"/>
      </rPr>
      <t>0.5 points</t>
    </r>
    <r>
      <rPr>
        <sz val="12"/>
        <color rgb="FF002060"/>
        <rFont val="Times New Roman"/>
        <family val="1"/>
      </rPr>
      <t>)  Calculate the overall premium change for the July 1, 2019 rate changes.</t>
    </r>
  </si>
  <si>
    <r>
      <t>(</t>
    </r>
    <r>
      <rPr>
        <i/>
        <sz val="12"/>
        <color rgb="FF002060"/>
        <rFont val="Times New Roman"/>
        <family val="1"/>
      </rPr>
      <t>0.5 points</t>
    </r>
    <r>
      <rPr>
        <sz val="12"/>
        <color rgb="FF002060"/>
        <rFont val="Times New Roman"/>
        <family val="1"/>
      </rPr>
      <t>)  Explain why the July 1, 2019 increase in the base rate is not equal to the overall premium change calculated in part (d).</t>
    </r>
  </si>
  <si>
    <t>Question 20</t>
  </si>
  <si>
    <t>You are conducting a ratemaking analysis and are given the following information:</t>
  </si>
  <si>
    <t>Direct Written Premium</t>
  </si>
  <si>
    <t>Direct Earned Premiums</t>
  </si>
  <si>
    <t>Total Commission Expenses and Premium Taxes</t>
  </si>
  <si>
    <t>General Expenses</t>
  </si>
  <si>
    <r>
      <t>(</t>
    </r>
    <r>
      <rPr>
        <i/>
        <sz val="12"/>
        <color rgb="FF002060"/>
        <rFont val="Times New Roman"/>
        <family val="1"/>
      </rPr>
      <t>1.5 points</t>
    </r>
    <r>
      <rPr>
        <sz val="12"/>
        <color rgb="FF002060"/>
        <rFont val="Times New Roman"/>
        <family val="1"/>
      </rPr>
      <t>)  Calculate the total variable expense ratio for each calendar year.</t>
    </r>
  </si>
  <si>
    <r>
      <t>(</t>
    </r>
    <r>
      <rPr>
        <i/>
        <sz val="12"/>
        <color rgb="FF002060"/>
        <rFont val="Times New Roman"/>
        <family val="1"/>
      </rPr>
      <t>1 point</t>
    </r>
    <r>
      <rPr>
        <sz val="12"/>
        <color rgb="FF002060"/>
        <rFont val="Times New Roman"/>
        <family val="1"/>
      </rPr>
      <t>)  Recommend the total variable expense ratio to use in ratemaking.  Justify your recommendation.</t>
    </r>
  </si>
  <si>
    <r>
      <t>(</t>
    </r>
    <r>
      <rPr>
        <i/>
        <sz val="12"/>
        <color rgb="FF002060"/>
        <rFont val="Times New Roman"/>
        <family val="1"/>
      </rPr>
      <t>1.5 points</t>
    </r>
    <r>
      <rPr>
        <sz val="12"/>
        <color rgb="FF002060"/>
        <rFont val="Times New Roman"/>
        <family val="1"/>
      </rPr>
      <t>)  Recommend the fixed expense per exposure to use in ratemaking.  Justify your recommendation.</t>
    </r>
  </si>
  <si>
    <t>·       This table represents a sample of 5 claims from a book of business with 5,000 claim counts.</t>
  </si>
  <si>
    <r>
      <t>(</t>
    </r>
    <r>
      <rPr>
        <i/>
        <sz val="12"/>
        <color rgb="FF002060"/>
        <rFont val="Times New Roman"/>
        <family val="1"/>
      </rPr>
      <t>1 point</t>
    </r>
    <r>
      <rPr>
        <sz val="12"/>
        <color rgb="FF002060"/>
        <rFont val="Times New Roman"/>
        <family val="1"/>
      </rPr>
      <t>)  Evaluate the reasonability of the deductible factors calculated in part (d) using a consistency test.</t>
    </r>
  </si>
  <si>
    <t>You are given the following additional information for the earthquake endorsement:</t>
  </si>
  <si>
    <t>You are given the following information for the basic homeowners coverage:</t>
  </si>
  <si>
    <t>ABC insurer has been offering mileage discounts to its automobile insurance policyholders who drive below a certain mileage each year.  You are given the following information:</t>
  </si>
  <si>
    <r>
      <t>(</t>
    </r>
    <r>
      <rPr>
        <i/>
        <sz val="12"/>
        <color rgb="FF002060"/>
        <rFont val="Times New Roman"/>
        <family val="1"/>
      </rPr>
      <t>1.5 points</t>
    </r>
    <r>
      <rPr>
        <sz val="12"/>
        <color rgb="FF002060"/>
        <rFont val="Times New Roman"/>
        <family val="1"/>
      </rPr>
      <t>)  Calculate and select the annual premium trend due to the change in discount level.  Justify your selection.</t>
    </r>
  </si>
  <si>
    <t xml:space="preserve">·       The higher expected claim ratio for homeowners in 2021Q3 reflects hurricane season.  </t>
  </si>
  <si>
    <t>Additionally, a colleague has calculated the equity in the unearned premiums for the general liability line of business and the result is a large negative number.  LMN Insurance Company writes no other lines of business besides auto, homeowners, and general liability.</t>
  </si>
  <si>
    <t>CM Insurance Company writes claims-made coverage with a 4-year reporting pattern where 40% of the claims incurred in an accident year are reported in the year of occurrence, and 20% are reported in each of the next three years.  The annual report year pure premium trend is 0%.</t>
  </si>
  <si>
    <r>
      <t>(</t>
    </r>
    <r>
      <rPr>
        <i/>
        <sz val="12"/>
        <color rgb="FF002060"/>
        <rFont val="Times New Roman"/>
        <family val="1"/>
      </rPr>
      <t>1.5 points</t>
    </r>
    <r>
      <rPr>
        <sz val="12"/>
        <color rgb="FF002060"/>
        <rFont val="Times New Roman"/>
        <family val="1"/>
      </rPr>
      <t>)  Calculate the trended ultimate claims in the layer 1,000,000 excess of 500,000 for ratemaking purposes, using theoretically-derived cumulative development factors.</t>
    </r>
  </si>
  <si>
    <r>
      <t>(</t>
    </r>
    <r>
      <rPr>
        <i/>
        <sz val="12"/>
        <color rgb="FF002060"/>
        <rFont val="Times New Roman"/>
        <family val="1"/>
      </rPr>
      <t>1 point</t>
    </r>
    <r>
      <rPr>
        <sz val="12"/>
        <color rgb="FF002060"/>
        <rFont val="Times New Roman"/>
        <family val="1"/>
      </rPr>
      <t xml:space="preserve">)  Explain how the annual claim trend for ultimate claims in the layer 1,000,000 excess of 500,000 could be </t>
    </r>
    <r>
      <rPr>
        <i/>
        <sz val="12"/>
        <color rgb="FF002060"/>
        <rFont val="Times New Roman"/>
        <family val="1"/>
      </rPr>
      <t>greater</t>
    </r>
    <r>
      <rPr>
        <sz val="12"/>
        <color rgb="FF002060"/>
        <rFont val="Times New Roman"/>
        <family val="1"/>
      </rPr>
      <t xml:space="preserve"> than 5% for the entire book of business.</t>
    </r>
  </si>
  <si>
    <t>·       Earned house years for accident year 2020:</t>
  </si>
  <si>
    <t>·       The annual exposure trend is:</t>
  </si>
  <si>
    <t>·       The annual severity trend is:</t>
  </si>
  <si>
    <t>·       The annual premium trend is:</t>
  </si>
  <si>
    <t>·        The annual trend due to changes in policy limits is:</t>
  </si>
  <si>
    <t>·       The annual pure premium trend is:</t>
  </si>
  <si>
    <t xml:space="preserve"> for all accidents occurring on or after January 1, 2018.</t>
  </si>
  <si>
    <t xml:space="preserve">·       Tort reform resulted in an estimated claim decrease of </t>
  </si>
  <si>
    <t xml:space="preserve">o   Annual severity trend of </t>
  </si>
  <si>
    <t>o   Annual frequency trend of</t>
  </si>
  <si>
    <t>·       The annual claim trend for ground-up ultimate claims is:</t>
  </si>
  <si>
    <t xml:space="preserve"> for development after 72 months.</t>
  </si>
  <si>
    <t xml:space="preserve">·       There is a tail factor of </t>
  </si>
  <si>
    <t>rate increase for this line of business.</t>
  </si>
  <si>
    <t>·       Management approves a</t>
  </si>
  <si>
    <t>·       The annual frequency trend is:</t>
  </si>
  <si>
    <t>The claim was unusual, and a similar claim is not likely to occur.</t>
  </si>
  <si>
    <t xml:space="preserve"> paid and closed on March 15, 2019.</t>
  </si>
  <si>
    <t>Accident year 2017 includes a large claim of</t>
  </si>
  <si>
    <t>·       Actual reported claims as of December 31, 2020 are:</t>
  </si>
  <si>
    <t>·       The selected ratio of calendar year paid unallocated loss adjustment expenses (ULAE) to paid claims is:</t>
  </si>
  <si>
    <t xml:space="preserve"> of general expenses are fixed expenses.</t>
  </si>
  <si>
    <t>·      </t>
  </si>
  <si>
    <t xml:space="preserve"> of claims for each of the past three years and are expected to increase to </t>
  </si>
  <si>
    <t>·       Unallocated loss adjustment expenses have been</t>
  </si>
  <si>
    <t xml:space="preserve"> to implement.</t>
  </si>
  <si>
    <t xml:space="preserve"> for the next five years due to a system update that will cost </t>
  </si>
  <si>
    <t>·       The earned exposures in the future rating period are projected to be:</t>
  </si>
  <si>
    <t xml:space="preserve">·       Policy #1:  12-month policy first written on November 1, 2019 for a premium of </t>
  </si>
  <si>
    <t xml:space="preserve">·       Policy #2:  6-month policy first written on February 1, 2020 for a premium of </t>
  </si>
  <si>
    <t xml:space="preserve"> and cancelled on November 30, 2020.</t>
  </si>
  <si>
    <t>·       Policy #3:  12-month policy first written on April 1, 2020 for a premium of</t>
  </si>
  <si>
    <t>All rating characteristics remained the same for each policy at each renewal.</t>
  </si>
  <si>
    <t xml:space="preserve"> for each policy written or renewed after September 1, 2020. </t>
  </si>
  <si>
    <t>There was a premium level increase of</t>
  </si>
  <si>
    <t>based on an October 1, 2020 cost level.</t>
  </si>
  <si>
    <t>·       Using July 1, 2020 in-force policies, expected claims from the earthquake catastrophe model are</t>
  </si>
  <si>
    <t xml:space="preserve"> post 2020.</t>
  </si>
  <si>
    <t>·        The annual premium trend due to change in discount level is expected to be</t>
  </si>
  <si>
    <t xml:space="preserve"> renewed in 2020, and in force on December 31, 2020.</t>
  </si>
  <si>
    <t>Annual claim trend</t>
  </si>
  <si>
    <t>(excluding optional 
earthquake endorsement)</t>
  </si>
  <si>
    <t>Fixed cost per policy</t>
  </si>
  <si>
    <t>Variable expense to premium ratio</t>
  </si>
  <si>
    <t>Risk load as a perecent of premium</t>
  </si>
  <si>
    <t>Current rate level</t>
  </si>
  <si>
    <t>Annual premium trend</t>
  </si>
  <si>
    <t>Permissible claim ratio is:</t>
  </si>
  <si>
    <t>ULAE</t>
  </si>
  <si>
    <t>Policy acquisition costs</t>
  </si>
  <si>
    <t>of claims for automobile</t>
  </si>
  <si>
    <t>of claims for homeowners</t>
  </si>
  <si>
    <t>of written premiums</t>
  </si>
  <si>
    <t>Selected general expense ratio</t>
  </si>
  <si>
    <t>Insured losses from peril HW</t>
  </si>
  <si>
    <t>Insured losses from peril FI</t>
  </si>
  <si>
    <t xml:space="preserve">Primary Insurance is interested in obtaining per occurrence excess of loss reinsurance for the combined perils of hurricane wind (HW) and flood inland (FI). The reinsurance is to cover Primary’s insured losses between the 100-year and 500-year PMLs from these two perils. </t>
  </si>
  <si>
    <t>·       the first layer covering Primary’s insured losses between the 100-year and 250-year PMLs, and</t>
  </si>
  <si>
    <t>·       the second layer covering Primary’s insured losses between the 250-year and 500-year PMLs.</t>
  </si>
  <si>
    <t>You are given the following excerpts of catastrophe model output for Primary’s portfolio of insurance policies.</t>
  </si>
  <si>
    <t xml:space="preserve">Assume that Primary purchased this reinsurance coverage and then experienced the following losses from a single catastrophic event: </t>
  </si>
  <si>
    <t>(1 point)  Calculate Primary’s reinsurance recoverables from this catastrophic event for each of the two layers.</t>
  </si>
  <si>
    <t>Historically, Primary has received reinsurance premium quotes that reflect an expense load of 24% and a risk load equal to the 85% of the SD.</t>
  </si>
  <si>
    <t xml:space="preserve">(2 points)  Estimate Primary’s reinsurance premium for each layer of coverage. </t>
  </si>
  <si>
    <t>Primary is also considering inclusion of the peril flood storm surge (FSS) for its reinsurance coverage.  Primary has separate PMLs, AALs and SDs for FSS but does not have the amounts on a HW, FI and FSS combined basis.  An underwriter has recommended that Primary should calculate the total reinsurance premium by estimating a premium for FSS coverage in the reinsurance layers and then adding it to the premiums estimated in part (c).</t>
  </si>
  <si>
    <t xml:space="preserve">(1.5 points)  Provide two reasons why Primary should not calculate the total reinsurance premium using the underwriter’s recommendation. </t>
  </si>
  <si>
    <t>Policy#</t>
  </si>
  <si>
    <t>2020 WP</t>
  </si>
  <si>
    <t>Period</t>
  </si>
  <si>
    <t>Original WP</t>
  </si>
  <si>
    <t># months earned in 2020</t>
  </si>
  <si>
    <t>2020 EP</t>
  </si>
  <si>
    <t>Jan 1, 2020 to Oct 31, 2020</t>
  </si>
  <si>
    <t>Nov 1, 2020 to Dec 31, 2020</t>
  </si>
  <si>
    <t>Feb 1, 2020 to July 31, 2020</t>
  </si>
  <si>
    <t>Aug 1, 2020 to Dec 31, 2020</t>
  </si>
  <si>
    <t>April 1, 2020 to Nov 30, 2020</t>
  </si>
  <si>
    <t>Total 2020 EP</t>
  </si>
  <si>
    <t>UEP</t>
  </si>
  <si>
    <t>Diff between WP &amp; EP for the latest period</t>
  </si>
  <si>
    <t>Not in force at the end of the year</t>
  </si>
  <si>
    <t>Any two of the following are acceptable:</t>
  </si>
  <si>
    <t xml:space="preserve"> - The policies are not written evenly through the period.</t>
  </si>
  <si>
    <t>EP @ CRL</t>
  </si>
  <si>
    <t>Needs the 5% rate increase</t>
  </si>
  <si>
    <t>Already at current rate level</t>
  </si>
  <si>
    <t>April 1, 2020 to Dec 1, 2020</t>
  </si>
  <si>
    <t xml:space="preserve"> - The parallelogram approach is an approximation method and with so few policies the actual calculation is more accurate.</t>
  </si>
  <si>
    <t xml:space="preserve"> - The parallelogram approach more appropriate for an entire book of business and not few individual policies.</t>
  </si>
  <si>
    <t>Report Year (RY)</t>
  </si>
  <si>
    <t>Projected Ultimate Claims from Development Method</t>
  </si>
  <si>
    <t>Trend</t>
  </si>
  <si>
    <t>Trended Pure Premium</t>
  </si>
  <si>
    <t>Projected Ultimate based on Expected Method</t>
  </si>
  <si>
    <t>Average Trended PP excl 2020:</t>
  </si>
  <si>
    <t>All Years</t>
  </si>
  <si>
    <t>All Years excl hi/lo</t>
  </si>
  <si>
    <t>Latest 5</t>
  </si>
  <si>
    <t>Selected</t>
  </si>
  <si>
    <t>Detrended Pure Premium</t>
  </si>
  <si>
    <t>Expected % Unreported</t>
  </si>
  <si>
    <t>Expected Unreported</t>
  </si>
  <si>
    <t>Projected Ult</t>
  </si>
  <si>
    <t>Expected Reported</t>
  </si>
  <si>
    <t>Percentage Difference</t>
  </si>
  <si>
    <t>The difference is reasonable in total.  The largest difference is in the most recent two years, which is expected based on maturity.</t>
  </si>
  <si>
    <t>Expected % Developed</t>
  </si>
  <si>
    <t>Used-Up On-Level Exposures</t>
  </si>
  <si>
    <t>Tort Reform</t>
  </si>
  <si>
    <t>Adjusted Claims at Dec. 31, 2020</t>
  </si>
  <si>
    <t>Pure Premium Trend</t>
  </si>
  <si>
    <t>Adjusted expected pure premium:</t>
  </si>
  <si>
    <t>AY</t>
  </si>
  <si>
    <t>Expected Claims (Ultimate)</t>
  </si>
  <si>
    <t>Expected % Undeveloped</t>
  </si>
  <si>
    <t>Projected Ultimate</t>
  </si>
  <si>
    <t>- Development may be lower in recent years due to operational changes or changes in experience.</t>
  </si>
  <si>
    <t>- Experience may have improved beginning in AY 2016.  Maybe frequency or severity improved due to loss prevention or loss control activities.</t>
  </si>
  <si>
    <t>- A policy change may have been made in 2016 which reduced claim exposure (e.g., higher deductible).</t>
  </si>
  <si>
    <t>Adjusted Age-to-Age Development Factors Excluding the Large Claim</t>
  </si>
  <si>
    <t>All Years Average</t>
  </si>
  <si>
    <t>Ave excl hi/lo</t>
  </si>
  <si>
    <t>Volume Wtd Average</t>
  </si>
  <si>
    <t>5 Year Average</t>
  </si>
  <si>
    <t>3  Year Average</t>
  </si>
  <si>
    <t>Justification for selection: Selected 3 years average to recognize decreasing trend down the columns.</t>
  </si>
  <si>
    <t>Estimated Claims</t>
  </si>
  <si>
    <t>Actual Paid</t>
  </si>
  <si>
    <t>Age</t>
  </si>
  <si>
    <t>Ultimate Claims from Reported Development Method</t>
  </si>
  <si>
    <t>Implied Tail Factor</t>
  </si>
  <si>
    <t>Selected Paid DFs</t>
  </si>
  <si>
    <t>Paid Claims Excluding Large Claim</t>
  </si>
  <si>
    <t>Age-to-Ultimate Development Factors</t>
  </si>
  <si>
    <t>Case o/s:</t>
  </si>
  <si>
    <t>IBNR:</t>
  </si>
  <si>
    <t>Unpaid ULAE =</t>
  </si>
  <si>
    <t>(ULAE ratio x IBNR) + (ULAE ratio x multiplier x case estimates)</t>
  </si>
  <si>
    <t>Kittel method derives ULAE ratio by comparing paid ULAE to average of paid and reported claims (rather than paid to paid ratio used in Classical method).</t>
  </si>
  <si>
    <t>Kittel's change addresses some of the distortion that can arise with increasing (changing) exposures because reported claims react quicker to exposure changes.</t>
  </si>
  <si>
    <t>The Mango and Allen Smoothing Adjustment uses expected claim in place of actual claims.</t>
  </si>
  <si>
    <t>Indicated IBNR</t>
  </si>
  <si>
    <t>Paid development is not appropriate because it is under-responsive to large claim.</t>
  </si>
  <si>
    <t>Reported development is not appropriate because it is over-responsive to large claim.</t>
  </si>
  <si>
    <t>Paid Bornhuetter Ferguson is not appropriate because it is under-responsive to large claim.</t>
  </si>
  <si>
    <t>Reported Bornhuetter Ferguson is an appropriate method because it is not distorted by large claim and also recognizes relative immaturity of a liability coverage.</t>
  </si>
  <si>
    <t>Incremental Paid Claims at Maturity Age (in Months)</t>
    <phoneticPr fontId="0" type="noConversion"/>
  </si>
  <si>
    <t>Cumulative Paid Claims at Maturity Age (in Months)</t>
    <phoneticPr fontId="0" type="noConversion"/>
  </si>
  <si>
    <t>Case Estimates at Maturity Age (in Months)</t>
    <phoneticPr fontId="0" type="noConversion"/>
  </si>
  <si>
    <t>Reported Claims at Maturity Age (in Months)</t>
  </si>
  <si>
    <t>Claim 2 is likely Automobile physical damage as it has a short reporting delay and was settled within 6 months of claim occurrence.</t>
  </si>
  <si>
    <t>Claim 3 is likely Medical malpractice claim as it has a long reporting delay and has not closed within 36 months of its occurrence.</t>
  </si>
  <si>
    <t>Claim 7 is likely Workers' compensation claim as it was reopened after its initial settlement.</t>
  </si>
  <si>
    <t>OPTIONAL development factor calculation which may be helpful to identify anomalies</t>
  </si>
  <si>
    <t xml:space="preserve"> - Reported pure premiums decreased in AYs 2015-2016, then increased again in AYs 2017 and subsequent accident years.
</t>
  </si>
  <si>
    <t xml:space="preserve"> - Reported pure premium for AY2014 increased significantly at 72 months, then decreased again at 84 months.</t>
  </si>
  <si>
    <t xml:space="preserve"> - Reported pure premium development is increasing over time (i.e., development factors increase down each column).
</t>
  </si>
  <si>
    <t>Commentary on Question:</t>
  </si>
  <si>
    <t>Only one change is needed for each anomaly identified in part (d).</t>
  </si>
  <si>
    <r>
      <t>·</t>
    </r>
    <r>
      <rPr>
        <sz val="7"/>
        <color theme="1"/>
        <rFont val="Times New Roman"/>
        <family val="1"/>
      </rPr>
      <t xml:space="preserve">       </t>
    </r>
    <r>
      <rPr>
        <sz val="12"/>
        <color theme="1"/>
        <rFont val="Times New Roman"/>
        <family val="1"/>
      </rPr>
      <t>Reported pure premiums decreased in AYs 2015-2016, then increased again in AYs 2017 and subsequent accident years:</t>
    </r>
  </si>
  <si>
    <r>
      <t>o</t>
    </r>
    <r>
      <rPr>
        <sz val="7"/>
        <color theme="1"/>
        <rFont val="Times New Roman"/>
        <family val="1"/>
      </rPr>
      <t xml:space="preserve">   </t>
    </r>
    <r>
      <rPr>
        <sz val="12"/>
        <color theme="1"/>
        <rFont val="Times New Roman"/>
        <family val="1"/>
      </rPr>
      <t>Changes in policy terms (e.g., limits, deductibles) could cause PP to change over time.</t>
    </r>
  </si>
  <si>
    <r>
      <t>o</t>
    </r>
    <r>
      <rPr>
        <sz val="7"/>
        <color theme="1"/>
        <rFont val="Times New Roman"/>
        <family val="1"/>
      </rPr>
      <t xml:space="preserve">   </t>
    </r>
    <r>
      <rPr>
        <sz val="12"/>
        <color theme="1"/>
        <rFont val="Times New Roman"/>
        <family val="1"/>
      </rPr>
      <t>Changes in the type of insureds (exposures) could cause PP to change over time.</t>
    </r>
  </si>
  <si>
    <r>
      <t>·</t>
    </r>
    <r>
      <rPr>
        <sz val="7"/>
        <color theme="1"/>
        <rFont val="Times New Roman"/>
        <family val="1"/>
      </rPr>
      <t xml:space="preserve">       </t>
    </r>
    <r>
      <rPr>
        <sz val="12"/>
        <color theme="1"/>
        <rFont val="Times New Roman"/>
        <family val="1"/>
      </rPr>
      <t>Reported pure premium for AY2014 increased significantly at 72 months, then decreased again at 84 months:</t>
    </r>
  </si>
  <si>
    <r>
      <t>o</t>
    </r>
    <r>
      <rPr>
        <sz val="7"/>
        <color theme="1"/>
        <rFont val="Times New Roman"/>
        <family val="1"/>
      </rPr>
      <t xml:space="preserve">   </t>
    </r>
    <r>
      <rPr>
        <sz val="12"/>
        <color theme="1"/>
        <rFont val="Times New Roman"/>
        <family val="1"/>
      </rPr>
      <t>The reporting of a large claim (or case estimate) which then decreased/normalized could cause an increase, then decrease in reported pure premiums.</t>
    </r>
  </si>
  <si>
    <r>
      <t>o</t>
    </r>
    <r>
      <rPr>
        <sz val="7"/>
        <color theme="1"/>
        <rFont val="Times New Roman"/>
        <family val="1"/>
      </rPr>
      <t xml:space="preserve">   </t>
    </r>
    <r>
      <rPr>
        <sz val="12"/>
        <color theme="1"/>
        <rFont val="Times New Roman"/>
        <family val="1"/>
      </rPr>
      <t>The reporting of a large claim, which was subsequently covered by reinsurance (or subrogation) could cause an increase, then decrease in reported pure premiums.</t>
    </r>
  </si>
  <si>
    <r>
      <t>·</t>
    </r>
    <r>
      <rPr>
        <sz val="7"/>
        <color theme="1"/>
        <rFont val="Times New Roman"/>
        <family val="1"/>
      </rPr>
      <t xml:space="preserve">       </t>
    </r>
    <r>
      <rPr>
        <sz val="12"/>
        <color theme="1"/>
        <rFont val="Times New Roman"/>
        <family val="1"/>
      </rPr>
      <t>Reported pure premium development is increasing over time (i.e., development factors increase down each column).</t>
    </r>
  </si>
  <si>
    <r>
      <t>o</t>
    </r>
    <r>
      <rPr>
        <sz val="7"/>
        <color theme="1"/>
        <rFont val="Times New Roman"/>
        <family val="1"/>
      </rPr>
      <t xml:space="preserve">   </t>
    </r>
    <r>
      <rPr>
        <sz val="12"/>
        <color theme="1"/>
        <rFont val="Times New Roman"/>
        <family val="1"/>
      </rPr>
      <t>Change in policy terms (e.g., limits, deductibles) could cause development to change over time.</t>
    </r>
  </si>
  <si>
    <r>
      <t>o</t>
    </r>
    <r>
      <rPr>
        <sz val="7"/>
        <color theme="1"/>
        <rFont val="Times New Roman"/>
        <family val="1"/>
      </rPr>
      <t xml:space="preserve">   </t>
    </r>
    <r>
      <rPr>
        <sz val="12"/>
        <color theme="1"/>
        <rFont val="Times New Roman"/>
        <family val="1"/>
      </rPr>
      <t>Change in the type of insureds (exposures) could cause development to change over time.</t>
    </r>
  </si>
  <si>
    <r>
      <t>o</t>
    </r>
    <r>
      <rPr>
        <sz val="7"/>
        <color theme="1"/>
        <rFont val="Times New Roman"/>
        <family val="1"/>
      </rPr>
      <t xml:space="preserve">   </t>
    </r>
    <r>
      <rPr>
        <sz val="12"/>
        <color theme="1"/>
        <rFont val="Times New Roman"/>
        <family val="1"/>
      </rPr>
      <t>Change in case reserve adequacy (or claim settlement patterns) could cause development to change over time.</t>
    </r>
  </si>
  <si>
    <t>Elimination Ratio by Dedutible</t>
  </si>
  <si>
    <t xml:space="preserve"> All years average</t>
  </si>
  <si>
    <t xml:space="preserve"> All years average excl. 2015</t>
  </si>
  <si>
    <t xml:space="preserve"> Selected elimination ratio</t>
  </si>
  <si>
    <t xml:space="preserve"> Deductible factor</t>
  </si>
  <si>
    <t>AY2015 seems to be an outlier, so the all years average excluding 2015 is selected</t>
  </si>
  <si>
    <t>Ded factor</t>
  </si>
  <si>
    <t>Marginal rate per 000</t>
  </si>
  <si>
    <t>Since the marginal rates are strictly decreasing, the deductible factors are reasonable.</t>
  </si>
  <si>
    <t>Mid point of future rating period:</t>
  </si>
  <si>
    <t>Exposure trend period (months): July 1, 2020 to October 1, 2020</t>
  </si>
  <si>
    <t>Severity trend period (months): October 1, 2020 to July 1, 2023</t>
  </si>
  <si>
    <t xml:space="preserve">Exposure trend </t>
  </si>
  <si>
    <t>Severity trend</t>
  </si>
  <si>
    <t xml:space="preserve">Trended modeled catastrophe claims </t>
  </si>
  <si>
    <t>Trended exposures</t>
  </si>
  <si>
    <t xml:space="preserve">Pure premium </t>
  </si>
  <si>
    <t>Endorsement premium:</t>
  </si>
  <si>
    <t>On Level Earned Premium (OLEP)</t>
  </si>
  <si>
    <t>Trend Period (years)</t>
  </si>
  <si>
    <t>Trended OLEP</t>
  </si>
  <si>
    <t>Trended Ultimate Claims</t>
  </si>
  <si>
    <t>Claim Ratio</t>
  </si>
  <si>
    <t>Selected ultimate claim ratio:</t>
  </si>
  <si>
    <t>Indicated rate change:</t>
  </si>
  <si>
    <t>Indicated rate:</t>
  </si>
  <si>
    <t>Selected ultimate claim ratio: average of 2019 and 2020 is used as 2018 is an outlier</t>
  </si>
  <si>
    <t xml:space="preserve">Do not agree. </t>
  </si>
  <si>
    <t xml:space="preserve">There is additional administrative cost related to this optional add-on, such as the mid-term addition or cancellation. </t>
  </si>
  <si>
    <t>5% discount</t>
  </si>
  <si>
    <t>10% discount</t>
  </si>
  <si>
    <t>Average excluding 2020:</t>
  </si>
  <si>
    <t xml:space="preserve">Selected trend due to shift in discount = </t>
  </si>
  <si>
    <t>Average Discount</t>
  </si>
  <si>
    <t>Annual Change</t>
  </si>
  <si>
    <t>Justification is that 2020 should be excluded as this is assumed to be a one-time change and the annual change should therefore return to historical levels after 2020.</t>
  </si>
  <si>
    <t>2018 average earned date</t>
  </si>
  <si>
    <t>2020 average earned date</t>
  </si>
  <si>
    <t>Trending Period 1</t>
  </si>
  <si>
    <t>months</t>
  </si>
  <si>
    <t>Effective date of new rates:</t>
  </si>
  <si>
    <t>Avg earned date of forecast period</t>
  </si>
  <si>
    <t>Trending Period 2</t>
  </si>
  <si>
    <t>Premium Trend Factor:</t>
  </si>
  <si>
    <t xml:space="preserve">Trending factor period 1: </t>
  </si>
  <si>
    <t xml:space="preserve">Trending factor period 2: </t>
  </si>
  <si>
    <t>Premium trend factor:</t>
  </si>
  <si>
    <t xml:space="preserve">Consider the case where the reporting period is two years, 50%, 50% and claims cost trend is negative, say -20%. </t>
  </si>
  <si>
    <t>Thus, the claims-made claims cost is greater.</t>
  </si>
  <si>
    <t>The occurrence claims cost would be 100, and the claims-made claims cost would 50×(1+(1/1 - 0.20)) = 112.5.</t>
  </si>
  <si>
    <t>AY Lag</t>
  </si>
  <si>
    <t>Tail factor for:</t>
  </si>
  <si>
    <t xml:space="preserve">Mature = </t>
  </si>
  <si>
    <t>Second year CM =</t>
  </si>
  <si>
    <t>With a 25,000 tail premium split into six units, the earning would be as follows:</t>
  </si>
  <si>
    <t xml:space="preserve">2021: (3/6) of 25,000 = </t>
  </si>
  <si>
    <t xml:space="preserve">2022: (2/6) of 25,000 = </t>
  </si>
  <si>
    <t xml:space="preserve">2023: (1/6) of 25,000 = </t>
  </si>
  <si>
    <t>Year 1</t>
  </si>
  <si>
    <t>Year 2</t>
  </si>
  <si>
    <t>In Layer</t>
  </si>
  <si>
    <t>Trend:</t>
  </si>
  <si>
    <t>Claims #1-3</t>
  </si>
  <si>
    <t>This could occur if there are more claims at the lower limits (between 500,000/1.05 and 500,000) relative to claims greater than or equal to 1,500,000/1.05 in the entire book of business.</t>
  </si>
  <si>
    <t>For example, if claims #4 and #5 are removed from the part (a) example , the trend is:</t>
  </si>
  <si>
    <t>Trend period = average accident date in 2020 to average accident date in future rating period</t>
  </si>
  <si>
    <t>months, or</t>
  </si>
  <si>
    <t>years</t>
  </si>
  <si>
    <t>Limit/Layer</t>
  </si>
  <si>
    <t>CDF</t>
  </si>
  <si>
    <t>Trend Factor</t>
  </si>
  <si>
    <t>500,000 limit</t>
  </si>
  <si>
    <t>1,500,000 limit</t>
  </si>
  <si>
    <t>In the layer 1,000,000 excess of 500,000</t>
  </si>
  <si>
    <t xml:space="preserve">   = July 1, 2020 to Apr. 1, 2023 =</t>
  </si>
  <si>
    <t xml:space="preserve">CDF 500,000 = </t>
  </si>
  <si>
    <t>CDF 1,500,000 =</t>
  </si>
  <si>
    <t>Average Case</t>
  </si>
  <si>
    <t>The last diagonal is much higher than previous years, suggesting increasing case reserve adequacy.</t>
  </si>
  <si>
    <t>Development Factors</t>
  </si>
  <si>
    <t>72 to Ult</t>
  </si>
  <si>
    <t>Age-to-Ult.</t>
  </si>
  <si>
    <t>Ultimate</t>
  </si>
  <si>
    <t>Dev. Factor</t>
  </si>
  <si>
    <t>IBNR</t>
  </si>
  <si>
    <t>Adjusted Average Case Estimates</t>
  </si>
  <si>
    <t>Adjusted Case Estimates</t>
  </si>
  <si>
    <t>Adjusted Reported Claims</t>
  </si>
  <si>
    <t>Weighted average</t>
  </si>
  <si>
    <t>Age-to-ultimate</t>
  </si>
  <si>
    <t>Average earned premium at current rate level</t>
  </si>
  <si>
    <t>Trended ultimate claims</t>
  </si>
  <si>
    <t xml:space="preserve">Trended pure premium </t>
  </si>
  <si>
    <t xml:space="preserve">Total fixed expenses </t>
  </si>
  <si>
    <t xml:space="preserve">Indicated rate </t>
  </si>
  <si>
    <t xml:space="preserve">Indicated rate change </t>
  </si>
  <si>
    <t>CY</t>
  </si>
  <si>
    <t>Required Premium</t>
  </si>
  <si>
    <t>Fixed Expenses</t>
  </si>
  <si>
    <t>Variable Expenses</t>
  </si>
  <si>
    <t>PP with ULAE</t>
  </si>
  <si>
    <t>Charged Premium</t>
  </si>
  <si>
    <t>Profit</t>
  </si>
  <si>
    <t>Frequency</t>
  </si>
  <si>
    <t>Severity</t>
  </si>
  <si>
    <t>Change from Court Ruling</t>
  </si>
  <si>
    <t>Trended Frequency</t>
  </si>
  <si>
    <t>Trended Severity</t>
  </si>
  <si>
    <t>All years average</t>
  </si>
  <si>
    <t>Average excluding 2020</t>
  </si>
  <si>
    <t>Frequency Trend @0.5%</t>
  </si>
  <si>
    <t>Severity Trend @4.7%</t>
  </si>
  <si>
    <t>(both averages account for the court ruling change, so either is reasonable)</t>
  </si>
  <si>
    <t>(no outliers and no significant trend, therefore all years average is reasonable)</t>
  </si>
  <si>
    <t xml:space="preserve">Selected frequency = </t>
  </si>
  <si>
    <t xml:space="preserve">Selected severity = </t>
  </si>
  <si>
    <t xml:space="preserve">Ultimate claims = </t>
  </si>
  <si>
    <t xml:space="preserve">Development method IBNR = </t>
  </si>
  <si>
    <t xml:space="preserve">F-S method IBNR = </t>
  </si>
  <si>
    <t xml:space="preserve">Percent growth in IBNR = </t>
  </si>
  <si>
    <t xml:space="preserve">	If we are confident in the expected increase in claim frequency for AY 2020 then the F-S method is more likely to be appropriate._x000D_
</t>
  </si>
  <si>
    <t>Development method does not adjust for AY 2020 expected increase in claim frequency.</t>
  </si>
  <si>
    <t xml:space="preserve">	This is seen by the fact the F-S method ultimate claims are 2.5% higher than the development method ultimate claims, and the F-S method IBNR is 3.91% higher than the development method IBNR._x000D_
</t>
  </si>
  <si>
    <t>: increase in ultimate claims</t>
  </si>
  <si>
    <t>for layer 1 (insured losses between the  100-year and 250-year PMLs from these two perils)</t>
  </si>
  <si>
    <t>for layer 2 (insured losses between the  250-year and 250-year PMLs from these two perils)</t>
  </si>
  <si>
    <t xml:space="preserve">Layer 1 losses from </t>
  </si>
  <si>
    <t>to</t>
  </si>
  <si>
    <t xml:space="preserve">Layer 2 losses from </t>
  </si>
  <si>
    <t xml:space="preserve">to </t>
  </si>
  <si>
    <t>Insured loss total</t>
  </si>
  <si>
    <t>Layer 1 losses</t>
  </si>
  <si>
    <t>Layer 2 losses</t>
  </si>
  <si>
    <t>Policy</t>
  </si>
  <si>
    <t>Territory Factor</t>
  </si>
  <si>
    <t>Class Factor</t>
  </si>
  <si>
    <t>Term (yrs)</t>
  </si>
  <si>
    <t>Earned Premium at Current Rate Level</t>
  </si>
  <si>
    <t>The difference is due to the various rating factors and accounting for the different rating characteristics of each policy.</t>
  </si>
  <si>
    <t xml:space="preserve">Overall premium change = (Total Premium @ July 1, 2019 rates) / (Total Premium @ July 1, 2018 Rates) - 1 = </t>
  </si>
  <si>
    <t>Commission and Premium Tax Expense Ratio</t>
  </si>
  <si>
    <t>Variable</t>
  </si>
  <si>
    <t>As a % of Premiums</t>
  </si>
  <si>
    <t>Total Variable Expense Ratio</t>
  </si>
  <si>
    <t>Variable General Expense Ratio</t>
  </si>
  <si>
    <t>Average</t>
  </si>
  <si>
    <t>Selection:</t>
  </si>
  <si>
    <t>Recommend:</t>
  </si>
  <si>
    <t>Justification:</t>
  </si>
  <si>
    <t xml:space="preserve">Variable general expense ratio is decreasing, so recommend the latest year to reflect the decrease
</t>
  </si>
  <si>
    <t>Commission and premium tax expense ratio is steady so recommend the average of all 3 years</t>
  </si>
  <si>
    <t>Fixed General Expense (000)</t>
  </si>
  <si>
    <t>Fixed General Expense Per Exposure</t>
  </si>
  <si>
    <t xml:space="preserve"> (amortize over 5 years)</t>
  </si>
  <si>
    <t>Total:</t>
  </si>
  <si>
    <t xml:space="preserve">Provision for new system = </t>
  </si>
  <si>
    <t>UEP by Quarter</t>
  </si>
  <si>
    <t>Months Remaining at Dec. 31, 2020</t>
  </si>
  <si>
    <t>Unearned Proportion</t>
  </si>
  <si>
    <t>Unearned Premiums at Dec. 31, 2020</t>
  </si>
  <si>
    <t>Q1</t>
  </si>
  <si>
    <t>Q2</t>
  </si>
  <si>
    <t>Q3</t>
  </si>
  <si>
    <t>Q4</t>
  </si>
  <si>
    <t>Total Months Unexpired</t>
  </si>
  <si>
    <t>2021 Unearned Premiums Allocated to Accident Quarter</t>
  </si>
  <si>
    <t>Gross Expected Claim Ratios</t>
  </si>
  <si>
    <t>Expected Claims</t>
  </si>
  <si>
    <t>2021 Unexpired Months Allocated to Accident Quarter</t>
  </si>
  <si>
    <t>Auto expected claims:</t>
  </si>
  <si>
    <t>Unearned premiums</t>
  </si>
  <si>
    <t>Expected claims</t>
  </si>
  <si>
    <t>Maintenance expenses</t>
  </si>
  <si>
    <t xml:space="preserve">Net premium liabilities </t>
  </si>
  <si>
    <t xml:space="preserve">Equity/(Deficiency) </t>
  </si>
  <si>
    <t>A premium deficiency reserve may be required for the company.</t>
  </si>
  <si>
    <t>General Liability rates appear to be inadequate and should be reviewed.</t>
  </si>
  <si>
    <t>Amount in 000s</t>
  </si>
  <si>
    <t>Layer 1</t>
  </si>
  <si>
    <t>Layer 2</t>
  </si>
  <si>
    <t>risk load</t>
  </si>
  <si>
    <t>expense load</t>
  </si>
  <si>
    <t>premium</t>
  </si>
  <si>
    <t>If ABC wants to cover insured losses in the layer between the  100-year and 500-year PMLs, it must get the combined perils PMLs because PMLs are not additive.</t>
  </si>
  <si>
    <t xml:space="preserve">Premiums cannot be added because this will overstate the risk load due to the fact that the SDs are not additive. The combined perils SD is less than the sum of the SDs for all the perils covered.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</si>
</sst>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_-;\-* #,##0.00_-;_-* &quot;-&quot;??_-;_-@_-"/>
    <numFmt numFmtId="165" formatCode="0.000"/>
    <numFmt numFmtId="166" formatCode="#,##0;\(#,##0\);\-"/>
    <numFmt numFmtId="167" formatCode="mmmm\ d"/>
    <numFmt numFmtId="168" formatCode="0.0%"/>
    <numFmt numFmtId="169" formatCode="_(* #,##0_);_(* \(#,##0\);_(* &quot;-&quot;??_);_(@_)"/>
    <numFmt numFmtId="170" formatCode="0_);[Red]\(0\)"/>
    <numFmt numFmtId="171" formatCode="0_ "/>
    <numFmt numFmtId="172" formatCode="#,##0.000"/>
    <numFmt numFmtId="173" formatCode="0.00000"/>
    <numFmt numFmtId="174" formatCode="0.0000"/>
    <numFmt numFmtId="175" formatCode="mmmm\ d\,\ yyyy"/>
    <numFmt numFmtId="176" formatCode="_(* #,##0.000_);_(* \(#,##0.000\);_(* &quot;-&quot;??_);_(@_)"/>
    <numFmt numFmtId="177" formatCode="#,##0.0000"/>
    <numFmt numFmtId="178" formatCode="#;\(#\);\-"/>
    <numFmt numFmtId="179" formatCode="#,##0.0"/>
    <numFmt numFmtId="180" formatCode="#,##0_ ;\-#,##0\ "/>
  </numFmts>
  <fonts count="32" x14ac:knownFonts="1">
    <font>
      <sz val="11"/>
      <color theme="1"/>
      <name val="Calibri"/>
      <family val="2"/>
      <scheme val="minor"/>
    </font>
    <font>
      <sz val="12"/>
      <color rgb="FF002060"/>
      <name val="Times New Roman"/>
      <family val="1"/>
    </font>
    <font>
      <sz val="12"/>
      <color theme="1"/>
      <name val="Times New Roman"/>
      <family val="1"/>
    </font>
    <font>
      <b/>
      <sz val="14"/>
      <color rgb="FF002060"/>
      <name val="Times New Roman"/>
      <family val="1"/>
    </font>
    <font>
      <i/>
      <sz val="12"/>
      <color rgb="FF002060"/>
      <name val="Times New Roman"/>
      <family val="1"/>
    </font>
    <font>
      <sz val="12"/>
      <name val="Times New Roman"/>
      <family val="1"/>
    </font>
    <font>
      <b/>
      <sz val="12"/>
      <color rgb="FF002060"/>
      <name val="Times New Roman"/>
      <family val="1"/>
    </font>
    <font>
      <b/>
      <i/>
      <sz val="12"/>
      <color rgb="FF002060"/>
      <name val="Times New Roman"/>
      <family val="1"/>
    </font>
    <font>
      <sz val="10"/>
      <color rgb="FF002060"/>
      <name val="Times New Roman"/>
      <family val="1"/>
    </font>
    <font>
      <sz val="12"/>
      <color rgb="FF002060"/>
      <name val="Calibri"/>
      <family val="2"/>
    </font>
    <font>
      <b/>
      <sz val="11"/>
      <color rgb="FF002060"/>
      <name val="Times New Roman"/>
      <family val="1"/>
    </font>
    <font>
      <b/>
      <i/>
      <vertAlign val="subscript"/>
      <sz val="12"/>
      <color rgb="FF002060"/>
      <name val="Times New Roman"/>
      <family val="1"/>
    </font>
    <font>
      <i/>
      <vertAlign val="subscript"/>
      <sz val="12"/>
      <color rgb="FF002060"/>
      <name val="Times New Roman"/>
      <family val="1"/>
    </font>
    <font>
      <sz val="11"/>
      <name val="Calibri"/>
      <family val="2"/>
      <scheme val="minor"/>
    </font>
    <font>
      <sz val="11"/>
      <color theme="1"/>
      <name val="Calibri"/>
      <family val="2"/>
      <scheme val="minor"/>
    </font>
    <font>
      <sz val="11"/>
      <color theme="1"/>
      <name val="Times New Roman"/>
      <family val="1"/>
    </font>
    <font>
      <sz val="11"/>
      <name val="Times New Roman"/>
      <family val="1"/>
    </font>
    <font>
      <i/>
      <sz val="11"/>
      <color theme="1"/>
      <name val="Times New Roman"/>
      <family val="1"/>
    </font>
    <font>
      <i/>
      <sz val="11"/>
      <name val="Times New Roman"/>
      <family val="1"/>
    </font>
    <font>
      <u/>
      <sz val="12"/>
      <color theme="1"/>
      <name val="Times New Roman"/>
      <family val="1"/>
    </font>
    <font>
      <b/>
      <sz val="12"/>
      <color rgb="FF0070C0"/>
      <name val="Times New Roman"/>
      <family val="1"/>
    </font>
    <font>
      <b/>
      <sz val="12"/>
      <name val="Times New Roman"/>
      <family val="1"/>
    </font>
    <font>
      <i/>
      <sz val="12"/>
      <color theme="1"/>
      <name val="Times New Roman"/>
      <family val="1"/>
    </font>
    <font>
      <b/>
      <sz val="12"/>
      <color theme="1"/>
      <name val="Times New Roman"/>
      <family val="1"/>
    </font>
    <font>
      <sz val="12"/>
      <color theme="1"/>
      <name val="Symbol"/>
      <family val="1"/>
      <charset val="2"/>
    </font>
    <font>
      <sz val="7"/>
      <color theme="1"/>
      <name val="Times New Roman"/>
      <family val="1"/>
    </font>
    <font>
      <sz val="12"/>
      <color theme="1"/>
      <name val="Courier New"/>
      <family val="3"/>
    </font>
    <font>
      <sz val="11"/>
      <color rgb="FF7030A0"/>
      <name val="Times New Roman"/>
      <family val="1"/>
    </font>
    <font>
      <sz val="11"/>
      <color theme="1"/>
      <name val="Calibri"/>
      <family val="2"/>
    </font>
    <font>
      <sz val="12"/>
      <name val="Calibri"/>
      <family val="2"/>
    </font>
    <font>
      <sz val="11"/>
      <color rgb="FF000000"/>
      <name val="Times New Roman"/>
      <family val="1"/>
    </font>
    <font>
      <sz val="12"/>
      <color rgb="FF00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s>
  <cellStyleXfs count="3">
    <xf numFmtId="0" fontId="0" fillId="0" borderId="0"/>
    <xf numFmtId="9" fontId="14" fillId="0" borderId="0" applyFont="0" applyFill="0" applyBorder="0" applyAlignment="0" applyProtection="0"/>
    <xf numFmtId="164" fontId="14" fillId="0" borderId="0" applyFont="0" applyFill="0" applyBorder="0" applyAlignment="0" applyProtection="0"/>
  </cellStyleXfs>
  <cellXfs count="375">
    <xf numFmtId="0" fontId="0" fillId="0" borderId="0" xfId="0"/>
    <xf numFmtId="0" fontId="2" fillId="0" borderId="0" xfId="0" applyFont="1"/>
    <xf numFmtId="0" fontId="3" fillId="3" borderId="0" xfId="0" applyFont="1" applyFill="1"/>
    <xf numFmtId="0" fontId="2" fillId="3" borderId="0" xfId="0" applyFont="1" applyFill="1"/>
    <xf numFmtId="0" fontId="1" fillId="3" borderId="0" xfId="0" applyFont="1" applyFill="1"/>
    <xf numFmtId="0" fontId="4" fillId="3" borderId="0" xfId="0" applyFont="1" applyFill="1"/>
    <xf numFmtId="0" fontId="1" fillId="3" borderId="0" xfId="0" quotePrefix="1" applyFont="1" applyFill="1" applyAlignment="1">
      <alignment vertical="center"/>
    </xf>
    <xf numFmtId="0" fontId="5" fillId="0" borderId="0" xfId="0" applyFont="1"/>
    <xf numFmtId="0" fontId="1" fillId="0" borderId="0" xfId="0" applyFont="1"/>
    <xf numFmtId="0" fontId="1" fillId="2" borderId="0" xfId="0" applyFont="1" applyFill="1"/>
    <xf numFmtId="0" fontId="1" fillId="2" borderId="0" xfId="0" applyFont="1" applyFill="1" applyAlignment="1"/>
    <xf numFmtId="0" fontId="2" fillId="0" borderId="0" xfId="0" applyFont="1" applyAlignment="1"/>
    <xf numFmtId="0" fontId="1" fillId="3" borderId="0" xfId="0" applyFont="1" applyFill="1" applyAlignment="1"/>
    <xf numFmtId="0" fontId="1" fillId="3" borderId="0" xfId="0" quotePrefix="1" applyFont="1" applyFill="1" applyAlignment="1"/>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wrapText="1"/>
    </xf>
    <xf numFmtId="0" fontId="1" fillId="2" borderId="3" xfId="0" applyFont="1" applyFill="1" applyBorder="1" applyAlignment="1">
      <alignment horizontal="center" vertical="center" wrapText="1"/>
    </xf>
    <xf numFmtId="0" fontId="6" fillId="2" borderId="4" xfId="0" applyFont="1" applyFill="1" applyBorder="1" applyAlignment="1">
      <alignment horizontal="center" wrapText="1"/>
    </xf>
    <xf numFmtId="0" fontId="6" fillId="2" borderId="3" xfId="0" applyFont="1" applyFill="1" applyBorder="1" applyAlignment="1">
      <alignment horizontal="center" wrapText="1"/>
    </xf>
    <xf numFmtId="3" fontId="1"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9" fontId="1" fillId="2" borderId="0" xfId="0" applyNumberFormat="1" applyFont="1" applyFill="1" applyAlignment="1">
      <alignment horizontal="left"/>
    </xf>
    <xf numFmtId="0" fontId="7" fillId="3" borderId="0" xfId="0" applyFont="1" applyFill="1"/>
    <xf numFmtId="10" fontId="1" fillId="2"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10"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8" fillId="2" borderId="0" xfId="0" applyFont="1" applyFill="1" applyBorder="1" applyAlignment="1">
      <alignment vertical="center" wrapText="1"/>
    </xf>
    <xf numFmtId="0" fontId="6" fillId="2" borderId="0" xfId="0" applyFont="1" applyFill="1" applyBorder="1" applyAlignment="1">
      <alignment horizontal="center" vertical="center"/>
    </xf>
    <xf numFmtId="10" fontId="1"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1" fillId="3" borderId="0" xfId="0" quotePrefix="1" applyFont="1" applyFill="1"/>
    <xf numFmtId="0" fontId="6" fillId="2" borderId="1" xfId="0" applyFont="1" applyFill="1" applyBorder="1" applyAlignment="1">
      <alignment vertical="center" wrapText="1"/>
    </xf>
    <xf numFmtId="3" fontId="1" fillId="2" borderId="1" xfId="0" applyNumberFormat="1" applyFont="1" applyFill="1" applyBorder="1" applyAlignment="1">
      <alignment horizontal="right" vertical="center" indent="2"/>
    </xf>
    <xf numFmtId="0" fontId="1" fillId="2" borderId="1" xfId="0" applyFont="1" applyFill="1" applyBorder="1" applyAlignment="1">
      <alignment horizontal="right" vertical="center" indent="2"/>
    </xf>
    <xf numFmtId="3" fontId="6" fillId="2" borderId="1" xfId="0" applyNumberFormat="1" applyFont="1" applyFill="1" applyBorder="1" applyAlignment="1">
      <alignment horizontal="right" vertical="center" indent="2"/>
    </xf>
    <xf numFmtId="0" fontId="6" fillId="2" borderId="1" xfId="0" applyFont="1" applyFill="1" applyBorder="1" applyAlignment="1">
      <alignment vertical="center"/>
    </xf>
    <xf numFmtId="0" fontId="1" fillId="2" borderId="3" xfId="0" applyFont="1" applyFill="1" applyBorder="1" applyAlignment="1">
      <alignment horizontal="right" vertical="center" indent="2"/>
    </xf>
    <xf numFmtId="3" fontId="1" fillId="2" borderId="3" xfId="0" applyNumberFormat="1" applyFont="1" applyFill="1" applyBorder="1" applyAlignment="1">
      <alignment horizontal="right" vertical="center" indent="2"/>
    </xf>
    <xf numFmtId="0" fontId="6" fillId="2" borderId="3" xfId="0" quotePrefix="1" applyFont="1" applyFill="1" applyBorder="1" applyAlignment="1">
      <alignment horizontal="center" wrapText="1"/>
    </xf>
    <xf numFmtId="165" fontId="1" fillId="2" borderId="1" xfId="0" applyNumberFormat="1" applyFont="1" applyFill="1" applyBorder="1" applyAlignment="1">
      <alignment horizontal="center" vertical="center"/>
    </xf>
    <xf numFmtId="0" fontId="1" fillId="2" borderId="1" xfId="0" applyFont="1" applyFill="1" applyBorder="1" applyAlignment="1">
      <alignment vertical="center"/>
    </xf>
    <xf numFmtId="3" fontId="1" fillId="2" borderId="1" xfId="0" applyNumberFormat="1" applyFont="1" applyFill="1" applyBorder="1" applyAlignment="1">
      <alignment horizontal="right" vertical="center"/>
    </xf>
    <xf numFmtId="0" fontId="1" fillId="2" borderId="1" xfId="0" applyFont="1" applyFill="1" applyBorder="1" applyAlignment="1">
      <alignment horizontal="right" vertical="center"/>
    </xf>
    <xf numFmtId="0" fontId="6"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1" fillId="2" borderId="4" xfId="0" applyFont="1" applyFill="1" applyBorder="1" applyAlignment="1"/>
    <xf numFmtId="0" fontId="6" fillId="2" borderId="3" xfId="0" applyFont="1" applyFill="1" applyBorder="1" applyAlignment="1">
      <alignment horizontal="center"/>
    </xf>
    <xf numFmtId="3" fontId="1"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166" fontId="1" fillId="2" borderId="1" xfId="0" applyNumberFormat="1" applyFont="1" applyFill="1" applyBorder="1" applyAlignment="1">
      <alignment horizontal="center" vertical="center"/>
    </xf>
    <xf numFmtId="166" fontId="6" fillId="2" borderId="1"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0" fontId="9" fillId="2" borderId="0" xfId="0" applyFont="1" applyFill="1"/>
    <xf numFmtId="0" fontId="6" fillId="3" borderId="0" xfId="0" applyFont="1" applyFill="1"/>
    <xf numFmtId="0" fontId="10" fillId="2" borderId="1" xfId="0" applyFont="1" applyFill="1" applyBorder="1" applyAlignment="1">
      <alignment horizontal="center" wrapText="1"/>
    </xf>
    <xf numFmtId="10" fontId="1" fillId="2" borderId="1" xfId="0" applyNumberFormat="1" applyFont="1" applyFill="1" applyBorder="1" applyAlignment="1">
      <alignment horizontal="right" vertical="center"/>
    </xf>
    <xf numFmtId="0" fontId="2" fillId="2" borderId="0" xfId="0" applyFont="1" applyFill="1"/>
    <xf numFmtId="0" fontId="1" fillId="2" borderId="1" xfId="0" applyFont="1" applyFill="1" applyBorder="1"/>
    <xf numFmtId="0" fontId="6" fillId="2" borderId="2" xfId="0" applyFont="1" applyFill="1" applyBorder="1" applyAlignment="1">
      <alignment horizontal="center" vertical="center"/>
    </xf>
    <xf numFmtId="0" fontId="6" fillId="2" borderId="4" xfId="0" applyFont="1" applyFill="1" applyBorder="1" applyAlignment="1">
      <alignment vertical="center"/>
    </xf>
    <xf numFmtId="0" fontId="1" fillId="2" borderId="2" xfId="0" applyFont="1" applyFill="1" applyBorder="1"/>
    <xf numFmtId="0" fontId="2" fillId="2" borderId="11" xfId="0" applyFont="1" applyFill="1" applyBorder="1"/>
    <xf numFmtId="0" fontId="1" fillId="2" borderId="11" xfId="0" applyFont="1" applyFill="1" applyBorder="1"/>
    <xf numFmtId="0" fontId="1" fillId="2" borderId="1" xfId="0" applyFont="1" applyFill="1" applyBorder="1" applyAlignment="1">
      <alignment horizontal="center"/>
    </xf>
    <xf numFmtId="0" fontId="6" fillId="2" borderId="4" xfId="0" applyFont="1" applyFill="1" applyBorder="1" applyAlignment="1">
      <alignment horizontal="center" vertical="center"/>
    </xf>
    <xf numFmtId="9" fontId="1" fillId="2" borderId="1" xfId="0" applyNumberFormat="1" applyFont="1" applyFill="1" applyBorder="1" applyAlignment="1">
      <alignment horizontal="center" vertical="center" wrapText="1"/>
    </xf>
    <xf numFmtId="0" fontId="1" fillId="2" borderId="0" xfId="0" quotePrefix="1" applyFont="1" applyFill="1"/>
    <xf numFmtId="16" fontId="6" fillId="2" borderId="1" xfId="0" quotePrefix="1" applyNumberFormat="1" applyFont="1" applyFill="1" applyBorder="1" applyAlignment="1">
      <alignment horizontal="center"/>
    </xf>
    <xf numFmtId="0" fontId="6" fillId="2" borderId="1" xfId="0" applyFont="1" applyFill="1" applyBorder="1" applyAlignment="1">
      <alignment horizontal="center"/>
    </xf>
    <xf numFmtId="167" fontId="1" fillId="2" borderId="1" xfId="0" quotePrefix="1"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wrapText="1"/>
    </xf>
    <xf numFmtId="0" fontId="6" fillId="2" borderId="2" xfId="0" applyFont="1" applyFill="1" applyBorder="1" applyAlignment="1">
      <alignment horizontal="center" vertical="center" wrapText="1"/>
    </xf>
    <xf numFmtId="0" fontId="1" fillId="3" borderId="0" xfId="0" applyFont="1" applyFill="1" applyAlignment="1">
      <alignment horizontal="left"/>
    </xf>
    <xf numFmtId="10" fontId="1" fillId="2" borderId="0" xfId="0" applyNumberFormat="1" applyFont="1" applyFill="1"/>
    <xf numFmtId="10" fontId="1" fillId="3" borderId="0" xfId="0" applyNumberFormat="1" applyFont="1" applyFill="1" applyAlignment="1">
      <alignment horizontal="center"/>
    </xf>
    <xf numFmtId="9" fontId="1" fillId="3" borderId="0" xfId="0" applyNumberFormat="1" applyFont="1" applyFill="1" applyAlignment="1">
      <alignment horizontal="center"/>
    </xf>
    <xf numFmtId="0" fontId="1" fillId="2" borderId="0" xfId="0" applyFont="1" applyFill="1" applyAlignment="1">
      <alignment horizontal="left" indent="5"/>
    </xf>
    <xf numFmtId="9" fontId="1" fillId="3" borderId="1" xfId="0" applyNumberFormat="1" applyFont="1" applyFill="1" applyBorder="1" applyAlignment="1">
      <alignment horizontal="center"/>
    </xf>
    <xf numFmtId="0" fontId="1" fillId="3" borderId="0" xfId="0" applyFont="1" applyFill="1" applyAlignment="1">
      <alignment horizontal="left" indent="1"/>
    </xf>
    <xf numFmtId="0" fontId="1" fillId="2" borderId="0" xfId="0" applyFont="1" applyFill="1" applyAlignment="1">
      <alignment horizontal="left"/>
    </xf>
    <xf numFmtId="9" fontId="1" fillId="2" borderId="1" xfId="0" applyNumberFormat="1" applyFont="1" applyFill="1" applyBorder="1" applyAlignment="1">
      <alignment horizontal="center"/>
    </xf>
    <xf numFmtId="0" fontId="1" fillId="2" borderId="5" xfId="0" applyFont="1" applyFill="1" applyBorder="1" applyAlignment="1">
      <alignment horizontal="left" indent="1"/>
    </xf>
    <xf numFmtId="9" fontId="1" fillId="3" borderId="1" xfId="0" applyNumberFormat="1" applyFont="1" applyFill="1" applyBorder="1" applyAlignment="1">
      <alignment horizontal="left"/>
    </xf>
    <xf numFmtId="3" fontId="1" fillId="3" borderId="1" xfId="0" applyNumberFormat="1" applyFont="1" applyFill="1" applyBorder="1" applyAlignment="1">
      <alignment horizontal="center"/>
    </xf>
    <xf numFmtId="10" fontId="1" fillId="3" borderId="1" xfId="0" applyNumberFormat="1" applyFont="1" applyFill="1" applyBorder="1" applyAlignment="1">
      <alignment horizontal="center"/>
    </xf>
    <xf numFmtId="3" fontId="1" fillId="2" borderId="1" xfId="0" applyNumberFormat="1" applyFont="1" applyFill="1" applyBorder="1" applyAlignment="1">
      <alignment horizontal="center"/>
    </xf>
    <xf numFmtId="0" fontId="1" fillId="3" borderId="1" xfId="0" applyFont="1" applyFill="1" applyBorder="1" applyAlignment="1"/>
    <xf numFmtId="0" fontId="1" fillId="3" borderId="1" xfId="0" applyFont="1" applyFill="1" applyBorder="1" applyAlignment="1">
      <alignment horizontal="center"/>
    </xf>
    <xf numFmtId="0" fontId="1" fillId="3" borderId="5" xfId="0" applyFont="1" applyFill="1" applyBorder="1" applyAlignment="1"/>
    <xf numFmtId="0" fontId="1" fillId="3" borderId="2" xfId="0" applyFont="1" applyFill="1" applyBorder="1" applyAlignment="1"/>
    <xf numFmtId="10" fontId="1" fillId="2" borderId="1" xfId="0" applyNumberFormat="1" applyFont="1" applyFill="1" applyBorder="1"/>
    <xf numFmtId="0" fontId="1" fillId="3" borderId="1" xfId="0" applyFont="1" applyFill="1" applyBorder="1" applyAlignment="1">
      <alignment wrapText="1"/>
    </xf>
    <xf numFmtId="10" fontId="1" fillId="3" borderId="1" xfId="0" applyNumberFormat="1" applyFont="1" applyFill="1" applyBorder="1" applyAlignment="1">
      <alignment horizontal="center" vertical="center"/>
    </xf>
    <xf numFmtId="0" fontId="1" fillId="3" borderId="5" xfId="0" applyFont="1" applyFill="1" applyBorder="1" applyAlignment="1">
      <alignment vertical="center"/>
    </xf>
    <xf numFmtId="0" fontId="1" fillId="2" borderId="0" xfId="0" applyFont="1" applyFill="1" applyAlignment="1">
      <alignment horizontal="center"/>
    </xf>
    <xf numFmtId="10" fontId="1" fillId="2" borderId="1" xfId="0" applyNumberFormat="1" applyFont="1" applyFill="1" applyBorder="1" applyAlignment="1">
      <alignment horizontal="center"/>
    </xf>
    <xf numFmtId="0" fontId="1" fillId="2" borderId="0" xfId="0" applyFont="1" applyFill="1" applyBorder="1"/>
    <xf numFmtId="168" fontId="1" fillId="3" borderId="1" xfId="0" applyNumberFormat="1" applyFont="1" applyFill="1" applyBorder="1" applyAlignment="1"/>
    <xf numFmtId="3" fontId="1" fillId="2" borderId="1" xfId="0" applyNumberFormat="1" applyFont="1" applyFill="1" applyBorder="1"/>
    <xf numFmtId="3" fontId="1" fillId="3" borderId="1" xfId="0" quotePrefix="1" applyNumberFormat="1" applyFont="1" applyFill="1" applyBorder="1" applyAlignment="1">
      <alignment horizontal="center"/>
    </xf>
    <xf numFmtId="3" fontId="1" fillId="3" borderId="1" xfId="0" applyNumberFormat="1" applyFont="1" applyFill="1" applyBorder="1" applyAlignment="1"/>
    <xf numFmtId="3" fontId="1" fillId="2" borderId="1" xfId="0" applyNumberFormat="1" applyFont="1" applyFill="1" applyBorder="1" applyAlignment="1">
      <alignment horizontal="left" indent="3"/>
    </xf>
    <xf numFmtId="0" fontId="1" fillId="2" borderId="1" xfId="0" applyFont="1" applyFill="1" applyBorder="1" applyAlignment="1">
      <alignment horizontal="left" indent="4"/>
    </xf>
    <xf numFmtId="0" fontId="5" fillId="0" borderId="0" xfId="0" quotePrefix="1" applyFont="1"/>
    <xf numFmtId="0" fontId="5" fillId="0" borderId="12" xfId="0" applyFont="1" applyFill="1" applyBorder="1" applyAlignment="1">
      <alignment horizontal="center"/>
    </xf>
    <xf numFmtId="0" fontId="2" fillId="0" borderId="12" xfId="0" applyFont="1" applyFill="1" applyBorder="1" applyAlignment="1">
      <alignment horizontal="center"/>
    </xf>
    <xf numFmtId="0" fontId="5" fillId="0" borderId="0" xfId="0" applyFont="1" applyFill="1"/>
    <xf numFmtId="0" fontId="5" fillId="0" borderId="0" xfId="0" applyFont="1" applyFill="1" applyAlignment="1">
      <alignment horizontal="center"/>
    </xf>
    <xf numFmtId="0" fontId="2" fillId="0" borderId="0" xfId="0" applyFont="1" applyFill="1"/>
    <xf numFmtId="3" fontId="2" fillId="0" borderId="0" xfId="0" applyNumberFormat="1" applyFont="1" applyFill="1" applyAlignment="1">
      <alignment horizontal="center"/>
    </xf>
    <xf numFmtId="3" fontId="2" fillId="0" borderId="12" xfId="0" applyNumberFormat="1" applyFont="1" applyFill="1" applyBorder="1" applyAlignment="1">
      <alignment horizontal="center"/>
    </xf>
    <xf numFmtId="0" fontId="2" fillId="0" borderId="0" xfId="0" applyFont="1" applyFill="1" applyAlignment="1">
      <alignment horizontal="center"/>
    </xf>
    <xf numFmtId="0" fontId="2" fillId="0" borderId="12" xfId="0" applyFont="1" applyFill="1" applyBorder="1"/>
    <xf numFmtId="0" fontId="5" fillId="0" borderId="12" xfId="0" applyFont="1" applyFill="1" applyBorder="1" applyAlignment="1">
      <alignment horizontal="center" wrapText="1"/>
    </xf>
    <xf numFmtId="0" fontId="5" fillId="0" borderId="11" xfId="0" applyFont="1" applyFill="1" applyBorder="1" applyAlignment="1">
      <alignment horizontal="center"/>
    </xf>
    <xf numFmtId="0" fontId="2" fillId="0" borderId="11" xfId="0" applyFont="1" applyFill="1" applyBorder="1"/>
    <xf numFmtId="3" fontId="2" fillId="0" borderId="11" xfId="0" applyNumberFormat="1" applyFont="1" applyFill="1" applyBorder="1" applyAlignment="1">
      <alignment horizontal="center"/>
    </xf>
    <xf numFmtId="0" fontId="2" fillId="0" borderId="11" xfId="0" applyFont="1" applyFill="1" applyBorder="1" applyAlignment="1">
      <alignment horizontal="center"/>
    </xf>
    <xf numFmtId="0" fontId="5" fillId="0" borderId="0" xfId="0" applyFont="1" applyFill="1" applyAlignment="1">
      <alignment horizontal="left"/>
    </xf>
    <xf numFmtId="4" fontId="2" fillId="0" borderId="0" xfId="0" applyNumberFormat="1" applyFont="1" applyFill="1" applyAlignment="1">
      <alignment horizontal="center"/>
    </xf>
    <xf numFmtId="4" fontId="2" fillId="0" borderId="12" xfId="0" applyNumberFormat="1" applyFont="1" applyFill="1" applyBorder="1" applyAlignment="1">
      <alignment horizontal="center"/>
    </xf>
    <xf numFmtId="4" fontId="2" fillId="0" borderId="11" xfId="0" applyNumberFormat="1" applyFont="1" applyFill="1" applyBorder="1" applyAlignment="1">
      <alignment horizontal="center"/>
    </xf>
    <xf numFmtId="0" fontId="5" fillId="0" borderId="12" xfId="0" applyFont="1" applyFill="1" applyBorder="1"/>
    <xf numFmtId="0" fontId="13" fillId="0" borderId="0" xfId="0" applyFont="1" applyFill="1"/>
    <xf numFmtId="3" fontId="5" fillId="0" borderId="0" xfId="0" applyNumberFormat="1" applyFont="1" applyFill="1" applyAlignment="1">
      <alignment horizontal="center"/>
    </xf>
    <xf numFmtId="4" fontId="5" fillId="0" borderId="0" xfId="0" applyNumberFormat="1" applyFont="1" applyFill="1" applyAlignment="1">
      <alignment horizontal="center"/>
    </xf>
    <xf numFmtId="4" fontId="5" fillId="0" borderId="12" xfId="0" applyNumberFormat="1" applyFont="1" applyFill="1" applyBorder="1" applyAlignment="1">
      <alignment horizontal="center"/>
    </xf>
    <xf numFmtId="0" fontId="5" fillId="0" borderId="11" xfId="0" applyFont="1" applyFill="1" applyBorder="1"/>
    <xf numFmtId="4" fontId="5" fillId="0" borderId="11" xfId="0" applyNumberFormat="1" applyFont="1" applyFill="1" applyBorder="1" applyAlignment="1">
      <alignment horizontal="center"/>
    </xf>
    <xf numFmtId="4" fontId="5" fillId="0" borderId="0" xfId="0" applyNumberFormat="1" applyFont="1" applyFill="1"/>
    <xf numFmtId="165" fontId="5" fillId="0" borderId="0" xfId="0" applyNumberFormat="1" applyFont="1" applyFill="1" applyAlignment="1">
      <alignment horizontal="center"/>
    </xf>
    <xf numFmtId="4" fontId="5" fillId="0" borderId="0" xfId="0" applyNumberFormat="1" applyFont="1" applyFill="1" applyAlignment="1">
      <alignment horizontal="right" indent="2"/>
    </xf>
    <xf numFmtId="3" fontId="5" fillId="0" borderId="0" xfId="0" applyNumberFormat="1" applyFont="1" applyFill="1" applyAlignment="1">
      <alignment horizontal="right" indent="2"/>
    </xf>
    <xf numFmtId="3" fontId="5" fillId="0" borderId="0" xfId="0" applyNumberFormat="1" applyFont="1" applyFill="1"/>
    <xf numFmtId="4" fontId="5" fillId="0" borderId="12" xfId="0" applyNumberFormat="1" applyFont="1" applyFill="1" applyBorder="1"/>
    <xf numFmtId="165" fontId="5" fillId="0" borderId="12" xfId="0" applyNumberFormat="1" applyFont="1" applyFill="1" applyBorder="1" applyAlignment="1">
      <alignment horizontal="center"/>
    </xf>
    <xf numFmtId="4" fontId="5" fillId="0" borderId="12" xfId="0" applyNumberFormat="1" applyFont="1" applyFill="1" applyBorder="1" applyAlignment="1">
      <alignment horizontal="right" indent="2"/>
    </xf>
    <xf numFmtId="3" fontId="5" fillId="0" borderId="12" xfId="0" applyNumberFormat="1" applyFont="1" applyFill="1" applyBorder="1" applyAlignment="1">
      <alignment horizontal="right" indent="2"/>
    </xf>
    <xf numFmtId="3" fontId="5" fillId="0" borderId="12" xfId="0" applyNumberFormat="1" applyFont="1" applyFill="1" applyBorder="1"/>
    <xf numFmtId="0" fontId="0" fillId="0" borderId="0" xfId="0" applyFill="1"/>
    <xf numFmtId="0" fontId="2" fillId="0" borderId="0" xfId="0" applyFont="1" applyFill="1" applyAlignment="1">
      <alignment horizontal="right"/>
    </xf>
    <xf numFmtId="3" fontId="2" fillId="0" borderId="0" xfId="0" applyNumberFormat="1" applyFont="1" applyFill="1"/>
    <xf numFmtId="168" fontId="5" fillId="0" borderId="0" xfId="1" applyNumberFormat="1" applyFont="1" applyFill="1" applyBorder="1" applyAlignment="1">
      <alignment horizontal="center"/>
    </xf>
    <xf numFmtId="168" fontId="5" fillId="0" borderId="12" xfId="1" applyNumberFormat="1" applyFont="1" applyFill="1" applyBorder="1" applyAlignment="1">
      <alignment horizontal="center"/>
    </xf>
    <xf numFmtId="3" fontId="5" fillId="0" borderId="12" xfId="0" applyNumberFormat="1" applyFont="1" applyFill="1" applyBorder="1" applyAlignment="1">
      <alignment horizontal="center"/>
    </xf>
    <xf numFmtId="168" fontId="15" fillId="0" borderId="0" xfId="1" applyNumberFormat="1" applyFont="1" applyFill="1" applyAlignment="1">
      <alignment horizontal="center"/>
    </xf>
    <xf numFmtId="168" fontId="15" fillId="0" borderId="12" xfId="1" applyNumberFormat="1" applyFont="1" applyFill="1" applyBorder="1" applyAlignment="1">
      <alignment horizontal="center"/>
    </xf>
    <xf numFmtId="168" fontId="2" fillId="0" borderId="0" xfId="1" applyNumberFormat="1" applyFont="1" applyFill="1" applyAlignment="1">
      <alignment horizontal="center"/>
    </xf>
    <xf numFmtId="168" fontId="2" fillId="0" borderId="12" xfId="1" applyNumberFormat="1" applyFont="1" applyFill="1" applyBorder="1" applyAlignment="1">
      <alignment horizontal="center"/>
    </xf>
    <xf numFmtId="0" fontId="16" fillId="0" borderId="0" xfId="0" applyFont="1"/>
    <xf numFmtId="0" fontId="15" fillId="0" borderId="0" xfId="0" applyFont="1" applyAlignment="1">
      <alignment horizontal="center"/>
    </xf>
    <xf numFmtId="0" fontId="16" fillId="0" borderId="12" xfId="0" applyFont="1" applyBorder="1" applyAlignment="1">
      <alignment horizontal="center" wrapText="1"/>
    </xf>
    <xf numFmtId="3" fontId="16" fillId="0" borderId="0" xfId="0" applyNumberFormat="1" applyFont="1" applyAlignment="1">
      <alignment horizontal="center"/>
    </xf>
    <xf numFmtId="165" fontId="16" fillId="0" borderId="0" xfId="0" applyNumberFormat="1" applyFont="1" applyAlignment="1">
      <alignment horizontal="center"/>
    </xf>
    <xf numFmtId="168" fontId="16" fillId="0" borderId="0" xfId="1" applyNumberFormat="1" applyFont="1" applyBorder="1" applyAlignment="1">
      <alignment horizontal="center"/>
    </xf>
    <xf numFmtId="3" fontId="16" fillId="0" borderId="12" xfId="0" applyNumberFormat="1" applyFont="1" applyBorder="1" applyAlignment="1">
      <alignment horizontal="center"/>
    </xf>
    <xf numFmtId="165" fontId="16" fillId="0" borderId="12" xfId="0" applyNumberFormat="1" applyFont="1" applyBorder="1" applyAlignment="1">
      <alignment horizontal="center"/>
    </xf>
    <xf numFmtId="168" fontId="16" fillId="0" borderId="12" xfId="1" applyNumberFormat="1" applyFont="1" applyBorder="1" applyAlignment="1">
      <alignment horizontal="center"/>
    </xf>
    <xf numFmtId="0" fontId="16" fillId="0" borderId="0" xfId="0" applyFont="1" applyAlignment="1">
      <alignment horizontal="center"/>
    </xf>
    <xf numFmtId="0" fontId="16" fillId="0" borderId="0" xfId="0" applyFont="1" applyAlignment="1">
      <alignment horizontal="right"/>
    </xf>
    <xf numFmtId="0" fontId="16" fillId="0" borderId="0" xfId="0" applyFont="1" applyBorder="1" applyAlignment="1">
      <alignment horizontal="center"/>
    </xf>
    <xf numFmtId="0" fontId="16" fillId="0" borderId="12" xfId="0" applyFont="1" applyBorder="1" applyAlignment="1">
      <alignment horizontal="center"/>
    </xf>
    <xf numFmtId="0" fontId="16" fillId="0" borderId="0" xfId="0" applyFont="1" applyBorder="1"/>
    <xf numFmtId="0" fontId="15" fillId="0" borderId="12" xfId="0" applyFont="1" applyBorder="1" applyAlignment="1">
      <alignment horizontal="center" wrapText="1"/>
    </xf>
    <xf numFmtId="0" fontId="15" fillId="0" borderId="12" xfId="0" applyFont="1" applyBorder="1" applyAlignment="1">
      <alignment horizontal="center"/>
    </xf>
    <xf numFmtId="165" fontId="15" fillId="0" borderId="0" xfId="0" applyNumberFormat="1" applyFont="1" applyAlignment="1">
      <alignment horizontal="center"/>
    </xf>
    <xf numFmtId="0" fontId="16" fillId="0" borderId="13" xfId="0" applyFont="1" applyBorder="1" applyAlignment="1">
      <alignment horizontal="center"/>
    </xf>
    <xf numFmtId="0" fontId="15" fillId="0" borderId="12" xfId="0" quotePrefix="1" applyFont="1" applyBorder="1" applyAlignment="1">
      <alignment horizontal="center"/>
    </xf>
    <xf numFmtId="165" fontId="15" fillId="0" borderId="0" xfId="0" applyNumberFormat="1" applyFont="1"/>
    <xf numFmtId="165" fontId="15" fillId="0" borderId="12" xfId="0" applyNumberFormat="1" applyFont="1" applyBorder="1" applyAlignment="1">
      <alignment horizontal="center"/>
    </xf>
    <xf numFmtId="0" fontId="15" fillId="0" borderId="0" xfId="0" applyFont="1" applyAlignment="1">
      <alignment horizontal="right"/>
    </xf>
    <xf numFmtId="0" fontId="15" fillId="0" borderId="12" xfId="0" applyFont="1" applyBorder="1" applyAlignment="1">
      <alignment horizontal="right"/>
    </xf>
    <xf numFmtId="3" fontId="15" fillId="0" borderId="0" xfId="0" applyNumberFormat="1" applyFont="1" applyAlignment="1">
      <alignment horizontal="center"/>
    </xf>
    <xf numFmtId="3" fontId="17" fillId="0" borderId="0" xfId="0" applyNumberFormat="1" applyFont="1" applyAlignment="1">
      <alignment horizontal="center"/>
    </xf>
    <xf numFmtId="3" fontId="15" fillId="0" borderId="12" xfId="0" applyNumberFormat="1" applyFont="1" applyBorder="1" applyAlignment="1">
      <alignment horizontal="center"/>
    </xf>
    <xf numFmtId="169" fontId="15" fillId="0" borderId="0" xfId="0" applyNumberFormat="1" applyFont="1" applyAlignment="1">
      <alignment horizontal="center"/>
    </xf>
    <xf numFmtId="0" fontId="15" fillId="0" borderId="0" xfId="0" applyFont="1" applyFill="1" applyAlignment="1">
      <alignment horizontal="right"/>
    </xf>
    <xf numFmtId="169" fontId="15" fillId="0" borderId="0" xfId="2" applyNumberFormat="1" applyFont="1" applyFill="1"/>
    <xf numFmtId="0" fontId="15" fillId="0" borderId="0" xfId="0" applyFont="1" applyFill="1"/>
    <xf numFmtId="165" fontId="18" fillId="0" borderId="0" xfId="0" applyNumberFormat="1" applyFont="1" applyAlignment="1">
      <alignment horizontal="center"/>
    </xf>
    <xf numFmtId="0" fontId="2" fillId="0" borderId="12" xfId="0" applyFont="1" applyBorder="1" applyAlignment="1">
      <alignment horizontal="center"/>
    </xf>
    <xf numFmtId="0" fontId="2" fillId="0" borderId="12" xfId="0" applyFont="1" applyBorder="1" applyAlignment="1">
      <alignment horizontal="center" wrapText="1"/>
    </xf>
    <xf numFmtId="0" fontId="2" fillId="0" borderId="0" xfId="0" applyFont="1" applyAlignment="1">
      <alignment horizontal="center"/>
    </xf>
    <xf numFmtId="3" fontId="2" fillId="0" borderId="0" xfId="2" applyNumberFormat="1" applyFont="1" applyFill="1" applyAlignment="1">
      <alignment horizontal="center"/>
    </xf>
    <xf numFmtId="3" fontId="2" fillId="0" borderId="12" xfId="2" applyNumberFormat="1" applyFont="1" applyFill="1" applyBorder="1" applyAlignment="1">
      <alignment horizontal="center"/>
    </xf>
    <xf numFmtId="0" fontId="2" fillId="0" borderId="14" xfId="0" applyFont="1" applyBorder="1" applyAlignment="1">
      <alignment horizontal="center"/>
    </xf>
    <xf numFmtId="170" fontId="2" fillId="0" borderId="0" xfId="0" applyNumberFormat="1" applyFont="1" applyAlignment="1">
      <alignment horizontal="center"/>
    </xf>
    <xf numFmtId="171" fontId="2" fillId="0" borderId="0" xfId="0" applyNumberFormat="1" applyFont="1" applyAlignment="1">
      <alignment horizontal="center"/>
    </xf>
    <xf numFmtId="0" fontId="20" fillId="0" borderId="0" xfId="0" applyFont="1" applyFill="1" applyAlignment="1">
      <alignment horizontal="right"/>
    </xf>
    <xf numFmtId="0" fontId="21" fillId="0" borderId="12" xfId="0" applyFont="1" applyFill="1" applyBorder="1" applyAlignment="1">
      <alignment horizontal="center" wrapText="1"/>
    </xf>
    <xf numFmtId="0" fontId="21" fillId="0" borderId="12" xfId="0" applyFont="1" applyFill="1" applyBorder="1" applyAlignment="1">
      <alignment horizontal="center"/>
    </xf>
    <xf numFmtId="172" fontId="5" fillId="0" borderId="0" xfId="0" applyNumberFormat="1" applyFont="1" applyFill="1" applyAlignment="1">
      <alignment horizontal="center"/>
    </xf>
    <xf numFmtId="0" fontId="2" fillId="0" borderId="0" xfId="0" quotePrefix="1" applyFont="1" applyAlignment="1"/>
    <xf numFmtId="0" fontId="22" fillId="0" borderId="0" xfId="0" applyFont="1" applyAlignment="1"/>
    <xf numFmtId="0" fontId="2" fillId="0" borderId="0" xfId="0" applyFont="1" applyAlignme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vertical="center"/>
    </xf>
    <xf numFmtId="0" fontId="26" fillId="0" borderId="0" xfId="0" applyFont="1" applyAlignment="1">
      <alignment vertical="center"/>
    </xf>
    <xf numFmtId="0" fontId="21" fillId="0" borderId="0" xfId="0" applyFont="1" applyFill="1" applyAlignment="1">
      <alignment horizontal="left"/>
    </xf>
    <xf numFmtId="10" fontId="5" fillId="0" borderId="0" xfId="1" applyNumberFormat="1" applyFont="1"/>
    <xf numFmtId="10" fontId="2" fillId="0" borderId="0" xfId="0" applyNumberFormat="1" applyFont="1"/>
    <xf numFmtId="0" fontId="5" fillId="0" borderId="12" xfId="0" applyFont="1" applyBorder="1"/>
    <xf numFmtId="0" fontId="2" fillId="0" borderId="12" xfId="0" applyFont="1" applyBorder="1"/>
    <xf numFmtId="10" fontId="5" fillId="0" borderId="12" xfId="1" applyNumberFormat="1" applyFont="1" applyBorder="1"/>
    <xf numFmtId="0" fontId="5" fillId="0" borderId="0" xfId="0" applyFont="1" applyAlignment="1">
      <alignment horizontal="center"/>
    </xf>
    <xf numFmtId="0" fontId="5" fillId="0" borderId="12" xfId="0" applyFont="1" applyBorder="1" applyAlignment="1">
      <alignment horizontal="center"/>
    </xf>
    <xf numFmtId="174" fontId="2" fillId="0" borderId="0" xfId="0" applyNumberFormat="1" applyFont="1"/>
    <xf numFmtId="1" fontId="2" fillId="0" borderId="0" xfId="0" applyNumberFormat="1" applyFont="1" applyAlignment="1">
      <alignment horizontal="center"/>
    </xf>
    <xf numFmtId="174" fontId="2" fillId="0" borderId="0" xfId="0" applyNumberFormat="1" applyFont="1" applyAlignment="1">
      <alignment horizontal="center"/>
    </xf>
    <xf numFmtId="0" fontId="2" fillId="0" borderId="0" xfId="0" applyFont="1" applyAlignment="1">
      <alignment horizontal="left"/>
    </xf>
    <xf numFmtId="175" fontId="2" fillId="0" borderId="0" xfId="0" quotePrefix="1" applyNumberFormat="1" applyFont="1" applyAlignment="1">
      <alignment horizontal="left"/>
    </xf>
    <xf numFmtId="173" fontId="2" fillId="0" borderId="0" xfId="0" applyNumberFormat="1" applyFont="1" applyAlignment="1">
      <alignment horizontal="left"/>
    </xf>
    <xf numFmtId="4" fontId="2" fillId="0" borderId="0" xfId="0" applyNumberFormat="1" applyFont="1" applyAlignment="1">
      <alignment horizontal="left"/>
    </xf>
    <xf numFmtId="2" fontId="2" fillId="0" borderId="0" xfId="0" applyNumberFormat="1" applyFont="1" applyAlignment="1">
      <alignment horizontal="left"/>
    </xf>
    <xf numFmtId="2" fontId="5" fillId="0" borderId="0" xfId="0" applyNumberFormat="1" applyFont="1" applyFill="1" applyAlignment="1">
      <alignment horizontal="left"/>
    </xf>
    <xf numFmtId="3" fontId="2" fillId="0" borderId="0" xfId="0" applyNumberFormat="1" applyFont="1" applyAlignment="1">
      <alignment horizontal="center"/>
    </xf>
    <xf numFmtId="4" fontId="2" fillId="0" borderId="0" xfId="0" applyNumberFormat="1" applyFont="1" applyAlignment="1">
      <alignment horizontal="center"/>
    </xf>
    <xf numFmtId="0" fontId="5" fillId="0" borderId="12" xfId="0" applyFont="1" applyBorder="1" applyAlignment="1">
      <alignment horizontal="center" wrapText="1"/>
    </xf>
    <xf numFmtId="0" fontId="16" fillId="0" borderId="0" xfId="0" applyFont="1" applyFill="1"/>
    <xf numFmtId="10" fontId="5" fillId="0" borderId="0" xfId="0" applyNumberFormat="1" applyFont="1" applyFill="1" applyAlignment="1">
      <alignment horizontal="center"/>
    </xf>
    <xf numFmtId="168" fontId="2" fillId="0" borderId="0" xfId="0" applyNumberFormat="1" applyFont="1" applyFill="1" applyAlignment="1">
      <alignment horizontal="center"/>
    </xf>
    <xf numFmtId="10" fontId="2" fillId="0" borderId="0" xfId="1" applyNumberFormat="1" applyFont="1" applyFill="1" applyAlignment="1">
      <alignment horizontal="center"/>
    </xf>
    <xf numFmtId="10" fontId="2" fillId="0" borderId="12" xfId="1" applyNumberFormat="1" applyFont="1" applyFill="1" applyBorder="1" applyAlignment="1">
      <alignment horizontal="center"/>
    </xf>
    <xf numFmtId="0" fontId="2" fillId="0" borderId="0" xfId="0" applyFont="1" applyFill="1" applyAlignment="1">
      <alignment horizontal="left"/>
    </xf>
    <xf numFmtId="10" fontId="2" fillId="0" borderId="0" xfId="0" applyNumberFormat="1" applyFont="1" applyFill="1" applyAlignment="1">
      <alignment horizontal="center"/>
    </xf>
    <xf numFmtId="15" fontId="15" fillId="0" borderId="0" xfId="0" applyNumberFormat="1" applyFont="1" applyFill="1"/>
    <xf numFmtId="0" fontId="27" fillId="0" borderId="0" xfId="0" applyFont="1" applyFill="1"/>
    <xf numFmtId="0" fontId="15" fillId="0" borderId="0" xfId="0" quotePrefix="1" applyFont="1" applyFill="1"/>
    <xf numFmtId="173" fontId="15" fillId="0" borderId="0" xfId="0" applyNumberFormat="1" applyFont="1" applyFill="1"/>
    <xf numFmtId="0" fontId="28" fillId="0" borderId="0" xfId="0" applyFont="1" applyFill="1"/>
    <xf numFmtId="0" fontId="2" fillId="0" borderId="0" xfId="0" applyFont="1" applyAlignment="1">
      <alignment horizontal="center"/>
    </xf>
    <xf numFmtId="0" fontId="9" fillId="0" borderId="0" xfId="0" applyFont="1"/>
    <xf numFmtId="0" fontId="29" fillId="0" borderId="0" xfId="0" applyFont="1"/>
    <xf numFmtId="0" fontId="2" fillId="0" borderId="0" xfId="0" applyFont="1" applyFill="1" applyAlignment="1">
      <alignment horizontal="center"/>
    </xf>
    <xf numFmtId="165" fontId="2" fillId="0" borderId="0" xfId="0" applyNumberFormat="1" applyFont="1" applyFill="1"/>
    <xf numFmtId="4" fontId="2" fillId="0" borderId="0" xfId="0" applyNumberFormat="1" applyFont="1" applyFill="1"/>
    <xf numFmtId="3" fontId="2" fillId="0" borderId="0" xfId="0" applyNumberFormat="1" applyFont="1"/>
    <xf numFmtId="3" fontId="2" fillId="0" borderId="12" xfId="0" applyNumberFormat="1" applyFont="1" applyBorder="1" applyAlignment="1">
      <alignment horizontal="center"/>
    </xf>
    <xf numFmtId="3" fontId="2" fillId="0" borderId="12" xfId="0" applyNumberFormat="1" applyFont="1" applyBorder="1"/>
    <xf numFmtId="168" fontId="2" fillId="0" borderId="0" xfId="1" applyNumberFormat="1" applyFont="1" applyFill="1"/>
    <xf numFmtId="0" fontId="2" fillId="0" borderId="12" xfId="0" applyFont="1" applyFill="1" applyBorder="1" applyAlignment="1">
      <alignment horizontal="center" wrapText="1"/>
    </xf>
    <xf numFmtId="168" fontId="23" fillId="0" borderId="0" xfId="1" applyNumberFormat="1" applyFont="1" applyFill="1"/>
    <xf numFmtId="165" fontId="2" fillId="0" borderId="0" xfId="0" applyNumberFormat="1" applyFont="1" applyFill="1" applyAlignment="1">
      <alignment horizontal="center"/>
    </xf>
    <xf numFmtId="174" fontId="2" fillId="0" borderId="0" xfId="0" applyNumberFormat="1" applyFont="1" applyFill="1" applyAlignment="1">
      <alignment horizontal="center"/>
    </xf>
    <xf numFmtId="3" fontId="2" fillId="0" borderId="12" xfId="0" applyNumberFormat="1" applyFont="1" applyFill="1" applyBorder="1"/>
    <xf numFmtId="165" fontId="2" fillId="0" borderId="12" xfId="0" applyNumberFormat="1" applyFont="1" applyFill="1" applyBorder="1" applyAlignment="1">
      <alignment horizontal="center"/>
    </xf>
    <xf numFmtId="174" fontId="2" fillId="0" borderId="12" xfId="0" applyNumberFormat="1" applyFont="1" applyFill="1" applyBorder="1" applyAlignment="1">
      <alignment horizontal="center"/>
    </xf>
    <xf numFmtId="3" fontId="31" fillId="0" borderId="0" xfId="2" applyNumberFormat="1" applyFont="1" applyFill="1" applyBorder="1" applyAlignment="1">
      <alignment horizontal="center" vertical="center"/>
    </xf>
    <xf numFmtId="172" fontId="31" fillId="0" borderId="0" xfId="2" applyNumberFormat="1" applyFont="1" applyFill="1" applyBorder="1" applyAlignment="1">
      <alignment horizontal="center" vertical="center"/>
    </xf>
    <xf numFmtId="165" fontId="2" fillId="0" borderId="0" xfId="0" applyNumberFormat="1" applyFont="1" applyAlignment="1">
      <alignment horizontal="center"/>
    </xf>
    <xf numFmtId="0" fontId="31" fillId="0" borderId="0" xfId="0" applyFont="1" applyFill="1" applyAlignment="1">
      <alignment horizontal="center" vertical="center"/>
    </xf>
    <xf numFmtId="0" fontId="31" fillId="0" borderId="12" xfId="0" applyFont="1" applyFill="1" applyBorder="1" applyAlignment="1">
      <alignment horizontal="center" vertical="center"/>
    </xf>
    <xf numFmtId="0" fontId="30" fillId="0" borderId="0" xfId="0" applyFont="1" applyFill="1" applyAlignment="1">
      <alignment horizontal="center" vertical="center"/>
    </xf>
    <xf numFmtId="169" fontId="30" fillId="0" borderId="0" xfId="2" applyNumberFormat="1" applyFont="1" applyFill="1" applyBorder="1" applyAlignment="1">
      <alignment horizontal="right" vertical="center"/>
    </xf>
    <xf numFmtId="176" fontId="15" fillId="0" borderId="0" xfId="0" applyNumberFormat="1" applyFont="1" applyFill="1"/>
    <xf numFmtId="0" fontId="15" fillId="0" borderId="12" xfId="0" applyFont="1" applyFill="1" applyBorder="1" applyAlignment="1">
      <alignment horizontal="center"/>
    </xf>
    <xf numFmtId="176" fontId="15" fillId="0" borderId="12" xfId="0" applyNumberFormat="1" applyFont="1" applyFill="1" applyBorder="1" applyAlignment="1">
      <alignment horizontal="center"/>
    </xf>
    <xf numFmtId="3" fontId="31" fillId="0" borderId="12" xfId="2" applyNumberFormat="1" applyFont="1" applyFill="1" applyBorder="1" applyAlignment="1">
      <alignment horizontal="center" vertical="center"/>
    </xf>
    <xf numFmtId="172" fontId="31" fillId="0" borderId="12" xfId="2" applyNumberFormat="1" applyFont="1" applyFill="1" applyBorder="1" applyAlignment="1">
      <alignment horizontal="center" vertical="center"/>
    </xf>
    <xf numFmtId="0" fontId="2" fillId="0" borderId="0" xfId="0" applyFont="1" applyBorder="1"/>
    <xf numFmtId="0" fontId="30" fillId="0" borderId="0" xfId="0" applyFont="1" applyFill="1" applyBorder="1" applyAlignment="1">
      <alignment horizontal="center" vertical="center"/>
    </xf>
    <xf numFmtId="0" fontId="15" fillId="0" borderId="0" xfId="0" applyFont="1" applyFill="1" applyBorder="1" applyAlignment="1">
      <alignment horizontal="center"/>
    </xf>
    <xf numFmtId="176" fontId="15" fillId="0" borderId="0" xfId="0" applyNumberFormat="1" applyFont="1" applyFill="1" applyBorder="1" applyAlignment="1">
      <alignment horizontal="center"/>
    </xf>
    <xf numFmtId="0" fontId="31" fillId="0" borderId="0" xfId="0" applyFont="1" applyFill="1" applyBorder="1" applyAlignment="1">
      <alignment horizontal="center" vertical="center"/>
    </xf>
    <xf numFmtId="0" fontId="2" fillId="0" borderId="0" xfId="0" applyFont="1" applyFill="1" applyBorder="1" applyAlignment="1">
      <alignment horizontal="center"/>
    </xf>
    <xf numFmtId="176" fontId="2" fillId="0" borderId="0" xfId="0" applyNumberFormat="1" applyFont="1" applyFill="1" applyBorder="1"/>
    <xf numFmtId="0" fontId="30" fillId="0" borderId="12" xfId="0" applyFont="1" applyFill="1" applyBorder="1" applyAlignment="1">
      <alignment horizontal="center" vertical="center"/>
    </xf>
    <xf numFmtId="4" fontId="2" fillId="0" borderId="0" xfId="2" applyNumberFormat="1" applyFont="1" applyFill="1"/>
    <xf numFmtId="10" fontId="2" fillId="0" borderId="0" xfId="1" applyNumberFormat="1" applyFont="1" applyFill="1"/>
    <xf numFmtId="4" fontId="5" fillId="0" borderId="0" xfId="0" applyNumberFormat="1" applyFont="1" applyAlignment="1">
      <alignment horizontal="center"/>
    </xf>
    <xf numFmtId="177" fontId="2" fillId="0" borderId="0" xfId="2" applyNumberFormat="1" applyFont="1" applyFill="1" applyAlignment="1">
      <alignment horizontal="center"/>
    </xf>
    <xf numFmtId="4" fontId="2" fillId="0" borderId="0" xfId="2" applyNumberFormat="1" applyFont="1" applyFill="1" applyAlignment="1">
      <alignment horizontal="center"/>
    </xf>
    <xf numFmtId="177" fontId="2" fillId="0" borderId="12" xfId="2" applyNumberFormat="1" applyFont="1" applyFill="1" applyBorder="1" applyAlignment="1">
      <alignment horizontal="center"/>
    </xf>
    <xf numFmtId="4" fontId="2" fillId="0" borderId="12" xfId="2" applyNumberFormat="1" applyFont="1" applyFill="1" applyBorder="1" applyAlignment="1">
      <alignment horizontal="center"/>
    </xf>
    <xf numFmtId="177" fontId="2" fillId="0" borderId="0" xfId="0" applyNumberFormat="1" applyFont="1" applyAlignment="1">
      <alignment horizontal="center"/>
    </xf>
    <xf numFmtId="3" fontId="5" fillId="0" borderId="0" xfId="0" applyNumberFormat="1" applyFont="1"/>
    <xf numFmtId="168" fontId="2" fillId="0" borderId="0" xfId="1" applyNumberFormat="1" applyFont="1"/>
    <xf numFmtId="10" fontId="2" fillId="0" borderId="0" xfId="1" applyNumberFormat="1" applyFont="1"/>
    <xf numFmtId="0" fontId="5" fillId="0" borderId="0" xfId="0" applyFont="1" applyAlignment="1"/>
    <xf numFmtId="10" fontId="5" fillId="0" borderId="0" xfId="1" applyNumberFormat="1" applyFont="1" applyAlignment="1">
      <alignment horizontal="center"/>
    </xf>
    <xf numFmtId="10" fontId="2" fillId="0" borderId="0" xfId="1" applyNumberFormat="1" applyFont="1" applyAlignment="1">
      <alignment horizontal="center"/>
    </xf>
    <xf numFmtId="2" fontId="2" fillId="0" borderId="0" xfId="0" applyNumberFormat="1" applyFont="1" applyAlignment="1">
      <alignment horizontal="center"/>
    </xf>
    <xf numFmtId="2" fontId="2" fillId="0" borderId="12" xfId="0" applyNumberFormat="1" applyFont="1" applyBorder="1" applyAlignment="1">
      <alignment horizontal="center"/>
    </xf>
    <xf numFmtId="165" fontId="2" fillId="0" borderId="12" xfId="0" applyNumberFormat="1" applyFont="1" applyBorder="1" applyAlignment="1">
      <alignment horizontal="center"/>
    </xf>
    <xf numFmtId="4" fontId="2" fillId="0" borderId="12" xfId="0" applyNumberFormat="1" applyFont="1" applyBorder="1" applyAlignment="1">
      <alignment horizontal="center"/>
    </xf>
    <xf numFmtId="0" fontId="31" fillId="0" borderId="12" xfId="0" applyFont="1" applyBorder="1" applyAlignment="1">
      <alignment horizontal="center" wrapText="1"/>
    </xf>
    <xf numFmtId="0" fontId="2" fillId="0" borderId="0" xfId="0" applyFont="1" applyFill="1" applyAlignment="1"/>
    <xf numFmtId="0" fontId="2" fillId="0" borderId="12" xfId="0" applyFont="1" applyBorder="1" applyAlignment="1">
      <alignment horizontal="centerContinuous"/>
    </xf>
    <xf numFmtId="0" fontId="0" fillId="0" borderId="0" xfId="0" applyAlignment="1"/>
    <xf numFmtId="2" fontId="5" fillId="0" borderId="0" xfId="0" applyNumberFormat="1" applyFont="1" applyFill="1" applyAlignment="1">
      <alignment horizontal="center"/>
    </xf>
    <xf numFmtId="2" fontId="5" fillId="0" borderId="12" xfId="0" applyNumberFormat="1" applyFont="1" applyFill="1" applyBorder="1" applyAlignment="1">
      <alignment horizontal="center"/>
    </xf>
    <xf numFmtId="179" fontId="5" fillId="0" borderId="0" xfId="0" applyNumberFormat="1" applyFont="1" applyFill="1" applyAlignment="1">
      <alignment horizontal="center"/>
    </xf>
    <xf numFmtId="0" fontId="5" fillId="0" borderId="0" xfId="0" quotePrefix="1" applyFont="1" applyFill="1"/>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5" fillId="0" borderId="1" xfId="0" applyFont="1" applyBorder="1" applyAlignment="1">
      <alignment horizontal="center"/>
    </xf>
    <xf numFmtId="0" fontId="5" fillId="0" borderId="0" xfId="0" applyFont="1" applyBorder="1"/>
    <xf numFmtId="178" fontId="5" fillId="0" borderId="0" xfId="0" applyNumberFormat="1" applyFont="1" applyBorder="1"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horizontal="center"/>
    </xf>
    <xf numFmtId="4" fontId="5" fillId="0" borderId="0" xfId="0" applyNumberFormat="1" applyFont="1" applyBorder="1" applyAlignment="1">
      <alignment horizontal="center"/>
    </xf>
    <xf numFmtId="0" fontId="5" fillId="0" borderId="0" xfId="0" applyFont="1" applyBorder="1" applyAlignment="1">
      <alignment horizontal="left" vertical="center"/>
    </xf>
    <xf numFmtId="0" fontId="5" fillId="0" borderId="12" xfId="0" applyFont="1" applyBorder="1" applyAlignment="1">
      <alignment horizontal="center" vertical="center" wrapText="1"/>
    </xf>
    <xf numFmtId="4" fontId="5" fillId="0" borderId="12" xfId="0" applyNumberFormat="1" applyFont="1" applyBorder="1" applyAlignment="1">
      <alignment horizontal="center"/>
    </xf>
    <xf numFmtId="180" fontId="5" fillId="0" borderId="1" xfId="0" applyNumberFormat="1" applyFont="1" applyBorder="1" applyAlignment="1">
      <alignment horizontal="center"/>
    </xf>
    <xf numFmtId="180" fontId="5" fillId="0" borderId="1" xfId="1" applyNumberFormat="1" applyFont="1" applyFill="1" applyBorder="1" applyAlignment="1">
      <alignment horizontal="center"/>
    </xf>
    <xf numFmtId="0" fontId="5" fillId="0" borderId="1" xfId="0" applyFont="1" applyBorder="1" applyAlignment="1">
      <alignment horizontal="left"/>
    </xf>
    <xf numFmtId="9" fontId="5" fillId="0" borderId="1" xfId="0" applyNumberFormat="1" applyFont="1" applyBorder="1" applyAlignment="1">
      <alignment horizontal="center"/>
    </xf>
    <xf numFmtId="0" fontId="5" fillId="0" borderId="0" xfId="0" applyFont="1" applyFill="1" applyBorder="1"/>
    <xf numFmtId="180" fontId="5" fillId="0" borderId="0" xfId="0" applyNumberFormat="1" applyFont="1" applyFill="1" applyBorder="1" applyAlignment="1">
      <alignment horizontal="center"/>
    </xf>
    <xf numFmtId="0" fontId="5" fillId="0" borderId="0" xfId="0" applyFont="1" applyAlignment="1">
      <alignment horizontal="center" wrapText="1"/>
    </xf>
    <xf numFmtId="0" fontId="5" fillId="0" borderId="0" xfId="0" applyFont="1" applyAlignment="1">
      <alignment horizontal="right" vertical="center" wrapText="1"/>
    </xf>
    <xf numFmtId="0" fontId="6" fillId="2" borderId="1" xfId="0" applyFont="1" applyFill="1" applyBorder="1" applyAlignment="1">
      <alignment horizontal="center" wrapText="1"/>
    </xf>
    <xf numFmtId="0" fontId="1" fillId="3" borderId="0" xfId="0" applyFont="1" applyFill="1" applyAlignment="1">
      <alignment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wrapText="1"/>
    </xf>
    <xf numFmtId="0" fontId="6" fillId="2" borderId="8" xfId="0" applyFont="1" applyFill="1" applyBorder="1" applyAlignment="1">
      <alignment horizontal="center" wrapText="1"/>
    </xf>
    <xf numFmtId="0" fontId="6" fillId="2" borderId="6" xfId="0" applyFont="1" applyFill="1" applyBorder="1" applyAlignment="1">
      <alignment horizontal="center" wrapText="1"/>
    </xf>
    <xf numFmtId="0" fontId="6" fillId="2" borderId="9" xfId="0" applyFont="1" applyFill="1" applyBorder="1" applyAlignment="1">
      <alignment horizontal="center" wrapText="1"/>
    </xf>
    <xf numFmtId="0" fontId="6" fillId="2" borderId="7" xfId="0" applyFont="1" applyFill="1" applyBorder="1" applyAlignment="1">
      <alignment horizontal="center" wrapText="1"/>
    </xf>
    <xf numFmtId="0" fontId="2" fillId="0" borderId="0" xfId="0" applyFont="1" applyAlignment="1">
      <alignment horizontal="right"/>
    </xf>
    <xf numFmtId="0" fontId="1" fillId="2" borderId="0" xfId="0" applyFont="1" applyFill="1" applyAlignment="1">
      <alignment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wrapText="1"/>
    </xf>
    <xf numFmtId="0" fontId="2" fillId="0" borderId="0" xfId="0" applyFont="1" applyAlignment="1">
      <alignment horizontal="center"/>
    </xf>
    <xf numFmtId="0" fontId="1" fillId="3" borderId="0" xfId="0" quotePrefix="1" applyFont="1" applyFill="1" applyAlignment="1">
      <alignment wrapText="1"/>
    </xf>
    <xf numFmtId="0" fontId="1" fillId="3" borderId="1" xfId="0" applyFont="1" applyFill="1" applyBorder="1" applyAlignment="1">
      <alignment vertical="center"/>
    </xf>
    <xf numFmtId="0" fontId="5" fillId="0" borderId="0" xfId="0" applyFont="1" applyBorder="1" applyAlignment="1">
      <alignment horizontal="center"/>
    </xf>
    <xf numFmtId="0" fontId="5" fillId="0" borderId="1" xfId="0" applyFont="1" applyBorder="1" applyAlignment="1">
      <alignment horizont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2" fillId="0" borderId="0" xfId="0" applyFont="1" applyFill="1" applyAlignment="1">
      <alignment horizont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2" borderId="1" xfId="0" applyFont="1" applyFill="1" applyBorder="1" applyAlignment="1">
      <alignment horizontal="center" wrapText="1"/>
    </xf>
    <xf numFmtId="0" fontId="10" fillId="2" borderId="1" xfId="0" applyFont="1" applyFill="1" applyBorder="1" applyAlignment="1">
      <alignment horizont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19" fillId="0" borderId="0" xfId="0" applyFont="1" applyAlignment="1">
      <alignment horizontal="center"/>
    </xf>
    <xf numFmtId="0" fontId="19" fillId="0" borderId="0" xfId="0" applyFont="1" applyFill="1" applyAlignment="1">
      <alignment horizontal="center"/>
    </xf>
    <xf numFmtId="0" fontId="31" fillId="0" borderId="0" xfId="0" applyFont="1" applyFill="1" applyAlignment="1">
      <alignment horizontal="center" vertical="center"/>
    </xf>
    <xf numFmtId="0" fontId="1" fillId="2" borderId="1" xfId="0" applyFont="1" applyFill="1" applyBorder="1" applyAlignment="1">
      <alignment vertical="center" wrapText="1"/>
    </xf>
    <xf numFmtId="0" fontId="6" fillId="2" borderId="1" xfId="0" applyFont="1" applyFill="1" applyBorder="1" applyAlignment="1">
      <alignment horizontal="center"/>
    </xf>
    <xf numFmtId="0" fontId="6" fillId="2" borderId="1" xfId="0" applyFont="1" applyFill="1" applyBorder="1" applyAlignment="1">
      <alignment vertical="center"/>
    </xf>
    <xf numFmtId="0" fontId="2" fillId="0" borderId="14" xfId="0" applyFont="1" applyBorder="1" applyAlignment="1">
      <alignment horizontal="center" wrapText="1"/>
    </xf>
    <xf numFmtId="0" fontId="2" fillId="0" borderId="7" xfId="0" applyFont="1" applyBorder="1" applyAlignment="1">
      <alignment horizontal="center" wrapText="1"/>
    </xf>
    <xf numFmtId="0" fontId="1" fillId="2" borderId="1" xfId="0" applyFont="1" applyFill="1" applyBorder="1" applyAlignment="1">
      <alignment horizontal="center" vertical="center" wrapText="1"/>
    </xf>
    <xf numFmtId="0" fontId="6" fillId="2" borderId="4" xfId="0" applyFont="1" applyFill="1" applyBorder="1" applyAlignment="1">
      <alignment horizontal="center" wrapText="1"/>
    </xf>
    <xf numFmtId="0" fontId="6" fillId="2" borderId="3" xfId="0" applyFont="1" applyFill="1" applyBorder="1" applyAlignment="1">
      <alignment horizontal="center" wrapText="1"/>
    </xf>
    <xf numFmtId="0" fontId="1" fillId="2" borderId="0" xfId="0" applyFont="1" applyFill="1" applyAlignment="1">
      <alignment horizontal="left" vertical="top" wrapText="1"/>
    </xf>
    <xf numFmtId="0" fontId="6" fillId="2" borderId="1" xfId="0" applyFont="1" applyFill="1" applyBorder="1" applyAlignment="1">
      <alignment wrapText="1"/>
    </xf>
    <xf numFmtId="0" fontId="15" fillId="0" borderId="0" xfId="0" applyFont="1" applyAlignment="1">
      <alignment horizontal="center"/>
    </xf>
    <xf numFmtId="0" fontId="6" fillId="2" borderId="11" xfId="0" applyFont="1" applyFill="1" applyBorder="1" applyAlignment="1">
      <alignment horizontal="center" vertical="center" wrapText="1"/>
    </xf>
    <xf numFmtId="3" fontId="1" fillId="2" borderId="5" xfId="0" applyNumberFormat="1" applyFont="1" applyFill="1" applyBorder="1" applyAlignment="1">
      <alignment horizontal="center" vertical="center"/>
    </xf>
    <xf numFmtId="3" fontId="1" fillId="2" borderId="11"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0" fontId="15" fillId="0" borderId="12" xfId="0" applyFont="1" applyBorder="1" applyAlignment="1">
      <alignment horizontal="center"/>
    </xf>
    <xf numFmtId="3" fontId="6" fillId="2" borderId="5"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0" fontId="2" fillId="0" borderId="0" xfId="0" applyFont="1" applyAlignment="1">
      <alignment horizontal="center" wrapText="1"/>
    </xf>
    <xf numFmtId="0" fontId="2" fillId="0" borderId="12" xfId="0" applyFont="1" applyBorder="1" applyAlignment="1">
      <alignment horizont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CE2F-AEC1-4A0A-9F06-F548DA5064BE}">
  <dimension ref="A1:R70"/>
  <sheetViews>
    <sheetView tabSelected="1" zoomScaleNormal="100" workbookViewId="0"/>
  </sheetViews>
  <sheetFormatPr defaultColWidth="8.88671875" defaultRowHeight="15.6" x14ac:dyDescent="0.3"/>
  <cols>
    <col min="1" max="3" width="11.6640625" style="1" customWidth="1"/>
    <col min="4" max="7" width="10.33203125" style="1" customWidth="1"/>
    <col min="8" max="8" width="11.33203125" style="1" customWidth="1"/>
    <col min="9" max="12" width="12.6640625" style="1" customWidth="1"/>
    <col min="13" max="16384" width="8.88671875" style="1"/>
  </cols>
  <sheetData>
    <row r="1" spans="1:12" ht="17.399999999999999" x14ac:dyDescent="0.3">
      <c r="A1" s="2" t="s">
        <v>11</v>
      </c>
      <c r="B1" s="4"/>
      <c r="C1" s="9" t="s">
        <v>12</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13</v>
      </c>
      <c r="B3" s="12"/>
      <c r="C3" s="12"/>
      <c r="D3" s="12"/>
      <c r="E3" s="12"/>
      <c r="F3" s="12"/>
      <c r="G3" s="12"/>
      <c r="H3" s="12"/>
      <c r="I3" s="12"/>
      <c r="J3" s="12"/>
      <c r="K3" s="4"/>
      <c r="L3" s="3"/>
    </row>
    <row r="4" spans="1:12" x14ac:dyDescent="0.3">
      <c r="A4" s="12"/>
      <c r="B4" s="12"/>
      <c r="C4" s="12"/>
      <c r="D4" s="12"/>
      <c r="E4" s="12"/>
      <c r="F4" s="12"/>
      <c r="G4" s="12"/>
      <c r="H4" s="12"/>
      <c r="I4" s="12"/>
      <c r="J4" s="12"/>
      <c r="K4" s="4"/>
      <c r="L4" s="3"/>
    </row>
    <row r="5" spans="1:12" s="11" customFormat="1" x14ac:dyDescent="0.3">
      <c r="A5" s="13" t="s">
        <v>363</v>
      </c>
      <c r="B5" s="12"/>
      <c r="C5" s="12"/>
      <c r="D5" s="12"/>
      <c r="E5" s="12"/>
      <c r="F5" s="12"/>
      <c r="G5" s="12"/>
      <c r="H5" s="110">
        <v>2100</v>
      </c>
      <c r="I5" s="88" t="s">
        <v>374</v>
      </c>
      <c r="J5" s="10"/>
      <c r="K5" s="10"/>
      <c r="L5" s="10"/>
    </row>
    <row r="6" spans="1:12" s="11" customFormat="1" x14ac:dyDescent="0.3">
      <c r="A6" s="85"/>
      <c r="B6" s="10"/>
      <c r="C6" s="12"/>
      <c r="D6" s="12"/>
      <c r="E6" s="12"/>
      <c r="F6" s="12"/>
      <c r="G6" s="12"/>
      <c r="H6" s="10"/>
      <c r="I6" s="10"/>
      <c r="J6" s="10"/>
      <c r="K6" s="10"/>
      <c r="L6" s="10"/>
    </row>
    <row r="7" spans="1:12" s="11" customFormat="1" x14ac:dyDescent="0.3">
      <c r="A7" s="13" t="s">
        <v>364</v>
      </c>
      <c r="B7" s="12"/>
      <c r="C7" s="12"/>
      <c r="D7" s="12"/>
      <c r="E7" s="12"/>
      <c r="F7" s="12"/>
      <c r="G7" s="12"/>
      <c r="H7" s="111">
        <v>720</v>
      </c>
      <c r="I7" s="88" t="s">
        <v>374</v>
      </c>
      <c r="J7" s="10"/>
      <c r="K7" s="10"/>
      <c r="L7" s="10"/>
    </row>
    <row r="8" spans="1:12" s="11" customFormat="1" x14ac:dyDescent="0.3">
      <c r="A8" s="85"/>
      <c r="B8" s="12"/>
      <c r="C8" s="12"/>
      <c r="D8" s="12"/>
      <c r="E8" s="12"/>
      <c r="F8" s="12"/>
      <c r="G8" s="12"/>
      <c r="H8" s="10"/>
      <c r="I8" s="10"/>
      <c r="J8" s="10"/>
      <c r="K8" s="10"/>
      <c r="L8" s="10"/>
    </row>
    <row r="9" spans="1:12" s="11" customFormat="1" x14ac:dyDescent="0.3">
      <c r="A9" s="13" t="s">
        <v>366</v>
      </c>
      <c r="B9" s="12"/>
      <c r="C9" s="12"/>
      <c r="D9" s="12"/>
      <c r="E9" s="12"/>
      <c r="F9" s="12"/>
      <c r="G9" s="12"/>
      <c r="H9" s="110">
        <v>1800</v>
      </c>
      <c r="I9" s="88" t="s">
        <v>365</v>
      </c>
      <c r="J9" s="10"/>
      <c r="K9" s="10"/>
      <c r="L9" s="10"/>
    </row>
    <row r="10" spans="1:12" s="11" customFormat="1" x14ac:dyDescent="0.3">
      <c r="A10" s="85"/>
      <c r="B10" s="12"/>
      <c r="C10" s="12"/>
      <c r="D10" s="12"/>
      <c r="E10" s="12"/>
      <c r="F10" s="12"/>
      <c r="G10" s="12"/>
      <c r="H10" s="10"/>
      <c r="I10" s="10"/>
      <c r="J10" s="10"/>
      <c r="K10" s="10"/>
      <c r="L10" s="10"/>
    </row>
    <row r="11" spans="1:12" s="11" customFormat="1" x14ac:dyDescent="0.3">
      <c r="A11" s="85"/>
      <c r="B11" s="12"/>
      <c r="C11" s="12"/>
      <c r="D11" s="12"/>
      <c r="E11" s="12"/>
      <c r="F11" s="12"/>
      <c r="G11" s="12"/>
      <c r="H11" s="10"/>
      <c r="I11" s="10"/>
      <c r="J11" s="10"/>
      <c r="K11" s="10"/>
      <c r="L11" s="10"/>
    </row>
    <row r="12" spans="1:12" s="11" customFormat="1" ht="15.6" customHeight="1" x14ac:dyDescent="0.3">
      <c r="A12" s="12" t="s">
        <v>369</v>
      </c>
      <c r="B12" s="12"/>
      <c r="C12" s="12"/>
      <c r="D12" s="86">
        <v>0.05</v>
      </c>
      <c r="E12" s="81" t="s">
        <v>368</v>
      </c>
      <c r="F12" s="12"/>
      <c r="G12" s="12"/>
      <c r="H12" s="12"/>
      <c r="I12" s="12"/>
      <c r="J12" s="12"/>
      <c r="K12" s="12"/>
      <c r="L12" s="12"/>
    </row>
    <row r="13" spans="1:12" s="11" customFormat="1" x14ac:dyDescent="0.3">
      <c r="A13" s="87"/>
      <c r="B13" s="12"/>
      <c r="C13" s="12"/>
      <c r="D13" s="12"/>
      <c r="E13" s="12"/>
      <c r="F13" s="12"/>
      <c r="G13" s="12"/>
      <c r="H13" s="12"/>
      <c r="I13" s="12"/>
      <c r="J13" s="12"/>
      <c r="K13" s="12"/>
      <c r="L13" s="12"/>
    </row>
    <row r="14" spans="1:12" s="11" customFormat="1" x14ac:dyDescent="0.3">
      <c r="A14" s="12" t="s">
        <v>367</v>
      </c>
      <c r="B14" s="12"/>
      <c r="C14" s="12"/>
      <c r="D14" s="12"/>
      <c r="E14" s="12"/>
      <c r="F14" s="12"/>
      <c r="G14" s="12"/>
      <c r="H14" s="10"/>
      <c r="I14" s="10"/>
      <c r="J14" s="10"/>
      <c r="K14" s="10"/>
      <c r="L14" s="10"/>
    </row>
    <row r="15" spans="1:12" s="11" customFormat="1" x14ac:dyDescent="0.3">
      <c r="A15" s="12"/>
      <c r="B15" s="12"/>
      <c r="C15" s="12"/>
      <c r="D15" s="12"/>
      <c r="E15" s="12"/>
      <c r="F15" s="12"/>
      <c r="G15" s="12"/>
      <c r="H15" s="10"/>
      <c r="I15" s="10"/>
      <c r="J15" s="10"/>
      <c r="K15" s="10"/>
      <c r="L15" s="10"/>
    </row>
    <row r="16" spans="1:12" x14ac:dyDescent="0.3">
      <c r="A16" s="7"/>
      <c r="B16" s="7"/>
      <c r="C16" s="7"/>
      <c r="D16" s="7"/>
      <c r="E16" s="7"/>
      <c r="F16" s="7"/>
      <c r="G16" s="7"/>
      <c r="H16" s="7"/>
      <c r="I16" s="7"/>
      <c r="J16" s="7"/>
      <c r="K16" s="7"/>
      <c r="L16" s="7"/>
    </row>
    <row r="17" spans="1:18" x14ac:dyDescent="0.3">
      <c r="A17" s="6" t="s">
        <v>4</v>
      </c>
      <c r="B17" s="6" t="s">
        <v>14</v>
      </c>
      <c r="C17" s="4"/>
      <c r="D17" s="4"/>
      <c r="E17" s="4"/>
      <c r="F17" s="4"/>
      <c r="G17" s="4"/>
      <c r="H17" s="4"/>
      <c r="I17" s="4"/>
      <c r="J17" s="4"/>
      <c r="K17" s="4"/>
      <c r="L17" s="4"/>
      <c r="M17" s="8"/>
      <c r="N17" s="8"/>
      <c r="O17" s="8"/>
      <c r="P17" s="8"/>
      <c r="Q17" s="8"/>
      <c r="R17" s="8"/>
    </row>
    <row r="18" spans="1:18" x14ac:dyDescent="0.3">
      <c r="A18" s="7"/>
      <c r="B18" s="7"/>
      <c r="C18" s="7"/>
      <c r="D18" s="7"/>
      <c r="E18" s="7"/>
      <c r="F18" s="7"/>
      <c r="G18" s="7"/>
      <c r="H18" s="7"/>
      <c r="I18" s="7"/>
      <c r="J18" s="7"/>
      <c r="K18" s="7"/>
      <c r="L18" s="7"/>
      <c r="M18" s="7"/>
    </row>
    <row r="19" spans="1:18" x14ac:dyDescent="0.3">
      <c r="A19" s="7" t="s">
        <v>1</v>
      </c>
      <c r="B19" s="7"/>
      <c r="C19" s="7"/>
      <c r="D19" s="7"/>
      <c r="E19" s="7"/>
      <c r="F19" s="7"/>
      <c r="G19" s="7"/>
      <c r="H19" s="7"/>
      <c r="I19" s="7"/>
      <c r="J19" s="7"/>
      <c r="K19" s="7"/>
      <c r="L19" s="7"/>
      <c r="M19" s="7"/>
      <c r="N19" s="8"/>
    </row>
    <row r="20" spans="1:18" x14ac:dyDescent="0.3">
      <c r="A20" s="7"/>
      <c r="B20" s="113" t="s">
        <v>401</v>
      </c>
      <c r="C20" s="114" t="s">
        <v>402</v>
      </c>
      <c r="D20" s="115"/>
      <c r="E20" s="7"/>
      <c r="F20" s="7"/>
      <c r="G20" s="7"/>
      <c r="H20" s="7"/>
      <c r="I20" s="7"/>
      <c r="J20" s="7"/>
      <c r="K20" s="7"/>
      <c r="L20" s="7"/>
      <c r="M20" s="7"/>
      <c r="N20" s="8"/>
    </row>
    <row r="21" spans="1:18" x14ac:dyDescent="0.3">
      <c r="A21" s="7"/>
      <c r="B21" s="116">
        <v>1</v>
      </c>
      <c r="C21" s="118">
        <f>H5*(1+D12)</f>
        <v>2205</v>
      </c>
      <c r="D21" s="115"/>
      <c r="E21" s="7"/>
      <c r="F21" s="7"/>
      <c r="G21" s="7"/>
      <c r="H21" s="7"/>
      <c r="I21" s="7"/>
      <c r="J21" s="7"/>
      <c r="K21" s="7"/>
      <c r="L21" s="7"/>
      <c r="M21" s="7"/>
      <c r="N21" s="8"/>
    </row>
    <row r="22" spans="1:18" x14ac:dyDescent="0.3">
      <c r="B22" s="116">
        <v>2</v>
      </c>
      <c r="C22" s="118">
        <f>2*H7</f>
        <v>1440</v>
      </c>
      <c r="D22" s="117"/>
      <c r="M22" s="8"/>
      <c r="N22" s="8"/>
    </row>
    <row r="23" spans="1:18" x14ac:dyDescent="0.3">
      <c r="B23" s="116">
        <v>3</v>
      </c>
      <c r="C23" s="118">
        <f>H9</f>
        <v>1800</v>
      </c>
      <c r="D23" s="117"/>
      <c r="M23" s="8"/>
      <c r="N23" s="8"/>
    </row>
    <row r="24" spans="1:18" x14ac:dyDescent="0.3">
      <c r="B24" s="113">
        <v>3</v>
      </c>
      <c r="C24" s="119">
        <f>-H9*4/12</f>
        <v>-600</v>
      </c>
      <c r="D24" s="117"/>
      <c r="M24" s="8"/>
      <c r="N24" s="8"/>
    </row>
    <row r="25" spans="1:18" x14ac:dyDescent="0.3">
      <c r="B25" s="120" t="s">
        <v>31</v>
      </c>
      <c r="C25" s="118">
        <f>SUM(C21:C24)</f>
        <v>4845</v>
      </c>
      <c r="D25" s="117"/>
      <c r="M25" s="8"/>
      <c r="N25" s="8"/>
    </row>
    <row r="27" spans="1:18" x14ac:dyDescent="0.3">
      <c r="A27" s="6" t="s">
        <v>5</v>
      </c>
      <c r="B27" s="4" t="s">
        <v>15</v>
      </c>
      <c r="C27" s="4"/>
      <c r="D27" s="4"/>
      <c r="E27" s="4"/>
      <c r="F27" s="4"/>
      <c r="G27" s="4"/>
      <c r="H27" s="4"/>
      <c r="I27" s="4"/>
      <c r="J27" s="4"/>
      <c r="K27" s="4"/>
      <c r="L27" s="4"/>
    </row>
    <row r="28" spans="1:18" x14ac:dyDescent="0.3">
      <c r="A28" s="7"/>
      <c r="B28" s="7"/>
      <c r="C28" s="7"/>
      <c r="D28" s="7"/>
      <c r="E28" s="7"/>
      <c r="F28" s="7"/>
      <c r="G28" s="7"/>
      <c r="H28" s="7"/>
      <c r="I28" s="7"/>
      <c r="J28" s="7"/>
      <c r="K28" s="7"/>
      <c r="L28" s="7"/>
    </row>
    <row r="29" spans="1:18" x14ac:dyDescent="0.3">
      <c r="A29" s="7" t="s">
        <v>1</v>
      </c>
      <c r="B29" s="7"/>
      <c r="C29" s="7"/>
      <c r="D29" s="7"/>
      <c r="E29" s="7"/>
      <c r="F29" s="7"/>
      <c r="G29" s="7"/>
      <c r="H29" s="7"/>
      <c r="I29" s="7"/>
      <c r="J29" s="7"/>
      <c r="K29" s="7"/>
      <c r="L29" s="7"/>
    </row>
    <row r="30" spans="1:18" ht="46.8" x14ac:dyDescent="0.3">
      <c r="A30" s="7"/>
      <c r="B30" s="113" t="s">
        <v>401</v>
      </c>
      <c r="C30" s="121" t="s">
        <v>403</v>
      </c>
      <c r="D30" s="121"/>
      <c r="E30" s="121"/>
      <c r="F30" s="122" t="s">
        <v>404</v>
      </c>
      <c r="G30" s="122" t="s">
        <v>405</v>
      </c>
      <c r="H30" s="121" t="s">
        <v>406</v>
      </c>
      <c r="I30" s="7"/>
      <c r="J30" s="7"/>
      <c r="K30" s="7"/>
      <c r="L30" s="7"/>
    </row>
    <row r="31" spans="1:18" x14ac:dyDescent="0.3">
      <c r="A31" s="7"/>
      <c r="B31" s="116">
        <v>1</v>
      </c>
      <c r="C31" s="117" t="s">
        <v>407</v>
      </c>
      <c r="D31" s="117"/>
      <c r="E31" s="117"/>
      <c r="F31" s="118">
        <f>H5</f>
        <v>2100</v>
      </c>
      <c r="G31" s="120">
        <v>10</v>
      </c>
      <c r="H31" s="128">
        <f>F31*G31/12</f>
        <v>1750</v>
      </c>
      <c r="I31" s="7"/>
      <c r="J31" s="7"/>
      <c r="K31" s="7"/>
      <c r="L31" s="7"/>
    </row>
    <row r="32" spans="1:18" x14ac:dyDescent="0.3">
      <c r="B32" s="113">
        <v>1</v>
      </c>
      <c r="C32" s="121" t="s">
        <v>408</v>
      </c>
      <c r="D32" s="121"/>
      <c r="E32" s="121"/>
      <c r="F32" s="119">
        <f>F31*(1+D12)</f>
        <v>2205</v>
      </c>
      <c r="G32" s="114">
        <v>2</v>
      </c>
      <c r="H32" s="129">
        <f t="shared" ref="H32:H35" si="0">F32*G32/12</f>
        <v>367.5</v>
      </c>
      <c r="M32" s="7"/>
    </row>
    <row r="33" spans="1:14" x14ac:dyDescent="0.3">
      <c r="B33" s="116">
        <v>2</v>
      </c>
      <c r="C33" s="117" t="s">
        <v>409</v>
      </c>
      <c r="D33" s="117"/>
      <c r="E33" s="117"/>
      <c r="F33" s="118">
        <f>H7</f>
        <v>720</v>
      </c>
      <c r="G33" s="120">
        <v>6</v>
      </c>
      <c r="H33" s="128">
        <f>F33*G33/6</f>
        <v>720</v>
      </c>
      <c r="M33" s="7"/>
    </row>
    <row r="34" spans="1:14" x14ac:dyDescent="0.3">
      <c r="B34" s="113">
        <v>2</v>
      </c>
      <c r="C34" s="121" t="s">
        <v>410</v>
      </c>
      <c r="D34" s="121"/>
      <c r="E34" s="121"/>
      <c r="F34" s="119">
        <f>F33</f>
        <v>720</v>
      </c>
      <c r="G34" s="114">
        <v>5</v>
      </c>
      <c r="H34" s="129">
        <f>F34*G34/6</f>
        <v>600</v>
      </c>
      <c r="M34" s="7"/>
    </row>
    <row r="35" spans="1:14" x14ac:dyDescent="0.3">
      <c r="B35" s="123">
        <v>3</v>
      </c>
      <c r="C35" s="124" t="s">
        <v>411</v>
      </c>
      <c r="D35" s="124"/>
      <c r="E35" s="124"/>
      <c r="F35" s="125">
        <f>H9</f>
        <v>1800</v>
      </c>
      <c r="G35" s="126">
        <v>8</v>
      </c>
      <c r="H35" s="130">
        <f t="shared" si="0"/>
        <v>1200</v>
      </c>
    </row>
    <row r="36" spans="1:14" x14ac:dyDescent="0.3">
      <c r="B36" s="127" t="s">
        <v>412</v>
      </c>
      <c r="C36" s="117"/>
      <c r="D36" s="117"/>
      <c r="E36" s="117"/>
      <c r="F36" s="118"/>
      <c r="G36" s="120"/>
      <c r="H36" s="128">
        <f>SUM(H31:H35)</f>
        <v>4637.5</v>
      </c>
    </row>
    <row r="38" spans="1:14" x14ac:dyDescent="0.3">
      <c r="A38" s="6" t="s">
        <v>0</v>
      </c>
      <c r="B38" s="4" t="s">
        <v>16</v>
      </c>
      <c r="C38" s="4"/>
      <c r="D38" s="4"/>
      <c r="E38" s="4"/>
      <c r="F38" s="4"/>
      <c r="G38" s="4"/>
      <c r="H38" s="4"/>
      <c r="I38" s="4"/>
      <c r="J38" s="4"/>
      <c r="K38" s="4"/>
      <c r="L38" s="4"/>
    </row>
    <row r="39" spans="1:14" x14ac:dyDescent="0.3">
      <c r="A39" s="3"/>
      <c r="B39" s="3"/>
      <c r="C39" s="3"/>
      <c r="D39" s="3"/>
      <c r="E39" s="3"/>
      <c r="F39" s="3"/>
      <c r="G39" s="4"/>
      <c r="H39" s="4"/>
      <c r="I39" s="4"/>
      <c r="J39" s="4"/>
      <c r="K39" s="4"/>
      <c r="L39" s="4"/>
    </row>
    <row r="40" spans="1:14" x14ac:dyDescent="0.3">
      <c r="A40" s="7"/>
      <c r="B40" s="7"/>
      <c r="C40" s="7"/>
      <c r="D40" s="7"/>
      <c r="E40" s="7"/>
      <c r="F40" s="7"/>
      <c r="G40" s="7"/>
      <c r="H40" s="7"/>
      <c r="I40" s="7"/>
      <c r="J40" s="7"/>
      <c r="K40" s="7"/>
      <c r="L40" s="7"/>
    </row>
    <row r="41" spans="1:14" x14ac:dyDescent="0.3">
      <c r="A41" s="7" t="s">
        <v>1</v>
      </c>
      <c r="B41" s="7"/>
      <c r="C41" s="7"/>
      <c r="D41" s="7"/>
      <c r="E41" s="7"/>
      <c r="F41" s="7"/>
      <c r="G41" s="7"/>
      <c r="H41" s="7"/>
      <c r="I41" s="7"/>
      <c r="J41" s="7"/>
      <c r="K41" s="7"/>
      <c r="L41" s="7"/>
    </row>
    <row r="42" spans="1:14" x14ac:dyDescent="0.3">
      <c r="A42" s="7"/>
      <c r="B42" s="113" t="s">
        <v>401</v>
      </c>
      <c r="C42" s="114" t="s">
        <v>413</v>
      </c>
      <c r="D42" s="117"/>
      <c r="E42" s="115"/>
      <c r="F42" s="115"/>
      <c r="G42" s="7"/>
      <c r="H42" s="7"/>
      <c r="I42" s="7"/>
      <c r="J42" s="7"/>
      <c r="K42" s="7"/>
      <c r="L42" s="7"/>
    </row>
    <row r="43" spans="1:14" x14ac:dyDescent="0.3">
      <c r="A43" s="7"/>
      <c r="B43" s="116">
        <v>1</v>
      </c>
      <c r="C43" s="128">
        <f>F32-H32</f>
        <v>1837.5</v>
      </c>
      <c r="D43" s="117" t="s">
        <v>414</v>
      </c>
      <c r="E43" s="115"/>
      <c r="F43" s="115"/>
      <c r="G43" s="7"/>
      <c r="H43" s="7"/>
      <c r="I43" s="7"/>
      <c r="J43" s="7"/>
      <c r="K43" s="7"/>
      <c r="L43" s="7"/>
    </row>
    <row r="44" spans="1:14" x14ac:dyDescent="0.3">
      <c r="B44" s="116">
        <v>2</v>
      </c>
      <c r="C44" s="128">
        <f>F34-H34</f>
        <v>120</v>
      </c>
      <c r="D44" s="117" t="s">
        <v>414</v>
      </c>
      <c r="E44" s="117"/>
      <c r="F44" s="117"/>
    </row>
    <row r="45" spans="1:14" x14ac:dyDescent="0.3">
      <c r="B45" s="113">
        <v>3</v>
      </c>
      <c r="C45" s="129">
        <v>0</v>
      </c>
      <c r="D45" s="117" t="s">
        <v>415</v>
      </c>
      <c r="E45" s="117"/>
      <c r="F45" s="117"/>
    </row>
    <row r="46" spans="1:14" x14ac:dyDescent="0.3">
      <c r="B46" s="116"/>
      <c r="C46" s="128">
        <f>SUM(C43:C45)</f>
        <v>1957.5</v>
      </c>
      <c r="D46" s="117"/>
      <c r="E46" s="117"/>
      <c r="F46" s="117"/>
      <c r="M46" s="7"/>
      <c r="N46" s="7"/>
    </row>
    <row r="48" spans="1:14" x14ac:dyDescent="0.3">
      <c r="A48" s="4" t="s">
        <v>17</v>
      </c>
      <c r="B48" s="3"/>
      <c r="C48" s="3"/>
      <c r="D48" s="3"/>
      <c r="E48" s="3"/>
      <c r="F48" s="3"/>
      <c r="G48" s="4"/>
      <c r="H48" s="4"/>
      <c r="I48" s="4"/>
      <c r="J48" s="4"/>
      <c r="K48" s="4"/>
      <c r="L48" s="4"/>
    </row>
    <row r="49" spans="1:13" x14ac:dyDescent="0.3">
      <c r="A49" s="3"/>
      <c r="B49" s="3"/>
      <c r="C49" s="3"/>
      <c r="D49" s="3"/>
      <c r="E49" s="3"/>
      <c r="F49" s="3"/>
      <c r="G49" s="4"/>
      <c r="H49" s="4"/>
      <c r="I49" s="4"/>
      <c r="J49" s="4"/>
      <c r="K49" s="4"/>
      <c r="L49" s="4"/>
    </row>
    <row r="50" spans="1:13" x14ac:dyDescent="0.3">
      <c r="A50" s="6" t="s">
        <v>2</v>
      </c>
      <c r="B50" s="4" t="s">
        <v>18</v>
      </c>
      <c r="C50" s="4"/>
      <c r="D50" s="4"/>
      <c r="E50" s="4"/>
      <c r="F50" s="4"/>
      <c r="G50" s="4"/>
      <c r="H50" s="4"/>
      <c r="I50" s="4"/>
      <c r="J50" s="4"/>
      <c r="K50" s="4"/>
      <c r="L50" s="4"/>
    </row>
    <row r="51" spans="1:13" x14ac:dyDescent="0.3">
      <c r="A51" s="3"/>
      <c r="B51" s="3"/>
      <c r="C51" s="3"/>
      <c r="D51" s="3"/>
      <c r="E51" s="3"/>
      <c r="F51" s="3"/>
      <c r="G51" s="4"/>
      <c r="H51" s="4"/>
      <c r="I51" s="4"/>
      <c r="J51" s="4"/>
      <c r="K51" s="4"/>
      <c r="L51" s="4"/>
    </row>
    <row r="52" spans="1:13" x14ac:dyDescent="0.3">
      <c r="A52" s="7"/>
      <c r="B52" s="7"/>
      <c r="C52" s="7"/>
      <c r="D52" s="7"/>
      <c r="E52" s="7"/>
      <c r="F52" s="7"/>
      <c r="G52" s="7"/>
      <c r="H52" s="7"/>
      <c r="I52" s="7"/>
      <c r="J52" s="7"/>
      <c r="K52" s="7"/>
      <c r="L52" s="7"/>
    </row>
    <row r="53" spans="1:13" x14ac:dyDescent="0.3">
      <c r="A53" s="7" t="s">
        <v>1</v>
      </c>
      <c r="B53" s="7"/>
      <c r="C53" s="7"/>
      <c r="D53" s="7"/>
      <c r="E53" s="7"/>
      <c r="F53" s="7"/>
      <c r="G53" s="7"/>
      <c r="H53" s="7"/>
      <c r="I53" s="7"/>
      <c r="J53" s="7"/>
      <c r="K53" s="7"/>
      <c r="L53" s="7"/>
    </row>
    <row r="54" spans="1:13" x14ac:dyDescent="0.3">
      <c r="A54" s="7"/>
      <c r="B54" s="7"/>
      <c r="C54" s="7"/>
      <c r="D54" s="7"/>
      <c r="E54" s="7"/>
      <c r="F54" s="7"/>
      <c r="G54" s="7"/>
      <c r="H54" s="7"/>
      <c r="I54" s="7"/>
      <c r="J54" s="7"/>
      <c r="K54" s="7"/>
      <c r="L54" s="7"/>
    </row>
    <row r="55" spans="1:13" x14ac:dyDescent="0.3">
      <c r="A55" s="7" t="s">
        <v>416</v>
      </c>
      <c r="B55" s="7"/>
      <c r="C55" s="7"/>
      <c r="D55" s="7"/>
      <c r="E55" s="7"/>
      <c r="F55" s="7"/>
      <c r="G55" s="7"/>
      <c r="H55" s="7"/>
      <c r="I55" s="7"/>
      <c r="J55" s="7"/>
      <c r="K55" s="7"/>
      <c r="L55" s="7"/>
    </row>
    <row r="56" spans="1:13" x14ac:dyDescent="0.3">
      <c r="A56" s="1" t="s">
        <v>417</v>
      </c>
    </row>
    <row r="57" spans="1:13" x14ac:dyDescent="0.3">
      <c r="A57" s="1" t="s">
        <v>422</v>
      </c>
    </row>
    <row r="58" spans="1:13" x14ac:dyDescent="0.3">
      <c r="A58" s="1" t="s">
        <v>423</v>
      </c>
      <c r="M58" s="7"/>
    </row>
    <row r="60" spans="1:13" x14ac:dyDescent="0.3">
      <c r="A60" s="6" t="s">
        <v>3</v>
      </c>
      <c r="B60" s="4" t="s">
        <v>19</v>
      </c>
      <c r="C60" s="4"/>
      <c r="D60" s="4"/>
      <c r="E60" s="4"/>
      <c r="F60" s="4"/>
      <c r="G60" s="4"/>
      <c r="H60" s="4"/>
      <c r="I60" s="4"/>
      <c r="J60" s="4"/>
      <c r="K60" s="4"/>
      <c r="L60" s="4"/>
    </row>
    <row r="61" spans="1:13" x14ac:dyDescent="0.3">
      <c r="A61" s="3"/>
      <c r="B61" s="3"/>
      <c r="C61" s="3"/>
      <c r="D61" s="3"/>
      <c r="E61" s="3"/>
      <c r="F61" s="3"/>
      <c r="G61" s="4"/>
      <c r="H61" s="4"/>
      <c r="I61" s="4"/>
      <c r="J61" s="4"/>
      <c r="K61" s="4"/>
      <c r="L61" s="4"/>
    </row>
    <row r="62" spans="1:13" x14ac:dyDescent="0.3">
      <c r="A62" s="7"/>
      <c r="B62" s="7"/>
      <c r="C62" s="7"/>
      <c r="D62" s="7"/>
      <c r="E62" s="7"/>
      <c r="F62" s="7"/>
      <c r="G62" s="7"/>
      <c r="H62" s="7"/>
      <c r="I62" s="7"/>
      <c r="J62" s="7"/>
      <c r="K62" s="7"/>
      <c r="L62" s="7"/>
    </row>
    <row r="63" spans="1:13" x14ac:dyDescent="0.3">
      <c r="A63" s="7" t="s">
        <v>1</v>
      </c>
      <c r="B63" s="7"/>
      <c r="C63" s="7"/>
      <c r="D63" s="7"/>
      <c r="E63" s="7"/>
      <c r="F63" s="7"/>
      <c r="G63" s="7"/>
      <c r="H63" s="7"/>
      <c r="I63" s="7"/>
      <c r="J63" s="7"/>
      <c r="K63" s="7"/>
      <c r="L63" s="7"/>
    </row>
    <row r="64" spans="1:13" x14ac:dyDescent="0.3">
      <c r="A64" s="7"/>
      <c r="B64" s="113" t="s">
        <v>401</v>
      </c>
      <c r="C64" s="131" t="s">
        <v>403</v>
      </c>
      <c r="D64" s="131"/>
      <c r="E64" s="131"/>
      <c r="F64" s="131" t="s">
        <v>406</v>
      </c>
      <c r="G64" s="113" t="s">
        <v>418</v>
      </c>
      <c r="H64" s="132"/>
      <c r="I64" s="7"/>
      <c r="J64" s="7"/>
      <c r="K64" s="7"/>
      <c r="L64" s="7"/>
    </row>
    <row r="65" spans="1:12" x14ac:dyDescent="0.3">
      <c r="A65" s="7"/>
      <c r="B65" s="116">
        <v>1</v>
      </c>
      <c r="C65" s="115" t="s">
        <v>407</v>
      </c>
      <c r="D65" s="115"/>
      <c r="E65" s="115"/>
      <c r="F65" s="134">
        <f>H31</f>
        <v>1750</v>
      </c>
      <c r="G65" s="134">
        <f>F65*(1+$D$12)</f>
        <v>1837.5</v>
      </c>
      <c r="H65" s="115" t="s">
        <v>419</v>
      </c>
      <c r="I65" s="7"/>
      <c r="J65" s="7"/>
      <c r="K65" s="7"/>
      <c r="L65" s="7"/>
    </row>
    <row r="66" spans="1:12" x14ac:dyDescent="0.3">
      <c r="B66" s="113">
        <v>1</v>
      </c>
      <c r="C66" s="131" t="s">
        <v>408</v>
      </c>
      <c r="D66" s="131"/>
      <c r="E66" s="131"/>
      <c r="F66" s="135">
        <f t="shared" ref="F66:F69" si="1">H32</f>
        <v>367.5</v>
      </c>
      <c r="G66" s="135">
        <f>F66</f>
        <v>367.5</v>
      </c>
      <c r="H66" s="115" t="s">
        <v>420</v>
      </c>
    </row>
    <row r="67" spans="1:12" x14ac:dyDescent="0.3">
      <c r="B67" s="116">
        <v>2</v>
      </c>
      <c r="C67" s="115" t="s">
        <v>409</v>
      </c>
      <c r="D67" s="115"/>
      <c r="E67" s="115"/>
      <c r="F67" s="134">
        <f t="shared" si="1"/>
        <v>720</v>
      </c>
      <c r="G67" s="134">
        <f>F67*(1+$D$12)</f>
        <v>756</v>
      </c>
      <c r="H67" s="115" t="s">
        <v>419</v>
      </c>
    </row>
    <row r="68" spans="1:12" x14ac:dyDescent="0.3">
      <c r="B68" s="113">
        <v>2</v>
      </c>
      <c r="C68" s="131" t="s">
        <v>410</v>
      </c>
      <c r="D68" s="131"/>
      <c r="E68" s="131"/>
      <c r="F68" s="135">
        <f t="shared" si="1"/>
        <v>600</v>
      </c>
      <c r="G68" s="135">
        <f>F68*(1+$D$12)</f>
        <v>630</v>
      </c>
      <c r="H68" s="115" t="s">
        <v>419</v>
      </c>
    </row>
    <row r="69" spans="1:12" x14ac:dyDescent="0.3">
      <c r="B69" s="123">
        <v>3</v>
      </c>
      <c r="C69" s="136" t="s">
        <v>421</v>
      </c>
      <c r="D69" s="136"/>
      <c r="E69" s="136"/>
      <c r="F69" s="137">
        <f t="shared" si="1"/>
        <v>1200</v>
      </c>
      <c r="G69" s="137">
        <f>F69*(1+$D$12)</f>
        <v>1260</v>
      </c>
      <c r="H69" s="115" t="s">
        <v>419</v>
      </c>
    </row>
    <row r="70" spans="1:12" x14ac:dyDescent="0.3">
      <c r="B70" s="127" t="s">
        <v>412</v>
      </c>
      <c r="C70" s="115"/>
      <c r="D70" s="115"/>
      <c r="E70" s="115"/>
      <c r="F70" s="133"/>
      <c r="G70" s="137">
        <f>SUM(G65:G69)</f>
        <v>4851</v>
      </c>
      <c r="H70" s="115"/>
    </row>
  </sheetData>
  <pageMargins left="0.7" right="0.7" top="0.75" bottom="0.75" header="0.3" footer="0.3"/>
  <pageSetup scale="7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F4289-B260-4FCB-88AF-159E333945EC}">
  <dimension ref="A1:R51"/>
  <sheetViews>
    <sheetView zoomScaleNormal="100" workbookViewId="0"/>
  </sheetViews>
  <sheetFormatPr defaultColWidth="8.88671875" defaultRowHeight="15.6" x14ac:dyDescent="0.3"/>
  <cols>
    <col min="1" max="4" width="8.88671875" style="1" customWidth="1"/>
    <col min="5" max="5" width="11.6640625" style="1" customWidth="1"/>
    <col min="6" max="6" width="8.88671875" style="1" customWidth="1"/>
    <col min="7" max="7" width="8.88671875" style="1"/>
    <col min="8" max="8" width="8.88671875" style="1" customWidth="1"/>
    <col min="9" max="16384" width="8.88671875" style="1"/>
  </cols>
  <sheetData>
    <row r="1" spans="1:18" ht="17.399999999999999" x14ac:dyDescent="0.3">
      <c r="A1" s="2" t="s">
        <v>139</v>
      </c>
      <c r="B1" s="4"/>
      <c r="C1" s="9" t="s">
        <v>10</v>
      </c>
      <c r="D1" s="4"/>
      <c r="E1" s="4"/>
      <c r="F1" s="4"/>
      <c r="G1" s="4"/>
      <c r="H1" s="4"/>
      <c r="I1" s="4"/>
      <c r="J1" s="4"/>
      <c r="K1" s="4"/>
      <c r="L1" s="3"/>
    </row>
    <row r="2" spans="1:18" x14ac:dyDescent="0.3">
      <c r="A2" s="4"/>
      <c r="B2" s="4"/>
      <c r="C2" s="4"/>
      <c r="D2" s="4"/>
      <c r="E2" s="4"/>
      <c r="F2" s="4"/>
      <c r="G2" s="4"/>
      <c r="H2" s="4"/>
      <c r="I2" s="4"/>
      <c r="J2" s="4"/>
      <c r="K2" s="4"/>
      <c r="L2" s="3"/>
    </row>
    <row r="4" spans="1:18" x14ac:dyDescent="0.3">
      <c r="A4" s="5" t="s">
        <v>9</v>
      </c>
      <c r="B4" s="3"/>
      <c r="C4" s="3"/>
      <c r="D4" s="3"/>
      <c r="E4" s="3"/>
      <c r="F4" s="3"/>
      <c r="G4" s="3"/>
      <c r="H4" s="3"/>
      <c r="I4" s="3"/>
      <c r="J4" s="3"/>
      <c r="K4" s="3"/>
      <c r="L4" s="3"/>
    </row>
    <row r="5" spans="1:18" x14ac:dyDescent="0.3">
      <c r="A5" s="7"/>
      <c r="B5" s="7"/>
      <c r="C5" s="7"/>
      <c r="D5" s="7"/>
      <c r="E5" s="7"/>
      <c r="F5" s="7"/>
      <c r="G5" s="7"/>
      <c r="H5" s="7"/>
      <c r="I5" s="7"/>
      <c r="J5" s="7"/>
      <c r="K5" s="7"/>
      <c r="L5" s="7"/>
    </row>
    <row r="6" spans="1:18" x14ac:dyDescent="0.3">
      <c r="A6" s="6" t="s">
        <v>5</v>
      </c>
      <c r="B6" s="323" t="s">
        <v>140</v>
      </c>
      <c r="C6" s="323"/>
      <c r="D6" s="323"/>
      <c r="E6" s="323"/>
      <c r="F6" s="323"/>
      <c r="G6" s="323"/>
      <c r="H6" s="323"/>
      <c r="I6" s="323"/>
      <c r="J6" s="323"/>
      <c r="K6" s="323"/>
      <c r="L6" s="4"/>
      <c r="M6" s="8"/>
      <c r="N6" s="8"/>
      <c r="O6" s="8"/>
      <c r="P6" s="8"/>
      <c r="Q6" s="8"/>
      <c r="R6" s="8"/>
    </row>
    <row r="7" spans="1:18" x14ac:dyDescent="0.3">
      <c r="A7" s="6"/>
      <c r="B7" s="323"/>
      <c r="C7" s="323"/>
      <c r="D7" s="323"/>
      <c r="E7" s="323"/>
      <c r="F7" s="323"/>
      <c r="G7" s="323"/>
      <c r="H7" s="323"/>
      <c r="I7" s="323"/>
      <c r="J7" s="323"/>
      <c r="K7" s="323"/>
      <c r="L7" s="4"/>
      <c r="M7" s="8"/>
      <c r="N7" s="8"/>
      <c r="O7" s="8"/>
      <c r="P7" s="8"/>
      <c r="Q7" s="8"/>
      <c r="R7" s="8"/>
    </row>
    <row r="8" spans="1:18" x14ac:dyDescent="0.3">
      <c r="A8" s="3"/>
      <c r="B8" s="3"/>
      <c r="C8" s="3"/>
      <c r="D8" s="3"/>
      <c r="E8" s="3"/>
      <c r="F8" s="3"/>
      <c r="G8" s="4"/>
      <c r="H8" s="4"/>
      <c r="I8" s="4"/>
      <c r="J8" s="4"/>
      <c r="K8" s="4"/>
      <c r="L8" s="4"/>
    </row>
    <row r="9" spans="1:18" x14ac:dyDescent="0.3">
      <c r="A9" s="7"/>
      <c r="B9" s="7"/>
      <c r="C9" s="7"/>
      <c r="D9" s="7"/>
      <c r="E9" s="7"/>
      <c r="F9" s="7"/>
      <c r="G9" s="7"/>
      <c r="H9" s="7"/>
      <c r="I9" s="7"/>
      <c r="J9" s="7"/>
      <c r="K9" s="7"/>
      <c r="L9" s="7"/>
      <c r="M9" s="7"/>
    </row>
    <row r="10" spans="1:18" x14ac:dyDescent="0.3">
      <c r="A10" s="7" t="s">
        <v>1</v>
      </c>
      <c r="B10" s="7"/>
      <c r="C10" s="7"/>
      <c r="D10" s="7"/>
      <c r="E10" s="7"/>
      <c r="F10" s="7"/>
      <c r="G10" s="7"/>
      <c r="H10" s="7"/>
      <c r="I10" s="7"/>
      <c r="J10" s="7"/>
      <c r="K10" s="7"/>
      <c r="L10" s="7"/>
      <c r="M10" s="7"/>
      <c r="N10" s="8"/>
    </row>
    <row r="11" spans="1:18" x14ac:dyDescent="0.3">
      <c r="A11" s="7"/>
      <c r="B11" s="7"/>
      <c r="C11" s="7"/>
      <c r="D11" s="7"/>
      <c r="E11" s="7"/>
      <c r="F11" s="7"/>
      <c r="G11" s="7"/>
      <c r="H11" s="7"/>
      <c r="I11" s="7"/>
      <c r="J11" s="7"/>
      <c r="K11" s="7"/>
      <c r="L11" s="7"/>
      <c r="M11" s="7"/>
      <c r="N11" s="8"/>
    </row>
    <row r="12" spans="1:18" x14ac:dyDescent="0.3">
      <c r="A12" s="7" t="s">
        <v>551</v>
      </c>
      <c r="B12" s="7"/>
      <c r="C12" s="7"/>
      <c r="D12" s="7"/>
      <c r="E12" s="7"/>
      <c r="F12" s="7"/>
      <c r="G12" s="7"/>
      <c r="H12" s="7"/>
      <c r="I12" s="7"/>
      <c r="J12" s="7"/>
      <c r="K12" s="7"/>
      <c r="L12" s="7"/>
      <c r="M12" s="242"/>
      <c r="N12" s="8"/>
    </row>
    <row r="13" spans="1:18" x14ac:dyDescent="0.3">
      <c r="A13" s="7" t="s">
        <v>553</v>
      </c>
      <c r="M13" s="241"/>
      <c r="N13" s="8"/>
    </row>
    <row r="14" spans="1:18" x14ac:dyDescent="0.3">
      <c r="A14" s="7" t="s">
        <v>552</v>
      </c>
      <c r="M14" s="8"/>
      <c r="N14" s="8"/>
    </row>
    <row r="15" spans="1:18" x14ac:dyDescent="0.3">
      <c r="M15" s="8"/>
      <c r="N15" s="8"/>
    </row>
    <row r="16" spans="1:18" x14ac:dyDescent="0.3">
      <c r="A16" s="331" t="s">
        <v>332</v>
      </c>
      <c r="B16" s="331"/>
      <c r="C16" s="331"/>
      <c r="D16" s="331"/>
      <c r="E16" s="331"/>
      <c r="F16" s="331"/>
      <c r="G16" s="331"/>
      <c r="H16" s="331"/>
      <c r="I16" s="331"/>
      <c r="J16" s="331"/>
      <c r="K16" s="331"/>
      <c r="L16" s="9"/>
      <c r="M16" s="8"/>
      <c r="N16" s="8"/>
    </row>
    <row r="17" spans="1:14" x14ac:dyDescent="0.3">
      <c r="A17" s="331"/>
      <c r="B17" s="331"/>
      <c r="C17" s="331"/>
      <c r="D17" s="331"/>
      <c r="E17" s="331"/>
      <c r="F17" s="331"/>
      <c r="G17" s="331"/>
      <c r="H17" s="331"/>
      <c r="I17" s="331"/>
      <c r="J17" s="331"/>
      <c r="K17" s="331"/>
      <c r="L17" s="9"/>
      <c r="M17" s="8"/>
      <c r="N17" s="8"/>
    </row>
    <row r="18" spans="1:14" x14ac:dyDescent="0.3">
      <c r="A18" s="331"/>
      <c r="B18" s="331"/>
      <c r="C18" s="331"/>
      <c r="D18" s="331"/>
      <c r="E18" s="331"/>
      <c r="F18" s="331"/>
      <c r="G18" s="331"/>
      <c r="H18" s="331"/>
      <c r="I18" s="331"/>
      <c r="J18" s="331"/>
      <c r="K18" s="331"/>
      <c r="L18" s="9"/>
      <c r="M18" s="8"/>
      <c r="N18" s="8"/>
    </row>
    <row r="19" spans="1:14" x14ac:dyDescent="0.3">
      <c r="A19" s="9"/>
      <c r="B19" s="9"/>
      <c r="C19" s="9"/>
      <c r="D19" s="9"/>
      <c r="E19" s="9"/>
      <c r="F19" s="9"/>
      <c r="G19" s="9"/>
      <c r="H19" s="9"/>
      <c r="I19" s="9"/>
      <c r="J19" s="9"/>
      <c r="K19" s="9"/>
      <c r="L19" s="9"/>
      <c r="M19" s="8"/>
      <c r="N19" s="8"/>
    </row>
    <row r="21" spans="1:14" x14ac:dyDescent="0.3">
      <c r="A21" s="6" t="s">
        <v>0</v>
      </c>
      <c r="B21" s="4" t="s">
        <v>141</v>
      </c>
      <c r="C21" s="4"/>
      <c r="D21" s="4"/>
      <c r="E21" s="4"/>
      <c r="F21" s="4"/>
      <c r="G21" s="4"/>
      <c r="H21" s="4"/>
      <c r="I21" s="4"/>
      <c r="J21" s="4"/>
      <c r="K21" s="4"/>
      <c r="L21" s="4"/>
    </row>
    <row r="22" spans="1:14" x14ac:dyDescent="0.3">
      <c r="A22" s="6"/>
      <c r="B22" s="4"/>
      <c r="C22" s="4"/>
      <c r="D22" s="4"/>
      <c r="E22" s="4"/>
      <c r="F22" s="4"/>
      <c r="G22" s="4"/>
      <c r="H22" s="4"/>
      <c r="I22" s="4"/>
      <c r="J22" s="4"/>
      <c r="K22" s="4"/>
      <c r="L22" s="4"/>
    </row>
    <row r="23" spans="1:14" x14ac:dyDescent="0.3">
      <c r="A23" s="6"/>
      <c r="B23" s="37" t="s">
        <v>90</v>
      </c>
      <c r="C23" s="4" t="s">
        <v>142</v>
      </c>
      <c r="D23" s="4"/>
      <c r="E23" s="4"/>
      <c r="F23" s="4"/>
      <c r="G23" s="4"/>
      <c r="H23" s="4"/>
      <c r="I23" s="4"/>
      <c r="J23" s="4"/>
      <c r="K23" s="4"/>
      <c r="L23" s="4"/>
    </row>
    <row r="24" spans="1:14" x14ac:dyDescent="0.3">
      <c r="A24" s="6"/>
      <c r="B24" s="37" t="s">
        <v>91</v>
      </c>
      <c r="C24" s="4" t="s">
        <v>143</v>
      </c>
      <c r="D24" s="4"/>
      <c r="E24" s="4"/>
      <c r="F24" s="4"/>
      <c r="G24" s="4"/>
      <c r="H24" s="4"/>
      <c r="I24" s="4"/>
      <c r="J24" s="4"/>
      <c r="K24" s="4"/>
      <c r="L24" s="4"/>
    </row>
    <row r="25" spans="1:14" x14ac:dyDescent="0.3">
      <c r="A25" s="3"/>
      <c r="B25" s="3"/>
      <c r="C25" s="3"/>
      <c r="D25" s="3"/>
      <c r="E25" s="3"/>
      <c r="F25" s="3"/>
      <c r="G25" s="4"/>
      <c r="H25" s="4"/>
      <c r="I25" s="4"/>
      <c r="J25" s="4"/>
      <c r="K25" s="4"/>
      <c r="L25" s="4"/>
    </row>
    <row r="26" spans="1:14" x14ac:dyDescent="0.3">
      <c r="A26" s="7"/>
      <c r="B26" s="7"/>
      <c r="C26" s="7"/>
      <c r="D26" s="7"/>
      <c r="E26" s="7"/>
      <c r="F26" s="7"/>
      <c r="G26" s="7"/>
      <c r="H26" s="7"/>
      <c r="I26" s="7"/>
      <c r="J26" s="7"/>
      <c r="K26" s="7"/>
      <c r="L26" s="7"/>
    </row>
    <row r="27" spans="1:14" x14ac:dyDescent="0.3">
      <c r="A27" s="7" t="s">
        <v>1</v>
      </c>
      <c r="B27" s="7"/>
      <c r="C27" s="7"/>
      <c r="D27" s="7"/>
      <c r="E27" s="7"/>
      <c r="F27" s="7"/>
      <c r="G27" s="7"/>
      <c r="H27" s="7"/>
      <c r="I27" s="7"/>
      <c r="J27" s="7"/>
      <c r="K27" s="7"/>
      <c r="L27" s="7"/>
    </row>
    <row r="28" spans="1:14" x14ac:dyDescent="0.3">
      <c r="A28" s="7"/>
      <c r="B28" s="117"/>
      <c r="C28" s="341" t="s">
        <v>27</v>
      </c>
      <c r="D28" s="341"/>
      <c r="E28" s="341"/>
      <c r="F28" s="341"/>
      <c r="G28" s="117"/>
      <c r="H28" s="117"/>
      <c r="I28" s="7"/>
    </row>
    <row r="29" spans="1:14" x14ac:dyDescent="0.3">
      <c r="A29" s="7"/>
      <c r="B29" s="114" t="s">
        <v>554</v>
      </c>
      <c r="C29" s="114">
        <v>1</v>
      </c>
      <c r="D29" s="114">
        <f>C29+1</f>
        <v>2</v>
      </c>
      <c r="E29" s="114">
        <f t="shared" ref="E29:F29" si="0">D29+1</f>
        <v>3</v>
      </c>
      <c r="F29" s="114">
        <f t="shared" si="0"/>
        <v>4</v>
      </c>
      <c r="G29" s="117"/>
      <c r="H29" s="117"/>
      <c r="I29" s="7"/>
    </row>
    <row r="30" spans="1:14" x14ac:dyDescent="0.3">
      <c r="A30" s="7"/>
      <c r="B30" s="120">
        <v>0</v>
      </c>
      <c r="C30" s="120">
        <v>0.4</v>
      </c>
      <c r="D30" s="120">
        <f>C30</f>
        <v>0.4</v>
      </c>
      <c r="E30" s="120">
        <f>D30</f>
        <v>0.4</v>
      </c>
      <c r="F30" s="120">
        <f>E30</f>
        <v>0.4</v>
      </c>
      <c r="G30" s="117"/>
      <c r="H30" s="117"/>
      <c r="I30" s="7"/>
    </row>
    <row r="31" spans="1:14" x14ac:dyDescent="0.3">
      <c r="A31" s="7"/>
      <c r="B31" s="120">
        <f>B30+1</f>
        <v>1</v>
      </c>
      <c r="C31" s="120">
        <v>0.2</v>
      </c>
      <c r="D31" s="120">
        <f t="shared" ref="D31:F33" si="1">C31</f>
        <v>0.2</v>
      </c>
      <c r="E31" s="120">
        <f t="shared" si="1"/>
        <v>0.2</v>
      </c>
      <c r="F31" s="120">
        <f t="shared" si="1"/>
        <v>0.2</v>
      </c>
      <c r="G31" s="117"/>
      <c r="H31" s="117"/>
      <c r="I31" s="7"/>
    </row>
    <row r="32" spans="1:14" x14ac:dyDescent="0.3">
      <c r="A32" s="7"/>
      <c r="B32" s="120">
        <f t="shared" ref="B32:B33" si="2">B31+1</f>
        <v>2</v>
      </c>
      <c r="C32" s="120">
        <v>0.2</v>
      </c>
      <c r="D32" s="120">
        <f t="shared" si="1"/>
        <v>0.2</v>
      </c>
      <c r="E32" s="120">
        <f t="shared" si="1"/>
        <v>0.2</v>
      </c>
      <c r="F32" s="120">
        <f t="shared" si="1"/>
        <v>0.2</v>
      </c>
      <c r="G32" s="117"/>
      <c r="H32" s="117"/>
      <c r="I32" s="7"/>
    </row>
    <row r="33" spans="1:13" x14ac:dyDescent="0.3">
      <c r="A33" s="7"/>
      <c r="B33" s="120">
        <f t="shared" si="2"/>
        <v>3</v>
      </c>
      <c r="C33" s="120">
        <v>0.2</v>
      </c>
      <c r="D33" s="120">
        <f t="shared" si="1"/>
        <v>0.2</v>
      </c>
      <c r="E33" s="120">
        <f t="shared" si="1"/>
        <v>0.2</v>
      </c>
      <c r="F33" s="120">
        <f t="shared" si="1"/>
        <v>0.2</v>
      </c>
      <c r="G33" s="117"/>
      <c r="H33" s="117"/>
      <c r="I33" s="7"/>
    </row>
    <row r="34" spans="1:13" x14ac:dyDescent="0.3">
      <c r="A34" s="7"/>
      <c r="B34" s="120"/>
      <c r="C34" s="120"/>
      <c r="D34" s="120"/>
      <c r="E34" s="120"/>
      <c r="F34" s="120"/>
      <c r="G34" s="117"/>
      <c r="H34" s="117"/>
      <c r="I34" s="7"/>
    </row>
    <row r="35" spans="1:13" x14ac:dyDescent="0.3">
      <c r="A35" s="7"/>
      <c r="B35" s="117" t="s">
        <v>555</v>
      </c>
      <c r="C35" s="117"/>
      <c r="D35" s="117"/>
      <c r="E35" s="117"/>
      <c r="F35" s="117"/>
      <c r="G35" s="117"/>
      <c r="H35" s="117"/>
      <c r="I35" s="7"/>
      <c r="J35" s="7"/>
      <c r="K35" s="7"/>
      <c r="L35" s="7"/>
    </row>
    <row r="36" spans="1:13" x14ac:dyDescent="0.3">
      <c r="B36" s="117" t="s">
        <v>557</v>
      </c>
      <c r="C36" s="117"/>
      <c r="D36" s="117">
        <f>SUM(D31:D32,E32:E33,F33)/SUM(C30:C31)</f>
        <v>1.6666666666666665</v>
      </c>
      <c r="E36" s="117"/>
      <c r="F36" s="117"/>
      <c r="G36" s="117"/>
      <c r="H36" s="117"/>
      <c r="M36" s="7"/>
    </row>
    <row r="37" spans="1:13" x14ac:dyDescent="0.3">
      <c r="B37" s="117"/>
      <c r="C37" s="117"/>
      <c r="D37" s="117"/>
      <c r="E37" s="117"/>
      <c r="F37" s="117"/>
      <c r="G37" s="117"/>
      <c r="H37" s="117"/>
      <c r="M37" s="7"/>
    </row>
    <row r="38" spans="1:13" x14ac:dyDescent="0.3">
      <c r="B38" s="117" t="s">
        <v>556</v>
      </c>
      <c r="C38" s="117"/>
      <c r="D38" s="117">
        <f>SUM(D31:D33,E32:E33,F33)/SUM(C30:C33)</f>
        <v>1.2</v>
      </c>
      <c r="E38" s="117"/>
      <c r="F38" s="117"/>
      <c r="G38" s="117"/>
      <c r="H38" s="117"/>
      <c r="M38" s="7"/>
    </row>
    <row r="40" spans="1:13" x14ac:dyDescent="0.3">
      <c r="A40" s="6" t="s">
        <v>2</v>
      </c>
      <c r="B40" s="323" t="s">
        <v>144</v>
      </c>
      <c r="C40" s="323"/>
      <c r="D40" s="323"/>
      <c r="E40" s="323"/>
      <c r="F40" s="323"/>
      <c r="G40" s="323"/>
      <c r="H40" s="323"/>
      <c r="I40" s="323"/>
      <c r="J40" s="323"/>
      <c r="K40" s="323"/>
      <c r="L40" s="4"/>
    </row>
    <row r="41" spans="1:13" x14ac:dyDescent="0.3">
      <c r="A41" s="6"/>
      <c r="B41" s="323"/>
      <c r="C41" s="323"/>
      <c r="D41" s="323"/>
      <c r="E41" s="323"/>
      <c r="F41" s="323"/>
      <c r="G41" s="323"/>
      <c r="H41" s="323"/>
      <c r="I41" s="323"/>
      <c r="J41" s="323"/>
      <c r="K41" s="323"/>
      <c r="L41" s="4"/>
    </row>
    <row r="42" spans="1:13" x14ac:dyDescent="0.3">
      <c r="A42" s="3"/>
      <c r="B42" s="3"/>
      <c r="C42" s="3"/>
      <c r="D42" s="3"/>
      <c r="E42" s="3"/>
      <c r="F42" s="3"/>
      <c r="G42" s="4"/>
      <c r="H42" s="4"/>
      <c r="I42" s="4"/>
      <c r="J42" s="4"/>
      <c r="K42" s="4"/>
      <c r="L42" s="4"/>
    </row>
    <row r="43" spans="1:13" x14ac:dyDescent="0.3">
      <c r="A43" s="7"/>
      <c r="B43" s="7"/>
      <c r="C43" s="7"/>
      <c r="D43" s="7"/>
      <c r="E43" s="7"/>
      <c r="F43" s="7"/>
      <c r="G43" s="7"/>
      <c r="H43" s="7"/>
      <c r="I43" s="7"/>
      <c r="J43" s="7"/>
      <c r="K43" s="7"/>
      <c r="L43" s="7"/>
    </row>
    <row r="44" spans="1:13" x14ac:dyDescent="0.3">
      <c r="A44" s="7" t="s">
        <v>1</v>
      </c>
      <c r="B44" s="7"/>
      <c r="C44" s="7"/>
      <c r="D44" s="7"/>
      <c r="E44" s="7"/>
      <c r="F44" s="7"/>
      <c r="G44" s="7"/>
      <c r="H44" s="7"/>
      <c r="I44" s="7"/>
      <c r="J44" s="7"/>
      <c r="K44" s="7"/>
      <c r="L44" s="7"/>
    </row>
    <row r="45" spans="1:13" x14ac:dyDescent="0.3">
      <c r="A45" s="7"/>
      <c r="B45" s="117" t="s">
        <v>558</v>
      </c>
      <c r="C45" s="117"/>
      <c r="D45" s="117"/>
      <c r="E45" s="117"/>
      <c r="F45" s="7"/>
      <c r="G45" s="7"/>
      <c r="H45" s="7"/>
      <c r="I45" s="7"/>
      <c r="J45" s="7"/>
      <c r="K45" s="7"/>
      <c r="L45" s="7"/>
    </row>
    <row r="46" spans="1:13" x14ac:dyDescent="0.3">
      <c r="A46" s="7"/>
      <c r="B46" s="117" t="s">
        <v>559</v>
      </c>
      <c r="C46" s="117"/>
      <c r="D46" s="117"/>
      <c r="E46" s="245">
        <f>0.5*25000</f>
        <v>12500</v>
      </c>
      <c r="F46" s="7"/>
      <c r="G46" s="7"/>
      <c r="H46" s="7"/>
      <c r="I46" s="7"/>
      <c r="J46" s="7"/>
      <c r="K46" s="7"/>
      <c r="L46" s="7"/>
    </row>
    <row r="47" spans="1:13" x14ac:dyDescent="0.3">
      <c r="B47" s="117" t="s">
        <v>560</v>
      </c>
      <c r="C47" s="117"/>
      <c r="D47" s="117"/>
      <c r="E47" s="245">
        <f>25000*1/3</f>
        <v>8333.3333333333339</v>
      </c>
    </row>
    <row r="48" spans="1:13" x14ac:dyDescent="0.3">
      <c r="B48" s="117" t="s">
        <v>561</v>
      </c>
      <c r="C48" s="117"/>
      <c r="D48" s="117"/>
      <c r="E48" s="245">
        <f>25000/6</f>
        <v>4166.666666666667</v>
      </c>
    </row>
    <row r="49" spans="13:14" x14ac:dyDescent="0.3">
      <c r="M49" s="7"/>
      <c r="N49" s="7"/>
    </row>
    <row r="50" spans="13:14" x14ac:dyDescent="0.3">
      <c r="M50" s="7"/>
      <c r="N50" s="7"/>
    </row>
    <row r="51" spans="13:14" x14ac:dyDescent="0.3">
      <c r="M51" s="7"/>
      <c r="N51" s="7"/>
    </row>
  </sheetData>
  <mergeCells count="4">
    <mergeCell ref="A16:K18"/>
    <mergeCell ref="B6:K7"/>
    <mergeCell ref="B40:K41"/>
    <mergeCell ref="C28:F28"/>
  </mergeCells>
  <pageMargins left="0.7" right="0.7" top="0.75" bottom="0.75" header="0.3" footer="0.3"/>
  <pageSetup scale="84"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731D9-BF57-4851-B955-F026B5EC3926}">
  <dimension ref="A1:R64"/>
  <sheetViews>
    <sheetView zoomScaleNormal="100" workbookViewId="0"/>
  </sheetViews>
  <sheetFormatPr defaultColWidth="8.88671875" defaultRowHeight="15.6" x14ac:dyDescent="0.3"/>
  <cols>
    <col min="1" max="1" width="8.88671875" style="1" customWidth="1"/>
    <col min="2" max="2" width="12.6640625" style="1" customWidth="1"/>
    <col min="3" max="5" width="15.33203125" style="1" customWidth="1"/>
    <col min="6" max="6" width="12.6640625" style="1" customWidth="1"/>
    <col min="7" max="7" width="11.21875" style="1" customWidth="1"/>
    <col min="8" max="8" width="11.109375" style="1" customWidth="1"/>
    <col min="9" max="16384" width="8.88671875" style="1"/>
  </cols>
  <sheetData>
    <row r="1" spans="1:12" ht="17.399999999999999" x14ac:dyDescent="0.3">
      <c r="A1" s="2" t="s">
        <v>148</v>
      </c>
      <c r="B1" s="4"/>
      <c r="C1" s="9" t="s">
        <v>10</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149</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x14ac:dyDescent="0.3">
      <c r="A5" s="13"/>
      <c r="B5" s="25"/>
      <c r="C5" s="333" t="s">
        <v>28</v>
      </c>
      <c r="D5" s="342" t="s">
        <v>150</v>
      </c>
      <c r="E5" s="343" t="s">
        <v>151</v>
      </c>
      <c r="F5" s="344"/>
      <c r="G5" s="12"/>
      <c r="H5" s="10"/>
      <c r="I5" s="10"/>
      <c r="J5" s="10"/>
      <c r="K5" s="10"/>
      <c r="L5" s="10"/>
    </row>
    <row r="6" spans="1:12" s="11" customFormat="1" x14ac:dyDescent="0.3">
      <c r="A6" s="13"/>
      <c r="B6" s="59" t="s">
        <v>64</v>
      </c>
      <c r="C6" s="333"/>
      <c r="D6" s="342"/>
      <c r="E6" s="345" t="s">
        <v>152</v>
      </c>
      <c r="F6" s="346"/>
      <c r="G6" s="12"/>
      <c r="H6" s="10"/>
      <c r="I6" s="10"/>
      <c r="J6" s="10"/>
      <c r="K6" s="10"/>
      <c r="L6" s="10"/>
    </row>
    <row r="7" spans="1:12" s="11" customFormat="1" x14ac:dyDescent="0.3">
      <c r="A7" s="13"/>
      <c r="B7" s="26" t="s">
        <v>65</v>
      </c>
      <c r="C7" s="333"/>
      <c r="D7" s="324"/>
      <c r="E7" s="26" t="s">
        <v>153</v>
      </c>
      <c r="F7" s="26" t="s">
        <v>154</v>
      </c>
      <c r="G7" s="12"/>
      <c r="H7" s="10"/>
      <c r="I7" s="10"/>
      <c r="J7" s="10"/>
      <c r="K7" s="10"/>
      <c r="L7" s="10"/>
    </row>
    <row r="8" spans="1:12" s="11" customFormat="1" x14ac:dyDescent="0.3">
      <c r="A8" s="13"/>
      <c r="B8" s="17">
        <v>2014</v>
      </c>
      <c r="C8" s="20">
        <v>8184</v>
      </c>
      <c r="D8" s="20">
        <v>10004008</v>
      </c>
      <c r="E8" s="20">
        <v>10004008</v>
      </c>
      <c r="F8" s="15">
        <v>347</v>
      </c>
      <c r="G8" s="12"/>
      <c r="H8" s="10"/>
      <c r="I8" s="10"/>
      <c r="J8" s="10"/>
      <c r="K8" s="10"/>
      <c r="L8" s="10"/>
    </row>
    <row r="9" spans="1:12" s="11" customFormat="1" x14ac:dyDescent="0.3">
      <c r="A9" s="12"/>
      <c r="B9" s="15">
        <v>2015</v>
      </c>
      <c r="C9" s="20">
        <v>8526</v>
      </c>
      <c r="D9" s="20">
        <v>10840679</v>
      </c>
      <c r="E9" s="20">
        <v>10924953</v>
      </c>
      <c r="F9" s="15">
        <v>364</v>
      </c>
      <c r="G9" s="12"/>
      <c r="H9" s="10"/>
      <c r="I9" s="10"/>
      <c r="J9" s="10"/>
      <c r="K9" s="10"/>
      <c r="L9" s="10"/>
    </row>
    <row r="10" spans="1:12" s="11" customFormat="1" x14ac:dyDescent="0.3">
      <c r="A10" s="12"/>
      <c r="B10" s="15">
        <v>2016</v>
      </c>
      <c r="C10" s="20">
        <v>8548</v>
      </c>
      <c r="D10" s="20">
        <v>11298364</v>
      </c>
      <c r="E10" s="20">
        <v>11580235</v>
      </c>
      <c r="F10" s="15">
        <v>367</v>
      </c>
      <c r="G10" s="12"/>
      <c r="H10" s="10"/>
      <c r="I10" s="10"/>
      <c r="J10" s="10"/>
      <c r="K10" s="10"/>
      <c r="L10" s="10"/>
    </row>
    <row r="11" spans="1:12" s="11" customFormat="1" x14ac:dyDescent="0.3">
      <c r="A11" s="13"/>
      <c r="B11" s="15">
        <v>2017</v>
      </c>
      <c r="C11" s="20">
        <v>8903</v>
      </c>
      <c r="D11" s="20">
        <v>12069806</v>
      </c>
      <c r="E11" s="20">
        <v>12667017</v>
      </c>
      <c r="F11" s="15">
        <v>384</v>
      </c>
      <c r="G11" s="12"/>
      <c r="H11" s="10"/>
      <c r="I11" s="10"/>
      <c r="J11" s="10"/>
      <c r="K11" s="10"/>
      <c r="L11" s="10"/>
    </row>
    <row r="12" spans="1:12" s="11" customFormat="1" x14ac:dyDescent="0.3">
      <c r="A12" s="12"/>
      <c r="B12" s="15">
        <v>2018</v>
      </c>
      <c r="C12" s="20">
        <v>9147</v>
      </c>
      <c r="D12" s="20">
        <v>12334362</v>
      </c>
      <c r="E12" s="20">
        <v>13668559</v>
      </c>
      <c r="F12" s="15">
        <v>399</v>
      </c>
      <c r="G12" s="12"/>
      <c r="H12" s="10"/>
      <c r="I12" s="10"/>
      <c r="J12" s="10"/>
      <c r="K12" s="10"/>
      <c r="L12" s="10"/>
    </row>
    <row r="13" spans="1:12" s="11" customFormat="1" x14ac:dyDescent="0.3">
      <c r="A13" s="12"/>
      <c r="B13" s="15">
        <v>2019</v>
      </c>
      <c r="C13" s="20">
        <v>9365</v>
      </c>
      <c r="D13" s="20">
        <v>11346431</v>
      </c>
      <c r="E13" s="20">
        <v>14692016</v>
      </c>
      <c r="F13" s="15">
        <v>407</v>
      </c>
      <c r="G13" s="12"/>
      <c r="H13" s="10"/>
      <c r="I13" s="10"/>
      <c r="J13" s="10"/>
      <c r="K13" s="10"/>
      <c r="L13" s="10"/>
    </row>
    <row r="14" spans="1:12" x14ac:dyDescent="0.3">
      <c r="A14" s="12"/>
      <c r="B14" s="15">
        <v>2020</v>
      </c>
      <c r="C14" s="20">
        <v>9542</v>
      </c>
      <c r="D14" s="20">
        <v>5778161</v>
      </c>
      <c r="E14" s="20">
        <v>16270027</v>
      </c>
      <c r="F14" s="15">
        <v>436</v>
      </c>
      <c r="G14" s="12"/>
      <c r="H14" s="9"/>
      <c r="I14" s="9"/>
      <c r="J14" s="9"/>
      <c r="K14" s="9"/>
      <c r="L14" s="9"/>
    </row>
    <row r="15" spans="1:12" x14ac:dyDescent="0.3">
      <c r="A15" s="12"/>
      <c r="B15" s="12"/>
      <c r="C15" s="12"/>
      <c r="D15" s="12"/>
      <c r="E15" s="12"/>
      <c r="F15" s="12"/>
      <c r="G15" s="12"/>
      <c r="H15" s="9"/>
      <c r="I15" s="9"/>
      <c r="J15" s="9"/>
      <c r="K15" s="9"/>
      <c r="L15" s="9"/>
    </row>
    <row r="16" spans="1:12" x14ac:dyDescent="0.3">
      <c r="A16" s="60" t="s">
        <v>160</v>
      </c>
      <c r="B16" s="9" t="s">
        <v>155</v>
      </c>
      <c r="C16" s="9"/>
      <c r="D16" s="9"/>
      <c r="E16" s="9"/>
      <c r="F16" s="9"/>
      <c r="G16" s="9"/>
      <c r="H16" s="9"/>
      <c r="I16" s="9"/>
      <c r="J16" s="9"/>
      <c r="K16" s="9"/>
      <c r="L16" s="9"/>
    </row>
    <row r="17" spans="1:18" x14ac:dyDescent="0.3">
      <c r="A17" s="9"/>
      <c r="B17" s="9" t="s">
        <v>343</v>
      </c>
      <c r="C17" s="9"/>
      <c r="D17" s="104">
        <v>4.7E-2</v>
      </c>
      <c r="E17" s="9"/>
      <c r="F17" s="9"/>
      <c r="G17" s="9"/>
      <c r="H17" s="9"/>
      <c r="I17" s="9"/>
      <c r="J17" s="9"/>
      <c r="K17" s="9"/>
      <c r="L17" s="9"/>
    </row>
    <row r="18" spans="1:18" x14ac:dyDescent="0.3">
      <c r="A18" s="9"/>
      <c r="B18" s="9" t="s">
        <v>344</v>
      </c>
      <c r="C18" s="9"/>
      <c r="D18" s="104">
        <v>5.0000000000000001E-3</v>
      </c>
      <c r="E18" s="9"/>
      <c r="F18" s="9"/>
      <c r="G18" s="9"/>
      <c r="H18" s="9"/>
      <c r="I18" s="9"/>
      <c r="J18" s="9"/>
      <c r="K18" s="9"/>
      <c r="L18" s="9"/>
    </row>
    <row r="19" spans="1:18" x14ac:dyDescent="0.3">
      <c r="A19" s="60" t="s">
        <v>160</v>
      </c>
      <c r="B19" s="323" t="s">
        <v>156</v>
      </c>
      <c r="C19" s="323"/>
      <c r="D19" s="323"/>
      <c r="E19" s="323"/>
      <c r="F19" s="323"/>
      <c r="G19" s="323"/>
      <c r="H19" s="323"/>
      <c r="I19" s="323"/>
      <c r="J19" s="323"/>
      <c r="K19" s="323"/>
      <c r="L19" s="105"/>
    </row>
    <row r="20" spans="1:18" x14ac:dyDescent="0.3">
      <c r="A20" s="9"/>
      <c r="B20" s="323"/>
      <c r="C20" s="323"/>
      <c r="D20" s="323"/>
      <c r="E20" s="323"/>
      <c r="F20" s="323"/>
      <c r="G20" s="323"/>
      <c r="H20" s="323"/>
      <c r="I20" s="323"/>
      <c r="J20" s="323"/>
      <c r="K20" s="323"/>
      <c r="L20" s="9"/>
    </row>
    <row r="21" spans="1:18" x14ac:dyDescent="0.3">
      <c r="A21" s="9"/>
      <c r="B21" s="9"/>
      <c r="C21" s="9"/>
      <c r="D21" s="9"/>
      <c r="E21" s="9"/>
      <c r="F21" s="9"/>
      <c r="G21" s="9"/>
      <c r="H21" s="9"/>
      <c r="I21" s="9"/>
      <c r="J21" s="9"/>
      <c r="K21" s="9"/>
      <c r="L21" s="9"/>
    </row>
    <row r="23" spans="1:18" x14ac:dyDescent="0.3">
      <c r="A23" s="6" t="s">
        <v>4</v>
      </c>
      <c r="B23" s="323" t="s">
        <v>157</v>
      </c>
      <c r="C23" s="323"/>
      <c r="D23" s="323"/>
      <c r="E23" s="323"/>
      <c r="F23" s="323"/>
      <c r="G23" s="323"/>
      <c r="H23" s="323"/>
      <c r="I23" s="323"/>
      <c r="J23" s="323"/>
      <c r="K23" s="323"/>
      <c r="L23" s="4"/>
      <c r="M23" s="8"/>
      <c r="N23" s="8"/>
      <c r="O23" s="8"/>
      <c r="P23" s="8"/>
      <c r="Q23" s="8"/>
      <c r="R23" s="8"/>
    </row>
    <row r="24" spans="1:18" x14ac:dyDescent="0.3">
      <c r="A24" s="6"/>
      <c r="B24" s="323"/>
      <c r="C24" s="323"/>
      <c r="D24" s="323"/>
      <c r="E24" s="323"/>
      <c r="F24" s="323"/>
      <c r="G24" s="323"/>
      <c r="H24" s="323"/>
      <c r="I24" s="323"/>
      <c r="J24" s="323"/>
      <c r="K24" s="323"/>
      <c r="L24" s="4"/>
      <c r="M24" s="8"/>
      <c r="N24" s="8"/>
      <c r="O24" s="8"/>
      <c r="P24" s="8"/>
      <c r="Q24" s="8"/>
      <c r="R24" s="8"/>
    </row>
    <row r="25" spans="1:18" x14ac:dyDescent="0.3">
      <c r="A25" s="3"/>
      <c r="B25" s="3"/>
      <c r="C25" s="3"/>
      <c r="D25" s="3"/>
      <c r="E25" s="3"/>
      <c r="F25" s="3"/>
      <c r="G25" s="4"/>
      <c r="H25" s="4"/>
      <c r="I25" s="4"/>
      <c r="J25" s="4"/>
      <c r="K25" s="4"/>
      <c r="L25" s="4"/>
    </row>
    <row r="26" spans="1:18" x14ac:dyDescent="0.3">
      <c r="A26" s="7"/>
      <c r="B26" s="7"/>
      <c r="C26" s="7"/>
      <c r="D26" s="7"/>
      <c r="E26" s="7"/>
      <c r="F26" s="7"/>
      <c r="G26" s="7"/>
      <c r="H26" s="7"/>
      <c r="I26" s="7"/>
      <c r="J26" s="7"/>
      <c r="K26" s="7"/>
      <c r="L26" s="7"/>
      <c r="M26" s="7"/>
    </row>
    <row r="27" spans="1:18" x14ac:dyDescent="0.3">
      <c r="A27" s="7" t="s">
        <v>1</v>
      </c>
      <c r="B27" s="7"/>
      <c r="C27" s="7"/>
      <c r="D27" s="7"/>
      <c r="E27" s="7"/>
      <c r="F27" s="7"/>
      <c r="G27" s="7"/>
      <c r="H27" s="7"/>
      <c r="I27" s="7"/>
      <c r="J27" s="7"/>
      <c r="K27" s="7"/>
      <c r="L27" s="7"/>
      <c r="M27" s="7"/>
      <c r="N27" s="8"/>
    </row>
    <row r="28" spans="1:18" ht="46.8" x14ac:dyDescent="0.3">
      <c r="A28" s="7"/>
      <c r="B28" s="190" t="s">
        <v>164</v>
      </c>
      <c r="C28" s="189" t="s">
        <v>607</v>
      </c>
      <c r="D28" s="189" t="s">
        <v>608</v>
      </c>
      <c r="E28" s="190" t="s">
        <v>614</v>
      </c>
      <c r="F28" s="190" t="s">
        <v>615</v>
      </c>
      <c r="G28" s="190" t="s">
        <v>609</v>
      </c>
      <c r="H28" s="190" t="s">
        <v>610</v>
      </c>
      <c r="I28" s="190" t="s">
        <v>611</v>
      </c>
      <c r="N28" s="8"/>
    </row>
    <row r="29" spans="1:18" x14ac:dyDescent="0.3">
      <c r="A29" s="7"/>
      <c r="B29" s="240">
        <v>2014</v>
      </c>
      <c r="C29" s="280">
        <f t="shared" ref="C29:C35" si="0">F8/C8</f>
        <v>4.2399804496578687E-2</v>
      </c>
      <c r="D29" s="192">
        <f t="shared" ref="D29:D35" si="1">E8/F8</f>
        <v>28829.994236311239</v>
      </c>
      <c r="E29" s="280">
        <f t="shared" ref="E29:E33" si="2">E30*(1+$D$18)</f>
        <v>1.0303775093937648</v>
      </c>
      <c r="F29" s="280">
        <f t="shared" ref="F29:F33" si="3">F30*(1+$D$17)</f>
        <v>1.3172860420642567</v>
      </c>
      <c r="G29" s="281">
        <v>1.06</v>
      </c>
      <c r="H29" s="280">
        <f>C29*E29*G29</f>
        <v>4.6309073253325332E-2</v>
      </c>
      <c r="I29" s="192">
        <f t="shared" ref="I29:I35" si="4">D29*F29</f>
        <v>37977.349000285765</v>
      </c>
      <c r="N29" s="8"/>
      <c r="O29" s="280"/>
      <c r="P29" s="192"/>
    </row>
    <row r="30" spans="1:18" x14ac:dyDescent="0.3">
      <c r="A30" s="7"/>
      <c r="B30" s="240">
        <v>2015</v>
      </c>
      <c r="C30" s="280">
        <f t="shared" si="0"/>
        <v>4.2692939244663386E-2</v>
      </c>
      <c r="D30" s="192">
        <f t="shared" si="1"/>
        <v>30013.607142857141</v>
      </c>
      <c r="E30" s="280">
        <f t="shared" si="2"/>
        <v>1.0252512531281244</v>
      </c>
      <c r="F30" s="280">
        <f t="shared" si="3"/>
        <v>1.2581528577500065</v>
      </c>
      <c r="G30" s="281">
        <f>G29</f>
        <v>1.06</v>
      </c>
      <c r="H30" s="280">
        <f t="shared" ref="H30:H35" si="5">C30*E30*G30</f>
        <v>4.6397248827932863E-2</v>
      </c>
      <c r="I30" s="192">
        <f t="shared" si="4"/>
        <v>37761.70559817172</v>
      </c>
      <c r="N30" s="8"/>
      <c r="O30" s="280"/>
      <c r="P30" s="192"/>
    </row>
    <row r="31" spans="1:18" x14ac:dyDescent="0.3">
      <c r="A31" s="7"/>
      <c r="B31" s="240">
        <v>2016</v>
      </c>
      <c r="C31" s="280">
        <f t="shared" si="0"/>
        <v>4.2934019653720165E-2</v>
      </c>
      <c r="D31" s="192">
        <f t="shared" si="1"/>
        <v>31553.773841961854</v>
      </c>
      <c r="E31" s="280">
        <f t="shared" si="2"/>
        <v>1.0201505006249996</v>
      </c>
      <c r="F31" s="280">
        <f t="shared" si="3"/>
        <v>1.2016741716809995</v>
      </c>
      <c r="G31" s="281">
        <f t="shared" ref="G31:G34" si="6">G30</f>
        <v>1.06</v>
      </c>
      <c r="H31" s="280">
        <f t="shared" si="5"/>
        <v>4.6427111342201371E-2</v>
      </c>
      <c r="I31" s="192">
        <f t="shared" si="4"/>
        <v>37917.355044949101</v>
      </c>
      <c r="N31" s="8"/>
      <c r="O31" s="280"/>
      <c r="P31" s="192"/>
    </row>
    <row r="32" spans="1:18" x14ac:dyDescent="0.3">
      <c r="A32" s="7"/>
      <c r="B32" s="240">
        <v>2017</v>
      </c>
      <c r="C32" s="280">
        <f t="shared" si="0"/>
        <v>4.3131528698191618E-2</v>
      </c>
      <c r="D32" s="192">
        <f t="shared" si="1"/>
        <v>32987.0234375</v>
      </c>
      <c r="E32" s="280">
        <f t="shared" si="2"/>
        <v>1.0150751249999996</v>
      </c>
      <c r="F32" s="280">
        <f t="shared" si="3"/>
        <v>1.1477308229999996</v>
      </c>
      <c r="G32" s="281">
        <f t="shared" si="6"/>
        <v>1.06</v>
      </c>
      <c r="H32" s="280">
        <f t="shared" si="5"/>
        <v>4.6408646397843402E-2</v>
      </c>
      <c r="I32" s="192">
        <f t="shared" si="4"/>
        <v>37860.223558242149</v>
      </c>
      <c r="N32" s="8"/>
      <c r="O32" s="280"/>
      <c r="P32" s="192"/>
    </row>
    <row r="33" spans="1:16" x14ac:dyDescent="0.3">
      <c r="A33" s="7"/>
      <c r="B33" s="240">
        <v>2018</v>
      </c>
      <c r="C33" s="280">
        <f t="shared" si="0"/>
        <v>4.3620859298130532E-2</v>
      </c>
      <c r="D33" s="192">
        <f t="shared" si="1"/>
        <v>34257.040100250626</v>
      </c>
      <c r="E33" s="280">
        <f t="shared" si="2"/>
        <v>1.0100249999999997</v>
      </c>
      <c r="F33" s="280">
        <f t="shared" si="3"/>
        <v>1.0962089999999998</v>
      </c>
      <c r="G33" s="281">
        <f t="shared" si="6"/>
        <v>1.06</v>
      </c>
      <c r="H33" s="280">
        <f t="shared" si="5"/>
        <v>4.6701647917349938E-2</v>
      </c>
      <c r="I33" s="192">
        <f t="shared" si="4"/>
        <v>37552.875671255628</v>
      </c>
      <c r="N33" s="8"/>
      <c r="O33" s="280"/>
      <c r="P33" s="192"/>
    </row>
    <row r="34" spans="1:16" x14ac:dyDescent="0.3">
      <c r="A34" s="7"/>
      <c r="B34" s="240">
        <v>2019</v>
      </c>
      <c r="C34" s="280">
        <f t="shared" si="0"/>
        <v>4.3459690336358783E-2</v>
      </c>
      <c r="D34" s="192">
        <f t="shared" si="1"/>
        <v>36098.319410319411</v>
      </c>
      <c r="E34" s="280">
        <f>E35*(1+$D$18)</f>
        <v>1.0049999999999999</v>
      </c>
      <c r="F34" s="280">
        <f>F35*(1+$D$17)</f>
        <v>1.0469999999999999</v>
      </c>
      <c r="G34" s="281">
        <f t="shared" si="6"/>
        <v>1.06</v>
      </c>
      <c r="H34" s="280">
        <f t="shared" si="5"/>
        <v>4.6297608115323005E-2</v>
      </c>
      <c r="I34" s="192">
        <f t="shared" si="4"/>
        <v>37794.940422604421</v>
      </c>
      <c r="N34" s="8"/>
      <c r="O34" s="280"/>
      <c r="P34" s="192"/>
    </row>
    <row r="35" spans="1:16" x14ac:dyDescent="0.3">
      <c r="B35" s="189">
        <v>2020</v>
      </c>
      <c r="C35" s="282">
        <f t="shared" si="0"/>
        <v>4.5692726891636976E-2</v>
      </c>
      <c r="D35" s="193">
        <f t="shared" si="1"/>
        <v>37316.575688073397</v>
      </c>
      <c r="E35" s="282">
        <v>1</v>
      </c>
      <c r="F35" s="282">
        <v>1</v>
      </c>
      <c r="G35" s="283">
        <v>1</v>
      </c>
      <c r="H35" s="282">
        <f t="shared" si="5"/>
        <v>4.5692726891636976E-2</v>
      </c>
      <c r="I35" s="193">
        <f t="shared" si="4"/>
        <v>37316.575688073397</v>
      </c>
      <c r="N35" s="8"/>
      <c r="O35" s="280"/>
      <c r="P35" s="192"/>
    </row>
    <row r="36" spans="1:16" x14ac:dyDescent="0.3">
      <c r="F36" s="330" t="s">
        <v>612</v>
      </c>
      <c r="G36" s="330"/>
      <c r="H36" s="280">
        <f>AVERAGE(H29:H35)</f>
        <v>4.6319151820801832E-2</v>
      </c>
      <c r="I36" s="192">
        <f>AVERAGE(I29:I35)</f>
        <v>37740.146426226027</v>
      </c>
      <c r="N36" s="8"/>
      <c r="O36" s="280"/>
      <c r="P36" s="192"/>
    </row>
    <row r="37" spans="1:16" x14ac:dyDescent="0.3">
      <c r="F37" s="330" t="s">
        <v>613</v>
      </c>
      <c r="G37" s="330"/>
      <c r="H37" s="280">
        <f>AVERAGE(H29:H34)</f>
        <v>4.6423555975662646E-2</v>
      </c>
      <c r="I37" s="192">
        <f>AVERAGE(I29:I34)</f>
        <v>37810.741549251463</v>
      </c>
      <c r="N37" s="8"/>
      <c r="O37" s="280"/>
      <c r="P37" s="192"/>
    </row>
    <row r="38" spans="1:16" x14ac:dyDescent="0.3">
      <c r="B38" s="1" t="s">
        <v>618</v>
      </c>
      <c r="D38" s="284">
        <f>H36</f>
        <v>4.6319151820801832E-2</v>
      </c>
      <c r="E38" s="1" t="s">
        <v>616</v>
      </c>
      <c r="I38" s="8"/>
      <c r="N38" s="8"/>
    </row>
    <row r="39" spans="1:16" x14ac:dyDescent="0.3">
      <c r="B39" s="1" t="s">
        <v>619</v>
      </c>
      <c r="D39" s="225">
        <f>I36</f>
        <v>37740.146426226027</v>
      </c>
      <c r="E39" s="1" t="s">
        <v>617</v>
      </c>
      <c r="M39" s="8"/>
      <c r="N39" s="8"/>
    </row>
    <row r="40" spans="1:16" x14ac:dyDescent="0.3">
      <c r="M40" s="8"/>
      <c r="N40" s="8"/>
    </row>
    <row r="41" spans="1:16" x14ac:dyDescent="0.3">
      <c r="B41" s="1" t="s">
        <v>620</v>
      </c>
      <c r="D41" s="225">
        <f>D39*D38*C14</f>
        <v>16680289.78055506</v>
      </c>
      <c r="M41" s="8"/>
      <c r="N41" s="8"/>
    </row>
    <row r="42" spans="1:16" x14ac:dyDescent="0.3">
      <c r="M42" s="8"/>
      <c r="N42" s="8"/>
    </row>
    <row r="44" spans="1:16" x14ac:dyDescent="0.3">
      <c r="A44" s="6" t="s">
        <v>5</v>
      </c>
      <c r="B44" s="323" t="s">
        <v>158</v>
      </c>
      <c r="C44" s="323"/>
      <c r="D44" s="323"/>
      <c r="E44" s="323"/>
      <c r="F44" s="323"/>
      <c r="G44" s="323"/>
      <c r="H44" s="323"/>
      <c r="I44" s="323"/>
      <c r="J44" s="323"/>
      <c r="K44" s="323"/>
      <c r="L44" s="4"/>
    </row>
    <row r="45" spans="1:16" x14ac:dyDescent="0.3">
      <c r="A45" s="6"/>
      <c r="B45" s="323"/>
      <c r="C45" s="323"/>
      <c r="D45" s="323"/>
      <c r="E45" s="323"/>
      <c r="F45" s="323"/>
      <c r="G45" s="323"/>
      <c r="H45" s="323"/>
      <c r="I45" s="323"/>
      <c r="J45" s="323"/>
      <c r="K45" s="323"/>
      <c r="L45" s="4"/>
    </row>
    <row r="46" spans="1:16" x14ac:dyDescent="0.3">
      <c r="A46" s="3"/>
      <c r="B46" s="3"/>
      <c r="C46" s="3"/>
      <c r="D46" s="3"/>
      <c r="E46" s="3"/>
      <c r="F46" s="3"/>
      <c r="G46" s="4"/>
      <c r="H46" s="4"/>
      <c r="I46" s="4"/>
      <c r="J46" s="4"/>
      <c r="K46" s="4"/>
      <c r="L46" s="4"/>
    </row>
    <row r="47" spans="1:16" x14ac:dyDescent="0.3">
      <c r="A47" s="7"/>
      <c r="B47" s="7"/>
      <c r="C47" s="7"/>
      <c r="D47" s="7"/>
      <c r="E47" s="7"/>
      <c r="F47" s="7"/>
      <c r="G47" s="7"/>
      <c r="H47" s="7"/>
      <c r="I47" s="7"/>
      <c r="J47" s="7"/>
      <c r="K47" s="7"/>
      <c r="L47" s="7"/>
    </row>
    <row r="48" spans="1:16" x14ac:dyDescent="0.3">
      <c r="A48" s="7" t="s">
        <v>1</v>
      </c>
      <c r="B48" s="7"/>
      <c r="C48" s="7"/>
      <c r="D48" s="7"/>
      <c r="E48" s="7"/>
      <c r="F48" s="7"/>
      <c r="G48" s="7"/>
      <c r="H48" s="7"/>
      <c r="I48" s="7"/>
      <c r="J48" s="7"/>
      <c r="K48" s="7"/>
      <c r="L48" s="7"/>
    </row>
    <row r="49" spans="1:14" x14ac:dyDescent="0.3">
      <c r="A49" s="7"/>
      <c r="B49" s="7" t="s">
        <v>621</v>
      </c>
      <c r="C49" s="7"/>
      <c r="D49" s="285">
        <f>E14-D14</f>
        <v>10491866</v>
      </c>
      <c r="E49" s="7"/>
      <c r="F49" s="7"/>
      <c r="G49" s="7"/>
      <c r="H49" s="7"/>
      <c r="I49" s="7"/>
      <c r="J49" s="7"/>
      <c r="K49" s="7"/>
      <c r="L49" s="7"/>
    </row>
    <row r="50" spans="1:14" x14ac:dyDescent="0.3">
      <c r="A50" s="7"/>
      <c r="B50" s="7" t="s">
        <v>622</v>
      </c>
      <c r="C50" s="7"/>
      <c r="D50" s="285">
        <f>D41-D14</f>
        <v>10902128.78055506</v>
      </c>
      <c r="E50" s="7"/>
      <c r="F50" s="7"/>
      <c r="G50" s="7"/>
      <c r="H50" s="7"/>
      <c r="I50" s="7"/>
      <c r="J50" s="7"/>
      <c r="K50" s="7"/>
      <c r="L50" s="7"/>
    </row>
    <row r="51" spans="1:14" x14ac:dyDescent="0.3">
      <c r="B51" s="1" t="s">
        <v>623</v>
      </c>
      <c r="D51" s="287">
        <f>D50/D49-1</f>
        <v>3.9102937509405855E-2</v>
      </c>
      <c r="M51" s="7"/>
    </row>
    <row r="53" spans="1:14" x14ac:dyDescent="0.3">
      <c r="A53" s="6" t="s">
        <v>0</v>
      </c>
      <c r="B53" s="323" t="s">
        <v>159</v>
      </c>
      <c r="C53" s="323"/>
      <c r="D53" s="323"/>
      <c r="E53" s="323"/>
      <c r="F53" s="323"/>
      <c r="G53" s="323"/>
      <c r="H53" s="323"/>
      <c r="I53" s="323"/>
      <c r="J53" s="323"/>
      <c r="K53" s="323"/>
      <c r="L53" s="4"/>
    </row>
    <row r="54" spans="1:14" x14ac:dyDescent="0.3">
      <c r="A54" s="6"/>
      <c r="B54" s="323"/>
      <c r="C54" s="323"/>
      <c r="D54" s="323"/>
      <c r="E54" s="323"/>
      <c r="F54" s="323"/>
      <c r="G54" s="323"/>
      <c r="H54" s="323"/>
      <c r="I54" s="323"/>
      <c r="J54" s="323"/>
      <c r="K54" s="323"/>
      <c r="L54" s="4"/>
    </row>
    <row r="55" spans="1:14" x14ac:dyDescent="0.3">
      <c r="A55" s="3"/>
      <c r="B55" s="3"/>
      <c r="C55" s="3"/>
      <c r="D55" s="3"/>
      <c r="E55" s="3"/>
      <c r="F55" s="3"/>
      <c r="G55" s="4"/>
      <c r="H55" s="4"/>
      <c r="I55" s="4"/>
      <c r="J55" s="4"/>
      <c r="K55" s="4"/>
      <c r="L55" s="4"/>
    </row>
    <row r="56" spans="1:14" x14ac:dyDescent="0.3">
      <c r="A56" s="7"/>
      <c r="B56" s="7"/>
      <c r="C56" s="7"/>
      <c r="D56" s="7"/>
      <c r="E56" s="7"/>
      <c r="F56" s="7"/>
      <c r="G56" s="7"/>
      <c r="H56" s="7"/>
      <c r="I56" s="7"/>
      <c r="J56" s="7"/>
      <c r="K56" s="7"/>
      <c r="L56" s="7"/>
    </row>
    <row r="57" spans="1:14" x14ac:dyDescent="0.3">
      <c r="A57" s="7" t="s">
        <v>1</v>
      </c>
      <c r="B57" s="7"/>
      <c r="C57" s="7"/>
      <c r="D57" s="7"/>
      <c r="E57" s="7"/>
      <c r="F57" s="7"/>
      <c r="G57" s="7"/>
      <c r="H57" s="7"/>
      <c r="I57" s="7"/>
      <c r="J57" s="7"/>
      <c r="K57" s="7"/>
      <c r="L57" s="7"/>
    </row>
    <row r="58" spans="1:14" x14ac:dyDescent="0.3">
      <c r="A58" s="7"/>
      <c r="B58" s="288" t="s">
        <v>416</v>
      </c>
      <c r="C58" s="288"/>
      <c r="D58" s="7"/>
      <c r="E58" s="7"/>
      <c r="F58" s="7"/>
      <c r="G58" s="7"/>
      <c r="H58" s="7"/>
      <c r="I58" s="7"/>
      <c r="J58" s="7"/>
      <c r="K58" s="7"/>
      <c r="L58" s="7"/>
    </row>
    <row r="59" spans="1:14" x14ac:dyDescent="0.3">
      <c r="A59" s="7"/>
      <c r="B59" s="288" t="s">
        <v>624</v>
      </c>
      <c r="C59" s="11"/>
      <c r="D59" s="7"/>
      <c r="E59" s="7"/>
      <c r="F59" s="7"/>
      <c r="G59" s="7"/>
      <c r="H59" s="7"/>
      <c r="I59" s="7"/>
      <c r="J59" s="7"/>
      <c r="K59" s="7"/>
      <c r="L59" s="7"/>
    </row>
    <row r="60" spans="1:14" x14ac:dyDescent="0.3">
      <c r="B60" s="288" t="s">
        <v>625</v>
      </c>
      <c r="C60" s="11"/>
    </row>
    <row r="61" spans="1:14" x14ac:dyDescent="0.3">
      <c r="B61" s="11" t="s">
        <v>626</v>
      </c>
      <c r="C61" s="11"/>
    </row>
    <row r="62" spans="1:14" x14ac:dyDescent="0.3">
      <c r="C62" s="286">
        <f>D41/E14-1</f>
        <v>2.5215863535755556E-2</v>
      </c>
      <c r="D62" s="1" t="s">
        <v>627</v>
      </c>
      <c r="M62" s="7"/>
      <c r="N62" s="7"/>
    </row>
    <row r="63" spans="1:14" x14ac:dyDescent="0.3">
      <c r="M63" s="7"/>
      <c r="N63" s="7"/>
    </row>
    <row r="64" spans="1:14" x14ac:dyDescent="0.3">
      <c r="M64" s="7"/>
      <c r="N64" s="7"/>
    </row>
  </sheetData>
  <mergeCells count="10">
    <mergeCell ref="B53:K54"/>
    <mergeCell ref="B19:K20"/>
    <mergeCell ref="C5:C7"/>
    <mergeCell ref="D5:D7"/>
    <mergeCell ref="E5:F5"/>
    <mergeCell ref="E6:F6"/>
    <mergeCell ref="B44:K45"/>
    <mergeCell ref="B23:K24"/>
    <mergeCell ref="F36:G36"/>
    <mergeCell ref="F37:G37"/>
  </mergeCells>
  <pageMargins left="0.7" right="0.7" top="0.75" bottom="0.75" header="0.3" footer="0.3"/>
  <pageSetup scale="68"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B082C-B3CF-4AC6-8715-A7CC78F5692F}">
  <dimension ref="A1:L18"/>
  <sheetViews>
    <sheetView zoomScaleNormal="100" workbookViewId="0"/>
  </sheetViews>
  <sheetFormatPr defaultColWidth="8.88671875" defaultRowHeight="15.6" x14ac:dyDescent="0.3"/>
  <cols>
    <col min="1" max="1" width="8.88671875" style="1" customWidth="1"/>
    <col min="2" max="2" width="12.5546875" style="1" customWidth="1"/>
    <col min="3" max="3" width="8.88671875" style="1" customWidth="1"/>
    <col min="4" max="4" width="11.109375" style="1" customWidth="1"/>
    <col min="5" max="8" width="17.6640625" style="1" customWidth="1"/>
    <col min="9" max="16384" width="8.88671875" style="1"/>
  </cols>
  <sheetData>
    <row r="1" spans="1:12" ht="17.399999999999999" x14ac:dyDescent="0.3">
      <c r="A1" s="2" t="s">
        <v>161</v>
      </c>
      <c r="B1" s="4"/>
      <c r="C1" s="9" t="s">
        <v>12</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23" t="s">
        <v>162</v>
      </c>
      <c r="B3" s="4"/>
      <c r="C3" s="4"/>
      <c r="D3" s="4"/>
      <c r="E3" s="4"/>
      <c r="F3" s="4"/>
      <c r="G3" s="4"/>
      <c r="H3" s="9"/>
      <c r="I3" s="9"/>
      <c r="J3" s="9"/>
      <c r="K3" s="9"/>
      <c r="L3" s="9"/>
    </row>
    <row r="4" spans="1:12" ht="16.2" x14ac:dyDescent="0.35">
      <c r="A4" s="23"/>
      <c r="B4" s="4"/>
      <c r="C4" s="4"/>
      <c r="D4" s="4"/>
      <c r="E4" s="4"/>
      <c r="F4" s="4"/>
      <c r="G4" s="4"/>
      <c r="H4" s="9"/>
      <c r="I4" s="9"/>
      <c r="J4" s="9"/>
      <c r="K4" s="9"/>
      <c r="L4" s="9"/>
    </row>
    <row r="5" spans="1:12" x14ac:dyDescent="0.3">
      <c r="A5" s="61" t="s">
        <v>163</v>
      </c>
      <c r="B5" s="4"/>
      <c r="C5" s="4"/>
      <c r="D5" s="4"/>
      <c r="E5" s="4"/>
      <c r="F5" s="4"/>
      <c r="G5" s="4"/>
      <c r="H5" s="9"/>
      <c r="I5" s="9"/>
      <c r="J5" s="9"/>
      <c r="K5" s="9"/>
      <c r="L5" s="9"/>
    </row>
    <row r="6" spans="1:12" ht="16.2" x14ac:dyDescent="0.35">
      <c r="A6" s="23"/>
      <c r="B6" s="4"/>
      <c r="C6" s="4"/>
      <c r="D6" s="4"/>
      <c r="E6" s="4"/>
      <c r="F6" s="4"/>
      <c r="G6" s="4"/>
      <c r="H6" s="9"/>
      <c r="I6" s="9"/>
      <c r="J6" s="9"/>
      <c r="K6" s="9"/>
      <c r="L6" s="9"/>
    </row>
    <row r="7" spans="1:12" ht="16.2" x14ac:dyDescent="0.35">
      <c r="A7" s="23"/>
      <c r="B7" s="347" t="s">
        <v>164</v>
      </c>
      <c r="C7" s="347" t="s">
        <v>171</v>
      </c>
      <c r="D7" s="347" t="s">
        <v>165</v>
      </c>
      <c r="E7" s="348" t="s">
        <v>166</v>
      </c>
      <c r="F7" s="348"/>
      <c r="G7" s="348"/>
      <c r="H7" s="348"/>
      <c r="I7" s="9"/>
      <c r="J7" s="9"/>
      <c r="K7" s="9"/>
      <c r="L7" s="9"/>
    </row>
    <row r="8" spans="1:12" ht="56.4" x14ac:dyDescent="0.35">
      <c r="A8" s="23"/>
      <c r="B8" s="347"/>
      <c r="C8" s="347" t="s">
        <v>171</v>
      </c>
      <c r="D8" s="347"/>
      <c r="E8" s="62" t="s">
        <v>167</v>
      </c>
      <c r="F8" s="62" t="s">
        <v>168</v>
      </c>
      <c r="G8" s="62" t="s">
        <v>169</v>
      </c>
      <c r="H8" s="62" t="s">
        <v>170</v>
      </c>
      <c r="I8" s="9"/>
      <c r="J8" s="9"/>
      <c r="K8" s="9"/>
      <c r="L8" s="9"/>
    </row>
    <row r="9" spans="1:12" ht="16.2" x14ac:dyDescent="0.35">
      <c r="A9" s="23"/>
      <c r="B9" s="29">
        <v>2013</v>
      </c>
      <c r="C9" s="29">
        <v>1.0549999999999999</v>
      </c>
      <c r="D9" s="29">
        <v>1.0069999999999999</v>
      </c>
      <c r="E9" s="55">
        <v>6303396</v>
      </c>
      <c r="F9" s="55">
        <v>6710368</v>
      </c>
      <c r="G9" s="55">
        <v>6696546</v>
      </c>
      <c r="H9" s="56">
        <v>6422916</v>
      </c>
      <c r="I9" s="9"/>
      <c r="J9" s="9"/>
      <c r="K9" s="9"/>
      <c r="L9" s="9"/>
    </row>
    <row r="10" spans="1:12" ht="16.2" x14ac:dyDescent="0.35">
      <c r="A10" s="23"/>
      <c r="B10" s="29">
        <v>2014</v>
      </c>
      <c r="C10" s="29">
        <v>1.133</v>
      </c>
      <c r="D10" s="29">
        <v>1.014</v>
      </c>
      <c r="E10" s="55">
        <v>7212445</v>
      </c>
      <c r="F10" s="55">
        <v>7610141</v>
      </c>
      <c r="G10" s="55">
        <v>7586251</v>
      </c>
      <c r="H10" s="55">
        <v>7274264</v>
      </c>
      <c r="I10" s="9"/>
      <c r="J10" s="9"/>
      <c r="K10" s="9"/>
      <c r="L10" s="9"/>
    </row>
    <row r="11" spans="1:12" ht="16.2" x14ac:dyDescent="0.35">
      <c r="A11" s="23"/>
      <c r="B11" s="29">
        <v>2015</v>
      </c>
      <c r="C11" s="29">
        <v>1.181</v>
      </c>
      <c r="D11" s="29">
        <v>1.0489999999999999</v>
      </c>
      <c r="E11" s="55">
        <v>7832913</v>
      </c>
      <c r="F11" s="55">
        <v>8094627</v>
      </c>
      <c r="G11" s="55">
        <v>8081606</v>
      </c>
      <c r="H11" s="55">
        <v>7797684</v>
      </c>
      <c r="I11" s="9"/>
      <c r="J11" s="9"/>
      <c r="K11" s="9"/>
      <c r="L11" s="9"/>
    </row>
    <row r="12" spans="1:12" ht="16.2" x14ac:dyDescent="0.35">
      <c r="A12" s="23"/>
      <c r="B12" s="29">
        <v>2016</v>
      </c>
      <c r="C12" s="29">
        <v>1.3560000000000001</v>
      </c>
      <c r="D12" s="29">
        <v>1.117</v>
      </c>
      <c r="E12" s="55">
        <v>8716621</v>
      </c>
      <c r="F12" s="55">
        <v>8868690</v>
      </c>
      <c r="G12" s="56">
        <v>8880447</v>
      </c>
      <c r="H12" s="55">
        <v>8570436</v>
      </c>
      <c r="I12" s="9"/>
      <c r="J12" s="9"/>
      <c r="K12" s="9"/>
      <c r="L12" s="9"/>
    </row>
    <row r="13" spans="1:12" ht="16.2" x14ac:dyDescent="0.35">
      <c r="A13" s="23"/>
      <c r="B13" s="29">
        <v>2017</v>
      </c>
      <c r="C13" s="29">
        <v>1.66</v>
      </c>
      <c r="D13" s="29">
        <v>1.212</v>
      </c>
      <c r="E13" s="55">
        <v>9846962</v>
      </c>
      <c r="F13" s="55">
        <v>9461628</v>
      </c>
      <c r="G13" s="55">
        <v>9703338</v>
      </c>
      <c r="H13" s="55">
        <v>9719451</v>
      </c>
      <c r="I13" s="9"/>
      <c r="J13" s="9"/>
      <c r="K13" s="9"/>
      <c r="L13" s="9"/>
    </row>
    <row r="14" spans="1:12" ht="16.2" x14ac:dyDescent="0.35">
      <c r="A14" s="23"/>
      <c r="B14" s="29">
        <v>2018</v>
      </c>
      <c r="C14" s="29">
        <v>2.2229999999999999</v>
      </c>
      <c r="D14" s="29">
        <v>1.373</v>
      </c>
      <c r="E14" s="55">
        <v>10649381</v>
      </c>
      <c r="F14" s="55">
        <v>10822452</v>
      </c>
      <c r="G14" s="55">
        <v>10859544</v>
      </c>
      <c r="H14" s="55">
        <v>10648168</v>
      </c>
      <c r="I14" s="9"/>
      <c r="J14" s="9"/>
      <c r="K14" s="9"/>
      <c r="L14" s="9"/>
    </row>
    <row r="15" spans="1:12" ht="16.2" x14ac:dyDescent="0.35">
      <c r="A15" s="23"/>
      <c r="B15" s="29">
        <v>2019</v>
      </c>
      <c r="C15" s="29">
        <v>4.2649999999999997</v>
      </c>
      <c r="D15" s="29">
        <v>1.8620000000000001</v>
      </c>
      <c r="E15" s="55">
        <v>11950431</v>
      </c>
      <c r="F15" s="56">
        <v>11666839</v>
      </c>
      <c r="G15" s="55">
        <v>12090525</v>
      </c>
      <c r="H15" s="55">
        <v>12025016</v>
      </c>
      <c r="I15" s="9"/>
      <c r="J15" s="9"/>
      <c r="K15" s="9"/>
      <c r="L15" s="9"/>
    </row>
    <row r="16" spans="1:12" ht="16.2" x14ac:dyDescent="0.35">
      <c r="A16" s="23"/>
      <c r="B16" s="29">
        <v>2020</v>
      </c>
      <c r="C16" s="29">
        <v>10.807</v>
      </c>
      <c r="D16" s="29">
        <v>3.0680000000000001</v>
      </c>
      <c r="E16" s="56">
        <v>13289524</v>
      </c>
      <c r="F16" s="55">
        <v>11985818</v>
      </c>
      <c r="G16" s="55">
        <v>13441214</v>
      </c>
      <c r="H16" s="55">
        <v>13235975</v>
      </c>
      <c r="I16" s="9"/>
      <c r="J16" s="9"/>
      <c r="K16" s="9"/>
      <c r="L16" s="9"/>
    </row>
    <row r="17" spans="1:12" ht="16.2" x14ac:dyDescent="0.35">
      <c r="A17" s="23"/>
      <c r="B17" s="27" t="s">
        <v>31</v>
      </c>
      <c r="C17" s="42"/>
      <c r="D17" s="42"/>
      <c r="E17" s="56">
        <v>75801673</v>
      </c>
      <c r="F17" s="56">
        <v>75220563</v>
      </c>
      <c r="G17" s="56">
        <v>77339471</v>
      </c>
      <c r="H17" s="56">
        <v>75693910</v>
      </c>
      <c r="I17" s="9"/>
      <c r="J17" s="9"/>
      <c r="K17" s="9"/>
      <c r="L17" s="9"/>
    </row>
    <row r="18" spans="1:12" x14ac:dyDescent="0.3">
      <c r="A18" s="4"/>
      <c r="B18" s="4"/>
      <c r="C18" s="4"/>
      <c r="D18" s="4"/>
      <c r="E18" s="4"/>
      <c r="F18" s="4"/>
      <c r="G18" s="4"/>
      <c r="H18" s="9"/>
      <c r="I18" s="9"/>
      <c r="J18" s="9"/>
      <c r="K18" s="9"/>
      <c r="L18" s="9"/>
    </row>
  </sheetData>
  <mergeCells count="4">
    <mergeCell ref="B7:B8"/>
    <mergeCell ref="D7:D8"/>
    <mergeCell ref="E7:H7"/>
    <mergeCell ref="C7:C8"/>
  </mergeCells>
  <pageMargins left="0.7" right="0.7" top="0.75" bottom="0.75" header="0.3" footer="0.3"/>
  <pageSetup scale="8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C7CBD-F979-46E7-A045-E974359517F2}">
  <dimension ref="A1:R82"/>
  <sheetViews>
    <sheetView zoomScaleNormal="100" workbookViewId="0"/>
  </sheetViews>
  <sheetFormatPr defaultColWidth="8.88671875" defaultRowHeight="15.6" x14ac:dyDescent="0.3"/>
  <cols>
    <col min="1" max="1" width="8.88671875" style="1" customWidth="1"/>
    <col min="2" max="2" width="15.6640625" style="1" customWidth="1"/>
    <col min="3" max="3" width="16.6640625" style="1" customWidth="1"/>
    <col min="4" max="7" width="11.6640625" style="1" customWidth="1"/>
    <col min="8" max="8" width="8.88671875" style="1" customWidth="1"/>
    <col min="9" max="16384" width="8.88671875" style="1"/>
  </cols>
  <sheetData>
    <row r="1" spans="1:12" ht="17.399999999999999" x14ac:dyDescent="0.3">
      <c r="A1" s="2" t="s">
        <v>172</v>
      </c>
      <c r="B1" s="4"/>
      <c r="C1" s="9" t="s">
        <v>10</v>
      </c>
      <c r="D1" s="4"/>
      <c r="E1" s="4"/>
      <c r="F1" s="4"/>
      <c r="G1" s="4"/>
      <c r="H1" s="4"/>
      <c r="I1" s="4"/>
      <c r="J1" s="4"/>
      <c r="K1" s="4"/>
      <c r="L1" s="3"/>
    </row>
    <row r="2" spans="1:12" x14ac:dyDescent="0.3">
      <c r="A2" s="4"/>
      <c r="B2" s="4"/>
      <c r="C2" s="4"/>
      <c r="D2" s="4"/>
      <c r="E2" s="4"/>
      <c r="F2" s="4"/>
      <c r="G2" s="4"/>
      <c r="H2" s="4"/>
      <c r="I2" s="4"/>
      <c r="J2" s="4"/>
      <c r="K2" s="4"/>
      <c r="L2" s="3"/>
    </row>
    <row r="3" spans="1:12" x14ac:dyDescent="0.3">
      <c r="A3" s="323" t="s">
        <v>173</v>
      </c>
      <c r="B3" s="323"/>
      <c r="C3" s="323"/>
      <c r="D3" s="323"/>
      <c r="E3" s="323"/>
      <c r="F3" s="323"/>
      <c r="G3" s="323"/>
      <c r="H3" s="323"/>
      <c r="I3" s="323"/>
      <c r="J3" s="323"/>
      <c r="K3" s="323"/>
      <c r="L3" s="3"/>
    </row>
    <row r="4" spans="1:12" x14ac:dyDescent="0.3">
      <c r="A4" s="323"/>
      <c r="B4" s="323"/>
      <c r="C4" s="323"/>
      <c r="D4" s="323"/>
      <c r="E4" s="323"/>
      <c r="F4" s="323"/>
      <c r="G4" s="323"/>
      <c r="H4" s="323"/>
      <c r="I4" s="323"/>
      <c r="J4" s="323"/>
      <c r="K4" s="323"/>
      <c r="L4" s="3"/>
    </row>
    <row r="5" spans="1:12" s="11" customFormat="1" x14ac:dyDescent="0.3">
      <c r="A5" s="13"/>
      <c r="B5" s="12"/>
      <c r="C5" s="12"/>
      <c r="D5" s="12"/>
      <c r="E5" s="12"/>
      <c r="F5" s="12"/>
      <c r="G5" s="12"/>
      <c r="H5" s="10"/>
      <c r="I5" s="10"/>
      <c r="J5" s="10"/>
      <c r="K5" s="10"/>
      <c r="L5" s="10"/>
    </row>
    <row r="6" spans="1:12" s="11" customFormat="1" ht="31.2" x14ac:dyDescent="0.3">
      <c r="A6" s="13"/>
      <c r="B6" s="16" t="s">
        <v>174</v>
      </c>
      <c r="C6" s="16" t="s">
        <v>175</v>
      </c>
      <c r="D6" s="12"/>
      <c r="E6" s="12"/>
      <c r="F6" s="12"/>
      <c r="G6" s="12"/>
      <c r="H6" s="10"/>
      <c r="I6" s="10"/>
      <c r="J6" s="10"/>
      <c r="K6" s="10"/>
      <c r="L6" s="10"/>
    </row>
    <row r="7" spans="1:12" s="11" customFormat="1" x14ac:dyDescent="0.3">
      <c r="A7" s="13"/>
      <c r="B7" s="29">
        <v>1</v>
      </c>
      <c r="C7" s="55">
        <v>495000</v>
      </c>
      <c r="D7" s="12"/>
      <c r="E7" s="12"/>
      <c r="F7" s="12"/>
      <c r="G7" s="12"/>
      <c r="H7" s="10"/>
      <c r="I7" s="10"/>
      <c r="J7" s="10"/>
      <c r="K7" s="10"/>
      <c r="L7" s="10"/>
    </row>
    <row r="8" spans="1:12" s="11" customFormat="1" x14ac:dyDescent="0.3">
      <c r="A8" s="13"/>
      <c r="B8" s="29">
        <v>2</v>
      </c>
      <c r="C8" s="55">
        <v>525000</v>
      </c>
      <c r="D8" s="12"/>
      <c r="E8" s="12"/>
      <c r="F8" s="12"/>
      <c r="G8" s="12"/>
      <c r="H8" s="10"/>
      <c r="I8" s="10"/>
      <c r="J8" s="10"/>
      <c r="K8" s="10"/>
      <c r="L8" s="10"/>
    </row>
    <row r="9" spans="1:12" s="11" customFormat="1" x14ac:dyDescent="0.3">
      <c r="A9" s="13"/>
      <c r="B9" s="29">
        <v>3</v>
      </c>
      <c r="C9" s="55">
        <v>1200000</v>
      </c>
      <c r="D9" s="12"/>
      <c r="E9" s="12"/>
      <c r="F9" s="12"/>
      <c r="G9" s="12"/>
      <c r="H9" s="10"/>
      <c r="I9" s="10"/>
      <c r="J9" s="10"/>
      <c r="K9" s="10"/>
      <c r="L9" s="10"/>
    </row>
    <row r="10" spans="1:12" s="11" customFormat="1" x14ac:dyDescent="0.3">
      <c r="A10" s="12"/>
      <c r="B10" s="29">
        <v>4</v>
      </c>
      <c r="C10" s="55">
        <v>1490000</v>
      </c>
      <c r="D10" s="12"/>
      <c r="E10" s="12"/>
      <c r="F10" s="12"/>
      <c r="G10" s="12"/>
      <c r="H10" s="10"/>
      <c r="I10" s="10"/>
      <c r="J10" s="10"/>
      <c r="K10" s="10"/>
      <c r="L10" s="10"/>
    </row>
    <row r="11" spans="1:12" s="11" customFormat="1" x14ac:dyDescent="0.3">
      <c r="A11" s="12"/>
      <c r="B11" s="29">
        <v>5</v>
      </c>
      <c r="C11" s="55">
        <v>1800000</v>
      </c>
      <c r="D11" s="12"/>
      <c r="E11" s="12"/>
      <c r="F11" s="12"/>
      <c r="G11" s="12"/>
      <c r="H11" s="10"/>
      <c r="I11" s="10"/>
      <c r="J11" s="10"/>
      <c r="K11" s="10"/>
      <c r="L11" s="10"/>
    </row>
    <row r="12" spans="1:12" s="11" customFormat="1" x14ac:dyDescent="0.3">
      <c r="A12" s="13"/>
      <c r="B12" s="27" t="s">
        <v>31</v>
      </c>
      <c r="C12" s="56">
        <v>5510000</v>
      </c>
      <c r="D12" s="12"/>
      <c r="E12" s="12"/>
      <c r="F12" s="12"/>
      <c r="G12" s="12"/>
      <c r="H12" s="10"/>
      <c r="I12" s="10"/>
      <c r="J12" s="10"/>
      <c r="K12" s="10"/>
      <c r="L12" s="10"/>
    </row>
    <row r="13" spans="1:12" s="11" customFormat="1" x14ac:dyDescent="0.3">
      <c r="A13" s="12"/>
      <c r="B13" s="12"/>
      <c r="C13" s="12"/>
      <c r="D13" s="12"/>
      <c r="E13" s="12"/>
      <c r="F13" s="12"/>
      <c r="G13" s="12"/>
      <c r="H13" s="10"/>
      <c r="I13" s="10"/>
      <c r="J13" s="10"/>
      <c r="K13" s="10"/>
      <c r="L13" s="10"/>
    </row>
    <row r="14" spans="1:12" s="11" customFormat="1" x14ac:dyDescent="0.3">
      <c r="A14" s="12" t="s">
        <v>324</v>
      </c>
      <c r="B14" s="12"/>
      <c r="C14" s="12"/>
      <c r="D14" s="12"/>
      <c r="E14" s="12"/>
      <c r="F14" s="12"/>
      <c r="G14" s="12"/>
      <c r="H14" s="10"/>
      <c r="I14" s="10"/>
      <c r="J14" s="10"/>
      <c r="K14" s="10"/>
      <c r="L14" s="10"/>
    </row>
    <row r="15" spans="1:12" x14ac:dyDescent="0.3">
      <c r="A15" s="12" t="s">
        <v>345</v>
      </c>
      <c r="B15" s="12"/>
      <c r="C15" s="12"/>
      <c r="D15" s="12"/>
      <c r="E15" s="12"/>
      <c r="F15" s="86">
        <v>0.05</v>
      </c>
      <c r="G15" s="12"/>
      <c r="H15" s="9"/>
      <c r="I15" s="9"/>
      <c r="J15" s="9"/>
      <c r="K15" s="9"/>
      <c r="L15" s="9"/>
    </row>
    <row r="16" spans="1:12" x14ac:dyDescent="0.3">
      <c r="A16" s="9"/>
      <c r="B16" s="9"/>
      <c r="C16" s="9"/>
      <c r="D16" s="9"/>
      <c r="E16" s="9"/>
      <c r="F16" s="9"/>
      <c r="G16" s="9"/>
      <c r="H16" s="9"/>
      <c r="I16" s="9"/>
      <c r="J16" s="9"/>
      <c r="K16" s="9"/>
      <c r="L16" s="9"/>
    </row>
    <row r="17" spans="1:18" x14ac:dyDescent="0.3">
      <c r="A17" s="7"/>
      <c r="B17" s="7"/>
      <c r="C17" s="7"/>
      <c r="D17" s="7"/>
      <c r="E17" s="7"/>
      <c r="F17" s="7"/>
      <c r="G17" s="7"/>
      <c r="H17" s="7"/>
      <c r="I17" s="7"/>
      <c r="J17" s="7"/>
      <c r="K17" s="7"/>
      <c r="L17" s="7"/>
    </row>
    <row r="18" spans="1:18" x14ac:dyDescent="0.3">
      <c r="A18" s="6" t="s">
        <v>4</v>
      </c>
      <c r="B18" s="323" t="s">
        <v>176</v>
      </c>
      <c r="C18" s="323"/>
      <c r="D18" s="323"/>
      <c r="E18" s="323"/>
      <c r="F18" s="323"/>
      <c r="G18" s="323"/>
      <c r="H18" s="323"/>
      <c r="I18" s="323"/>
      <c r="J18" s="323"/>
      <c r="K18" s="323"/>
      <c r="L18" s="4"/>
      <c r="M18" s="8"/>
      <c r="N18" s="8"/>
      <c r="O18" s="8"/>
      <c r="P18" s="8"/>
      <c r="Q18" s="8"/>
      <c r="R18" s="8"/>
    </row>
    <row r="19" spans="1:18" x14ac:dyDescent="0.3">
      <c r="A19" s="6"/>
      <c r="B19" s="323"/>
      <c r="C19" s="323"/>
      <c r="D19" s="323"/>
      <c r="E19" s="323"/>
      <c r="F19" s="323"/>
      <c r="G19" s="323"/>
      <c r="H19" s="323"/>
      <c r="I19" s="323"/>
      <c r="J19" s="323"/>
      <c r="K19" s="323"/>
      <c r="L19" s="4"/>
      <c r="M19" s="8"/>
      <c r="N19" s="8"/>
      <c r="O19" s="8"/>
      <c r="P19" s="8"/>
      <c r="Q19" s="8"/>
      <c r="R19" s="8"/>
    </row>
    <row r="20" spans="1:18" x14ac:dyDescent="0.3">
      <c r="A20" s="3"/>
      <c r="B20" s="3"/>
      <c r="C20" s="3"/>
      <c r="D20" s="3"/>
      <c r="E20" s="3"/>
      <c r="F20" s="3"/>
      <c r="G20" s="4"/>
      <c r="H20" s="4"/>
      <c r="I20" s="4"/>
      <c r="J20" s="4"/>
      <c r="K20" s="4"/>
      <c r="L20" s="4"/>
    </row>
    <row r="21" spans="1:18" x14ac:dyDescent="0.3">
      <c r="A21" s="7"/>
      <c r="B21" s="7"/>
      <c r="C21" s="7"/>
      <c r="D21" s="7"/>
      <c r="E21" s="7"/>
      <c r="F21" s="7"/>
      <c r="G21" s="7"/>
      <c r="H21" s="7"/>
      <c r="I21" s="7"/>
      <c r="J21" s="7"/>
      <c r="K21" s="7"/>
      <c r="L21" s="7"/>
      <c r="M21" s="7"/>
    </row>
    <row r="22" spans="1:18" x14ac:dyDescent="0.3">
      <c r="A22" s="7" t="s">
        <v>1</v>
      </c>
      <c r="B22" s="7"/>
      <c r="C22" s="7"/>
      <c r="D22" s="7"/>
      <c r="E22" s="7"/>
      <c r="F22" s="7"/>
      <c r="G22" s="7"/>
      <c r="H22" s="7"/>
      <c r="I22" s="7"/>
      <c r="J22" s="7"/>
      <c r="K22" s="7"/>
      <c r="L22" s="7"/>
      <c r="M22" s="7"/>
      <c r="N22" s="8"/>
    </row>
    <row r="23" spans="1:18" x14ac:dyDescent="0.3">
      <c r="B23"/>
      <c r="C23" s="351" t="s">
        <v>562</v>
      </c>
      <c r="D23" s="351"/>
      <c r="E23" s="351" t="s">
        <v>563</v>
      </c>
      <c r="F23" s="351"/>
      <c r="M23" s="8"/>
      <c r="N23" s="8"/>
    </row>
    <row r="24" spans="1:18" ht="46.8" x14ac:dyDescent="0.3">
      <c r="B24" s="190" t="s">
        <v>174</v>
      </c>
      <c r="C24" s="190" t="s">
        <v>175</v>
      </c>
      <c r="D24" s="190" t="s">
        <v>564</v>
      </c>
      <c r="E24" s="190" t="s">
        <v>175</v>
      </c>
      <c r="F24" s="190" t="s">
        <v>564</v>
      </c>
      <c r="M24" s="8"/>
      <c r="N24" s="8"/>
    </row>
    <row r="25" spans="1:18" x14ac:dyDescent="0.3">
      <c r="B25" s="225">
        <v>1</v>
      </c>
      <c r="C25" s="246">
        <v>495000</v>
      </c>
      <c r="D25" s="246">
        <f>MIN(1000000,MAX(0,C25-500000))</f>
        <v>0</v>
      </c>
      <c r="E25" s="246">
        <f>C25*(1+$F$15)</f>
        <v>519750</v>
      </c>
      <c r="F25" s="246">
        <f>MIN(1000000,MAX(0,E25-500000))</f>
        <v>19750</v>
      </c>
      <c r="M25" s="8"/>
      <c r="N25" s="8"/>
    </row>
    <row r="26" spans="1:18" x14ac:dyDescent="0.3">
      <c r="B26" s="225">
        <f>B25+1</f>
        <v>2</v>
      </c>
      <c r="C26" s="246">
        <v>525000</v>
      </c>
      <c r="D26" s="246">
        <f t="shared" ref="D26:F29" si="0">MIN(1000000,MAX(0,C26-500000))</f>
        <v>25000</v>
      </c>
      <c r="E26" s="246">
        <f t="shared" ref="E26:E29" si="1">C26*(1+$F$15)</f>
        <v>551250</v>
      </c>
      <c r="F26" s="246">
        <f t="shared" si="0"/>
        <v>51250</v>
      </c>
      <c r="M26" s="8"/>
      <c r="N26" s="8"/>
    </row>
    <row r="27" spans="1:18" x14ac:dyDescent="0.3">
      <c r="B27" s="225">
        <f t="shared" ref="B27:B29" si="2">B26+1</f>
        <v>3</v>
      </c>
      <c r="C27" s="246">
        <v>1200000</v>
      </c>
      <c r="D27" s="246">
        <f t="shared" si="0"/>
        <v>700000</v>
      </c>
      <c r="E27" s="246">
        <f t="shared" si="1"/>
        <v>1260000</v>
      </c>
      <c r="F27" s="246">
        <f t="shared" si="0"/>
        <v>760000</v>
      </c>
      <c r="M27" s="8"/>
      <c r="N27" s="8"/>
    </row>
    <row r="28" spans="1:18" x14ac:dyDescent="0.3">
      <c r="B28" s="225">
        <f t="shared" si="2"/>
        <v>4</v>
      </c>
      <c r="C28" s="246">
        <v>1490000</v>
      </c>
      <c r="D28" s="246">
        <f t="shared" si="0"/>
        <v>990000</v>
      </c>
      <c r="E28" s="246">
        <f t="shared" si="1"/>
        <v>1564500</v>
      </c>
      <c r="F28" s="246">
        <f t="shared" si="0"/>
        <v>1000000</v>
      </c>
      <c r="M28" s="8"/>
      <c r="N28" s="8"/>
    </row>
    <row r="29" spans="1:18" x14ac:dyDescent="0.3">
      <c r="B29" s="247">
        <f t="shared" si="2"/>
        <v>5</v>
      </c>
      <c r="C29" s="248">
        <v>1800000</v>
      </c>
      <c r="D29" s="248">
        <f t="shared" si="0"/>
        <v>1000000</v>
      </c>
      <c r="E29" s="248">
        <f t="shared" si="1"/>
        <v>1890000</v>
      </c>
      <c r="F29" s="248">
        <f t="shared" si="0"/>
        <v>1000000</v>
      </c>
      <c r="M29" s="8"/>
      <c r="N29" s="8"/>
    </row>
    <row r="30" spans="1:18" x14ac:dyDescent="0.3">
      <c r="B30" s="120" t="s">
        <v>31</v>
      </c>
      <c r="C30" s="150">
        <f>SUM(C25:C29)</f>
        <v>5510000</v>
      </c>
      <c r="D30" s="150">
        <f>SUM(D25:D29)</f>
        <v>2715000</v>
      </c>
      <c r="E30" s="150">
        <f>SUM(E25:E29)</f>
        <v>5785500</v>
      </c>
      <c r="F30" s="150">
        <f>SUM(F25:F29)</f>
        <v>2831000</v>
      </c>
      <c r="G30" s="117"/>
      <c r="M30" s="8"/>
      <c r="N30" s="8"/>
    </row>
    <row r="31" spans="1:18" x14ac:dyDescent="0.3">
      <c r="B31" s="117"/>
      <c r="C31" s="117" t="s">
        <v>565</v>
      </c>
      <c r="D31" s="117"/>
      <c r="E31" s="249">
        <f>E30/C30-1</f>
        <v>5.0000000000000044E-2</v>
      </c>
      <c r="F31" s="249">
        <f>F30/D30-1</f>
        <v>4.2725598526703434E-2</v>
      </c>
      <c r="G31" s="117"/>
      <c r="M31" s="8"/>
      <c r="N31" s="8"/>
    </row>
    <row r="33" spans="1:13" x14ac:dyDescent="0.3">
      <c r="A33" s="6" t="s">
        <v>5</v>
      </c>
      <c r="B33" s="323" t="s">
        <v>334</v>
      </c>
      <c r="C33" s="323"/>
      <c r="D33" s="323"/>
      <c r="E33" s="323"/>
      <c r="F33" s="323"/>
      <c r="G33" s="323"/>
      <c r="H33" s="323"/>
      <c r="I33" s="323"/>
      <c r="J33" s="323"/>
      <c r="K33" s="323"/>
      <c r="L33" s="4"/>
    </row>
    <row r="34" spans="1:13" x14ac:dyDescent="0.3">
      <c r="A34" s="6"/>
      <c r="B34" s="323"/>
      <c r="C34" s="323"/>
      <c r="D34" s="323"/>
      <c r="E34" s="323"/>
      <c r="F34" s="323"/>
      <c r="G34" s="323"/>
      <c r="H34" s="323"/>
      <c r="I34" s="323"/>
      <c r="J34" s="323"/>
      <c r="K34" s="323"/>
      <c r="L34" s="4"/>
    </row>
    <row r="35" spans="1:13" x14ac:dyDescent="0.3">
      <c r="A35" s="3"/>
      <c r="B35" s="3"/>
      <c r="C35" s="3"/>
      <c r="D35" s="3"/>
      <c r="E35" s="3"/>
      <c r="F35" s="3"/>
      <c r="G35" s="4"/>
      <c r="H35" s="4"/>
      <c r="I35" s="4"/>
      <c r="J35" s="4"/>
      <c r="K35" s="4"/>
      <c r="L35" s="4"/>
    </row>
    <row r="36" spans="1:13" x14ac:dyDescent="0.3">
      <c r="A36" s="7"/>
      <c r="B36" s="7"/>
      <c r="C36" s="7"/>
      <c r="D36" s="7"/>
      <c r="E36" s="7"/>
      <c r="F36" s="7"/>
      <c r="G36" s="7"/>
      <c r="H36" s="7"/>
      <c r="I36" s="7"/>
      <c r="J36" s="7"/>
      <c r="K36" s="7"/>
      <c r="L36" s="7"/>
    </row>
    <row r="37" spans="1:13" x14ac:dyDescent="0.3">
      <c r="A37" s="7" t="s">
        <v>1</v>
      </c>
      <c r="B37" s="7"/>
      <c r="C37" s="7"/>
      <c r="D37" s="7"/>
      <c r="E37" s="7"/>
      <c r="F37" s="7"/>
      <c r="G37" s="7"/>
      <c r="H37" s="7"/>
      <c r="I37" s="7"/>
      <c r="J37" s="7"/>
      <c r="K37" s="7"/>
      <c r="L37" s="7"/>
    </row>
    <row r="38" spans="1:13" x14ac:dyDescent="0.3">
      <c r="A38" s="7"/>
      <c r="B38" s="7" t="s">
        <v>567</v>
      </c>
      <c r="C38" s="7"/>
      <c r="D38" s="7"/>
      <c r="E38" s="7"/>
      <c r="F38" s="7"/>
      <c r="G38" s="7"/>
      <c r="H38" s="7"/>
      <c r="I38" s="7"/>
      <c r="J38" s="7"/>
      <c r="K38" s="7"/>
      <c r="L38" s="7"/>
    </row>
    <row r="39" spans="1:13" x14ac:dyDescent="0.3">
      <c r="A39" s="7"/>
      <c r="B39" s="7"/>
      <c r="C39" s="7"/>
      <c r="D39" s="7"/>
      <c r="E39" s="7"/>
      <c r="F39" s="7"/>
      <c r="G39" s="7"/>
      <c r="H39" s="7"/>
      <c r="I39" s="7"/>
      <c r="J39" s="7"/>
      <c r="K39" s="7"/>
      <c r="L39" s="7"/>
    </row>
    <row r="40" spans="1:13" x14ac:dyDescent="0.3">
      <c r="B40" s="1" t="s">
        <v>568</v>
      </c>
      <c r="M40" s="7"/>
    </row>
    <row r="41" spans="1:13" x14ac:dyDescent="0.3">
      <c r="M41" s="7"/>
    </row>
    <row r="42" spans="1:13" x14ac:dyDescent="0.3">
      <c r="B42" s="117"/>
      <c r="C42" s="352" t="s">
        <v>562</v>
      </c>
      <c r="D42" s="352"/>
      <c r="E42" s="352" t="s">
        <v>563</v>
      </c>
      <c r="F42" s="352"/>
      <c r="G42" s="117"/>
      <c r="M42" s="7"/>
    </row>
    <row r="43" spans="1:13" ht="46.8" x14ac:dyDescent="0.3">
      <c r="B43" s="117"/>
      <c r="C43" s="250" t="s">
        <v>175</v>
      </c>
      <c r="D43" s="250" t="s">
        <v>564</v>
      </c>
      <c r="E43" s="250" t="s">
        <v>175</v>
      </c>
      <c r="F43" s="250" t="s">
        <v>564</v>
      </c>
      <c r="G43" s="117"/>
    </row>
    <row r="44" spans="1:13" x14ac:dyDescent="0.3">
      <c r="B44" s="149" t="s">
        <v>566</v>
      </c>
      <c r="C44" s="150">
        <f>SUM(C25:C27)</f>
        <v>2220000</v>
      </c>
      <c r="D44" s="150">
        <f>SUM(D25:D27)</f>
        <v>725000</v>
      </c>
      <c r="E44" s="150">
        <f>SUM(E25:E27)</f>
        <v>2331000</v>
      </c>
      <c r="F44" s="150">
        <f>SUM(F25:F27)</f>
        <v>831000</v>
      </c>
      <c r="G44" s="117"/>
    </row>
    <row r="45" spans="1:13" x14ac:dyDescent="0.3">
      <c r="B45" s="148"/>
      <c r="C45" s="148"/>
      <c r="D45" s="148"/>
      <c r="E45" s="249">
        <f>E44/C44-1</f>
        <v>5.0000000000000044E-2</v>
      </c>
      <c r="F45" s="251">
        <f>F44/D44-1</f>
        <v>0.14620689655172403</v>
      </c>
      <c r="G45" s="117"/>
    </row>
    <row r="47" spans="1:13" x14ac:dyDescent="0.3">
      <c r="A47" s="4" t="s">
        <v>177</v>
      </c>
      <c r="B47" s="4"/>
      <c r="C47" s="4"/>
      <c r="D47" s="4"/>
      <c r="E47" s="4"/>
      <c r="F47" s="4"/>
      <c r="G47" s="4"/>
      <c r="H47" s="4"/>
      <c r="I47" s="4"/>
      <c r="J47" s="4"/>
      <c r="K47" s="4"/>
      <c r="L47" s="4"/>
    </row>
    <row r="48" spans="1:13" x14ac:dyDescent="0.3">
      <c r="A48" s="4"/>
      <c r="B48" s="4"/>
      <c r="C48" s="4"/>
      <c r="D48" s="4"/>
      <c r="E48" s="4"/>
      <c r="F48" s="4"/>
      <c r="G48" s="4"/>
      <c r="H48" s="4"/>
      <c r="I48" s="4"/>
      <c r="J48" s="4"/>
      <c r="K48" s="4"/>
      <c r="L48" s="4"/>
    </row>
    <row r="49" spans="1:12" x14ac:dyDescent="0.3">
      <c r="A49" s="4"/>
      <c r="B49" s="47" t="s">
        <v>178</v>
      </c>
      <c r="C49" s="69"/>
      <c r="D49" s="70"/>
      <c r="E49" s="68"/>
      <c r="F49" s="48">
        <v>6500000</v>
      </c>
      <c r="G49" s="64"/>
      <c r="H49" s="9"/>
      <c r="I49" s="9"/>
      <c r="J49" s="4"/>
      <c r="K49" s="4"/>
      <c r="L49" s="4"/>
    </row>
    <row r="50" spans="1:12" x14ac:dyDescent="0.3">
      <c r="A50" s="4"/>
      <c r="B50" s="47" t="s">
        <v>179</v>
      </c>
      <c r="C50" s="69"/>
      <c r="D50" s="70"/>
      <c r="E50" s="68"/>
      <c r="F50" s="48">
        <v>8200000</v>
      </c>
      <c r="G50" s="64"/>
      <c r="H50" s="9"/>
      <c r="I50" s="9"/>
      <c r="J50" s="4"/>
      <c r="K50" s="4"/>
      <c r="L50" s="4"/>
    </row>
    <row r="51" spans="1:12" x14ac:dyDescent="0.3">
      <c r="A51" s="4"/>
      <c r="B51" s="47" t="s">
        <v>180</v>
      </c>
      <c r="C51" s="69"/>
      <c r="D51" s="70"/>
      <c r="E51" s="68"/>
      <c r="F51" s="63">
        <v>3.5000000000000003E-2</v>
      </c>
      <c r="G51" s="64"/>
      <c r="H51" s="9"/>
      <c r="I51" s="9"/>
      <c r="J51" s="4"/>
      <c r="K51" s="4"/>
      <c r="L51" s="4"/>
    </row>
    <row r="52" spans="1:12" x14ac:dyDescent="0.3">
      <c r="A52" s="4"/>
      <c r="B52" s="47" t="s">
        <v>181</v>
      </c>
      <c r="C52" s="69"/>
      <c r="D52" s="70"/>
      <c r="E52" s="68"/>
      <c r="F52" s="63">
        <v>4.8000000000000001E-2</v>
      </c>
      <c r="G52" s="64"/>
      <c r="H52" s="9"/>
      <c r="I52" s="9"/>
      <c r="J52" s="4"/>
      <c r="K52" s="4"/>
      <c r="L52" s="4"/>
    </row>
    <row r="53" spans="1:12" x14ac:dyDescent="0.3">
      <c r="A53" s="4"/>
      <c r="B53" s="47" t="s">
        <v>182</v>
      </c>
      <c r="C53" s="69"/>
      <c r="D53" s="70"/>
      <c r="E53" s="68"/>
      <c r="F53" s="49">
        <v>1.25</v>
      </c>
      <c r="G53" s="64"/>
      <c r="H53" s="9"/>
      <c r="I53" s="9"/>
      <c r="J53" s="4"/>
      <c r="K53" s="4"/>
      <c r="L53" s="4"/>
    </row>
    <row r="54" spans="1:12" x14ac:dyDescent="0.3">
      <c r="A54" s="4"/>
      <c r="B54" s="9"/>
      <c r="C54" s="9"/>
      <c r="D54" s="9"/>
      <c r="E54" s="9"/>
      <c r="F54" s="9"/>
      <c r="G54" s="9"/>
      <c r="H54" s="9"/>
      <c r="I54" s="9"/>
      <c r="J54" s="4"/>
      <c r="K54" s="4"/>
      <c r="L54" s="4"/>
    </row>
    <row r="55" spans="1:12" ht="18.600000000000001" x14ac:dyDescent="0.3">
      <c r="A55" s="4"/>
      <c r="B55" s="67" t="s">
        <v>183</v>
      </c>
      <c r="C55" s="67"/>
      <c r="D55" s="42"/>
      <c r="E55" s="65"/>
      <c r="F55" s="4"/>
      <c r="G55" s="4"/>
      <c r="H55" s="4"/>
      <c r="I55" s="4"/>
      <c r="J55" s="4"/>
      <c r="K55" s="4"/>
      <c r="L55" s="4"/>
    </row>
    <row r="56" spans="1:12" x14ac:dyDescent="0.3">
      <c r="A56" s="4"/>
      <c r="B56" s="30"/>
      <c r="C56" s="68"/>
      <c r="D56" s="66">
        <v>12</v>
      </c>
      <c r="E56" s="27">
        <v>96</v>
      </c>
      <c r="F56" s="4"/>
      <c r="G56" s="4"/>
      <c r="H56" s="4"/>
      <c r="I56" s="4"/>
      <c r="J56" s="4"/>
      <c r="K56" s="4"/>
      <c r="L56" s="4"/>
    </row>
    <row r="57" spans="1:12" ht="18" x14ac:dyDescent="0.3">
      <c r="A57" s="4"/>
      <c r="B57" s="349" t="s">
        <v>184</v>
      </c>
      <c r="C57" s="349"/>
      <c r="D57" s="29">
        <v>0.78</v>
      </c>
      <c r="E57" s="29">
        <v>0.72</v>
      </c>
      <c r="F57" s="4"/>
      <c r="G57" s="4"/>
      <c r="H57" s="4"/>
      <c r="I57" s="4"/>
      <c r="J57" s="4"/>
      <c r="K57" s="4"/>
      <c r="L57" s="4"/>
    </row>
    <row r="58" spans="1:12" ht="18" x14ac:dyDescent="0.3">
      <c r="A58" s="4"/>
      <c r="B58" s="350" t="s">
        <v>185</v>
      </c>
      <c r="C58" s="350"/>
      <c r="D58" s="29">
        <v>0.95</v>
      </c>
      <c r="E58" s="29">
        <v>0.91</v>
      </c>
      <c r="F58" s="4"/>
      <c r="G58" s="4"/>
      <c r="H58" s="4"/>
      <c r="I58" s="4"/>
      <c r="J58" s="4"/>
      <c r="K58" s="4"/>
      <c r="L58" s="4"/>
    </row>
    <row r="59" spans="1:12" x14ac:dyDescent="0.3">
      <c r="A59" s="4"/>
      <c r="B59" s="4"/>
      <c r="C59" s="4"/>
      <c r="D59" s="4"/>
      <c r="E59" s="4"/>
      <c r="F59" s="4"/>
      <c r="G59" s="4"/>
      <c r="H59" s="4"/>
      <c r="I59" s="4"/>
      <c r="J59" s="4"/>
      <c r="K59" s="4"/>
      <c r="L59" s="4"/>
    </row>
    <row r="60" spans="1:12" x14ac:dyDescent="0.3">
      <c r="A60" s="4" t="s">
        <v>186</v>
      </c>
      <c r="B60" s="4"/>
      <c r="C60" s="4"/>
      <c r="D60" s="4"/>
      <c r="E60" s="4"/>
      <c r="F60" s="4"/>
      <c r="G60" s="4"/>
      <c r="H60" s="4"/>
      <c r="I60" s="4"/>
      <c r="J60" s="4"/>
      <c r="K60" s="4"/>
      <c r="L60" s="4"/>
    </row>
    <row r="61" spans="1:12" x14ac:dyDescent="0.3">
      <c r="A61" s="4" t="s">
        <v>187</v>
      </c>
      <c r="B61" s="4"/>
      <c r="C61" s="4"/>
      <c r="D61" s="4"/>
      <c r="E61" s="4"/>
      <c r="F61" s="4"/>
      <c r="G61" s="4"/>
      <c r="H61" s="4"/>
      <c r="I61" s="4"/>
      <c r="J61" s="4"/>
      <c r="K61" s="4"/>
      <c r="L61" s="4"/>
    </row>
    <row r="62" spans="1:12" x14ac:dyDescent="0.3">
      <c r="A62" s="4" t="s">
        <v>188</v>
      </c>
      <c r="B62" s="4"/>
      <c r="C62" s="4"/>
      <c r="D62" s="4"/>
      <c r="E62" s="4"/>
      <c r="F62" s="4"/>
      <c r="G62" s="4"/>
      <c r="H62" s="4"/>
      <c r="I62" s="4"/>
      <c r="J62" s="4"/>
      <c r="K62" s="4"/>
      <c r="L62" s="4"/>
    </row>
    <row r="63" spans="1:12" x14ac:dyDescent="0.3">
      <c r="A63" s="4"/>
      <c r="B63" s="4"/>
      <c r="C63" s="4"/>
      <c r="D63" s="4"/>
      <c r="E63" s="4"/>
      <c r="F63" s="4"/>
      <c r="G63" s="4"/>
      <c r="H63" s="4"/>
      <c r="I63" s="4"/>
      <c r="J63" s="4"/>
      <c r="K63" s="4"/>
      <c r="L63" s="4"/>
    </row>
    <row r="65" spans="1:12" x14ac:dyDescent="0.3">
      <c r="A65" s="6" t="s">
        <v>0</v>
      </c>
      <c r="B65" s="323" t="s">
        <v>333</v>
      </c>
      <c r="C65" s="323"/>
      <c r="D65" s="323"/>
      <c r="E65" s="323"/>
      <c r="F65" s="323"/>
      <c r="G65" s="323"/>
      <c r="H65" s="323"/>
      <c r="I65" s="323"/>
      <c r="J65" s="323"/>
      <c r="K65" s="323"/>
      <c r="L65" s="4"/>
    </row>
    <row r="66" spans="1:12" x14ac:dyDescent="0.3">
      <c r="A66" s="6"/>
      <c r="B66" s="323"/>
      <c r="C66" s="323"/>
      <c r="D66" s="323"/>
      <c r="E66" s="323"/>
      <c r="F66" s="323"/>
      <c r="G66" s="323"/>
      <c r="H66" s="323"/>
      <c r="I66" s="323"/>
      <c r="J66" s="323"/>
      <c r="K66" s="323"/>
      <c r="L66" s="4"/>
    </row>
    <row r="67" spans="1:12" x14ac:dyDescent="0.3">
      <c r="A67" s="3"/>
      <c r="B67" s="3"/>
      <c r="C67" s="3"/>
      <c r="D67" s="3"/>
      <c r="E67" s="3"/>
      <c r="F67" s="3"/>
      <c r="G67" s="4"/>
      <c r="H67" s="4"/>
      <c r="I67" s="4"/>
      <c r="J67" s="4"/>
      <c r="K67" s="4"/>
      <c r="L67" s="4"/>
    </row>
    <row r="68" spans="1:12" x14ac:dyDescent="0.3">
      <c r="A68" s="7"/>
      <c r="B68" s="7"/>
      <c r="C68" s="7"/>
      <c r="D68" s="7"/>
      <c r="E68" s="7"/>
      <c r="F68" s="7"/>
      <c r="G68" s="7"/>
      <c r="H68" s="7"/>
      <c r="I68" s="7"/>
      <c r="J68" s="7"/>
      <c r="K68" s="7"/>
      <c r="L68" s="7"/>
    </row>
    <row r="69" spans="1:12" x14ac:dyDescent="0.3">
      <c r="A69" s="7" t="s">
        <v>1</v>
      </c>
      <c r="B69" s="7"/>
      <c r="C69" s="7"/>
      <c r="D69" s="7"/>
      <c r="E69" s="7"/>
      <c r="F69" s="7"/>
      <c r="G69" s="7"/>
      <c r="H69" s="7"/>
      <c r="I69" s="7"/>
      <c r="J69" s="7"/>
      <c r="K69" s="7"/>
      <c r="L69" s="7"/>
    </row>
    <row r="70" spans="1:12" x14ac:dyDescent="0.3">
      <c r="B70" s="127" t="s">
        <v>579</v>
      </c>
      <c r="C70" s="148"/>
      <c r="D70" s="244">
        <f>$F$53*E57/D57</f>
        <v>1.1538461538461537</v>
      </c>
      <c r="E70" s="117"/>
      <c r="F70" s="117"/>
      <c r="G70" s="117"/>
      <c r="H70" s="148"/>
      <c r="I70"/>
      <c r="J70"/>
    </row>
    <row r="71" spans="1:12" x14ac:dyDescent="0.3">
      <c r="B71" s="127" t="s">
        <v>580</v>
      </c>
      <c r="C71" s="148"/>
      <c r="D71" s="244">
        <f>$F$53*E58/D58</f>
        <v>1.1973684210526316</v>
      </c>
      <c r="E71" s="117"/>
      <c r="F71" s="117"/>
      <c r="G71" s="117"/>
      <c r="H71" s="148"/>
      <c r="I71"/>
      <c r="J71"/>
    </row>
    <row r="72" spans="1:12" x14ac:dyDescent="0.3">
      <c r="B72" s="117"/>
      <c r="C72" s="117"/>
      <c r="D72" s="117"/>
      <c r="E72" s="117"/>
      <c r="F72" s="117"/>
      <c r="G72" s="117"/>
      <c r="H72" s="148"/>
      <c r="I72"/>
      <c r="J72"/>
    </row>
    <row r="73" spans="1:12" x14ac:dyDescent="0.3">
      <c r="B73" s="117" t="s">
        <v>569</v>
      </c>
      <c r="C73" s="117"/>
      <c r="D73" s="117"/>
      <c r="E73" s="117"/>
      <c r="F73" s="117"/>
      <c r="G73" s="117"/>
      <c r="H73" s="148"/>
      <c r="I73"/>
      <c r="J73"/>
    </row>
    <row r="74" spans="1:12" x14ac:dyDescent="0.3">
      <c r="B74" s="117" t="s">
        <v>578</v>
      </c>
      <c r="C74" s="117"/>
      <c r="D74" s="148"/>
      <c r="E74" s="117">
        <v>33</v>
      </c>
      <c r="F74" s="117" t="s">
        <v>570</v>
      </c>
      <c r="G74" s="117">
        <f>E74/12</f>
        <v>2.75</v>
      </c>
      <c r="H74" s="117" t="s">
        <v>571</v>
      </c>
      <c r="I74"/>
      <c r="J74"/>
    </row>
    <row r="75" spans="1:12" x14ac:dyDescent="0.3">
      <c r="B75" s="117"/>
      <c r="C75" s="117"/>
      <c r="D75" s="117"/>
      <c r="E75" s="117"/>
      <c r="F75" s="117"/>
      <c r="G75" s="117"/>
      <c r="H75" s="148"/>
      <c r="I75"/>
      <c r="J75"/>
    </row>
    <row r="76" spans="1:12" ht="46.8" x14ac:dyDescent="0.3">
      <c r="B76" s="121" t="s">
        <v>572</v>
      </c>
      <c r="C76" s="250" t="s">
        <v>191</v>
      </c>
      <c r="D76" s="114" t="s">
        <v>573</v>
      </c>
      <c r="E76" s="114" t="s">
        <v>574</v>
      </c>
      <c r="F76" s="250" t="s">
        <v>525</v>
      </c>
      <c r="G76" s="117"/>
      <c r="H76" s="148"/>
      <c r="I76"/>
      <c r="J76"/>
    </row>
    <row r="77" spans="1:12" x14ac:dyDescent="0.3">
      <c r="B77" s="117" t="s">
        <v>575</v>
      </c>
      <c r="C77" s="150">
        <f>F49</f>
        <v>6500000</v>
      </c>
      <c r="D77" s="252">
        <f>D70</f>
        <v>1.1538461538461537</v>
      </c>
      <c r="E77" s="253">
        <f>(1+F51)^$G$74</f>
        <v>1.0992233923095032</v>
      </c>
      <c r="F77" s="150">
        <f>C77*D77*E77</f>
        <v>8244175.4423212726</v>
      </c>
      <c r="G77" s="117"/>
      <c r="H77" s="148"/>
      <c r="I77"/>
      <c r="J77"/>
    </row>
    <row r="78" spans="1:12" x14ac:dyDescent="0.3">
      <c r="B78" s="121" t="s">
        <v>576</v>
      </c>
      <c r="C78" s="254">
        <f>F50</f>
        <v>8200000</v>
      </c>
      <c r="D78" s="255">
        <f>D71</f>
        <v>1.1973684210526316</v>
      </c>
      <c r="E78" s="256">
        <f>(1+F52)^$G$74</f>
        <v>1.1376103307688348</v>
      </c>
      <c r="F78" s="254">
        <f>C78*D78*E78</f>
        <v>11169537.221311903</v>
      </c>
      <c r="G78" s="117"/>
      <c r="H78" s="148"/>
      <c r="I78"/>
      <c r="J78"/>
    </row>
    <row r="79" spans="1:12" x14ac:dyDescent="0.3">
      <c r="B79" s="117" t="s">
        <v>577</v>
      </c>
      <c r="C79" s="117"/>
      <c r="D79" s="117"/>
      <c r="E79" s="117"/>
      <c r="F79" s="150">
        <f>F78-F77</f>
        <v>2925361.7789906301</v>
      </c>
      <c r="G79" s="117"/>
      <c r="H79" s="148"/>
      <c r="I79"/>
      <c r="J79"/>
    </row>
    <row r="80" spans="1:12" x14ac:dyDescent="0.3">
      <c r="B80" s="117"/>
      <c r="C80" s="117"/>
      <c r="D80" s="117"/>
      <c r="E80" s="117"/>
      <c r="F80" s="117"/>
      <c r="G80" s="117"/>
      <c r="H80" s="148"/>
      <c r="I80"/>
      <c r="J80"/>
    </row>
    <row r="81" spans="2:10" x14ac:dyDescent="0.3">
      <c r="B81"/>
      <c r="C81"/>
      <c r="D81"/>
      <c r="E81"/>
      <c r="F81"/>
      <c r="G81"/>
      <c r="H81"/>
      <c r="I81"/>
      <c r="J81"/>
    </row>
    <row r="82" spans="2:10" x14ac:dyDescent="0.3">
      <c r="B82"/>
      <c r="C82"/>
      <c r="D82"/>
      <c r="E82"/>
      <c r="F82"/>
      <c r="G82"/>
      <c r="H82"/>
      <c r="I82"/>
      <c r="J82"/>
    </row>
  </sheetData>
  <mergeCells count="10">
    <mergeCell ref="B65:K66"/>
    <mergeCell ref="A3:K4"/>
    <mergeCell ref="B18:K19"/>
    <mergeCell ref="B33:K34"/>
    <mergeCell ref="B57:C57"/>
    <mergeCell ref="B58:C58"/>
    <mergeCell ref="C23:D23"/>
    <mergeCell ref="E23:F23"/>
    <mergeCell ref="C42:D42"/>
    <mergeCell ref="E42:F42"/>
  </mergeCells>
  <pageMargins left="0.7" right="0.7" top="0.75" bottom="0.75" header="0.3" footer="0.3"/>
  <pageSetup scale="71"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0A83-C8B9-4BD2-946A-A1A7A35BC3E8}">
  <dimension ref="A1:R115"/>
  <sheetViews>
    <sheetView zoomScaleNormal="100" workbookViewId="0"/>
  </sheetViews>
  <sheetFormatPr defaultColWidth="8.88671875" defaultRowHeight="15.6" x14ac:dyDescent="0.3"/>
  <cols>
    <col min="1" max="1" width="8.88671875" style="1" customWidth="1"/>
    <col min="2" max="2" width="15.88671875" style="1" customWidth="1"/>
    <col min="3" max="8" width="11.6640625" style="1" customWidth="1"/>
    <col min="9" max="16384" width="8.88671875" style="1"/>
  </cols>
  <sheetData>
    <row r="1" spans="1:12" ht="17.399999999999999" x14ac:dyDescent="0.3">
      <c r="A1" s="2" t="s">
        <v>189</v>
      </c>
      <c r="B1" s="4"/>
      <c r="C1" s="9" t="s">
        <v>12</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190</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x14ac:dyDescent="0.3">
      <c r="A5" s="13"/>
      <c r="B5" s="72" t="s">
        <v>64</v>
      </c>
      <c r="C5" s="339" t="s">
        <v>191</v>
      </c>
      <c r="D5" s="340"/>
      <c r="E5" s="340"/>
      <c r="F5" s="340"/>
      <c r="G5" s="340"/>
      <c r="H5" s="340"/>
      <c r="I5" s="10"/>
      <c r="J5" s="10"/>
      <c r="K5" s="10"/>
      <c r="L5" s="10"/>
    </row>
    <row r="6" spans="1:12" s="11" customFormat="1" x14ac:dyDescent="0.3">
      <c r="A6" s="13"/>
      <c r="B6" s="52" t="s">
        <v>65</v>
      </c>
      <c r="C6" s="66">
        <v>12</v>
      </c>
      <c r="D6" s="27">
        <v>24</v>
      </c>
      <c r="E6" s="27">
        <v>36</v>
      </c>
      <c r="F6" s="27">
        <v>48</v>
      </c>
      <c r="G6" s="27">
        <v>60</v>
      </c>
      <c r="H6" s="27">
        <v>72</v>
      </c>
      <c r="I6" s="10"/>
      <c r="J6" s="10"/>
      <c r="K6" s="10"/>
      <c r="L6" s="10"/>
    </row>
    <row r="7" spans="1:12" s="11" customFormat="1" x14ac:dyDescent="0.3">
      <c r="A7" s="13"/>
      <c r="B7" s="51">
        <v>2015</v>
      </c>
      <c r="C7" s="55">
        <v>3974890</v>
      </c>
      <c r="D7" s="55">
        <v>6702782</v>
      </c>
      <c r="E7" s="55">
        <v>9132258</v>
      </c>
      <c r="F7" s="55">
        <v>11832714</v>
      </c>
      <c r="G7" s="55">
        <v>12914233</v>
      </c>
      <c r="H7" s="55">
        <v>13597939</v>
      </c>
      <c r="I7" s="10"/>
      <c r="J7" s="10"/>
      <c r="K7" s="10"/>
      <c r="L7" s="10"/>
    </row>
    <row r="8" spans="1:12" s="11" customFormat="1" x14ac:dyDescent="0.3">
      <c r="A8" s="13"/>
      <c r="B8" s="29">
        <v>2016</v>
      </c>
      <c r="C8" s="55">
        <v>4666298</v>
      </c>
      <c r="D8" s="55">
        <v>7528464</v>
      </c>
      <c r="E8" s="55">
        <v>9575863</v>
      </c>
      <c r="F8" s="55">
        <v>12613332</v>
      </c>
      <c r="G8" s="55">
        <v>14395391</v>
      </c>
      <c r="H8" s="71"/>
      <c r="I8" s="10"/>
      <c r="J8" s="10"/>
      <c r="K8" s="10"/>
      <c r="L8" s="10"/>
    </row>
    <row r="9" spans="1:12" s="11" customFormat="1" x14ac:dyDescent="0.3">
      <c r="A9" s="12"/>
      <c r="B9" s="29">
        <v>2017</v>
      </c>
      <c r="C9" s="55">
        <v>4968311</v>
      </c>
      <c r="D9" s="55">
        <v>8535682</v>
      </c>
      <c r="E9" s="55">
        <v>10802912</v>
      </c>
      <c r="F9" s="55">
        <v>13826396</v>
      </c>
      <c r="G9" s="29"/>
      <c r="H9" s="29"/>
      <c r="I9" s="10"/>
      <c r="J9" s="10"/>
      <c r="K9" s="10"/>
      <c r="L9" s="10"/>
    </row>
    <row r="10" spans="1:12" s="11" customFormat="1" x14ac:dyDescent="0.3">
      <c r="A10" s="12"/>
      <c r="B10" s="29">
        <v>2018</v>
      </c>
      <c r="C10" s="55">
        <v>4670934</v>
      </c>
      <c r="D10" s="55">
        <v>7385262</v>
      </c>
      <c r="E10" s="55">
        <v>11327707</v>
      </c>
      <c r="F10" s="29"/>
      <c r="G10" s="29"/>
      <c r="H10" s="29"/>
      <c r="I10" s="10"/>
      <c r="J10" s="10"/>
      <c r="K10" s="10"/>
      <c r="L10" s="10"/>
    </row>
    <row r="11" spans="1:12" s="11" customFormat="1" x14ac:dyDescent="0.3">
      <c r="A11" s="13"/>
      <c r="B11" s="29">
        <v>2019</v>
      </c>
      <c r="C11" s="55">
        <v>4639868</v>
      </c>
      <c r="D11" s="55">
        <v>9902568</v>
      </c>
      <c r="E11" s="29"/>
      <c r="F11" s="29"/>
      <c r="G11" s="29"/>
      <c r="H11" s="29"/>
      <c r="I11" s="10"/>
      <c r="J11" s="10"/>
      <c r="K11" s="10"/>
      <c r="L11" s="10"/>
    </row>
    <row r="12" spans="1:12" s="11" customFormat="1" x14ac:dyDescent="0.3">
      <c r="A12" s="12"/>
      <c r="B12" s="29">
        <v>2020</v>
      </c>
      <c r="C12" s="55">
        <v>6046806</v>
      </c>
      <c r="D12" s="29"/>
      <c r="E12" s="29"/>
      <c r="F12" s="29"/>
      <c r="G12" s="29"/>
      <c r="H12" s="29"/>
      <c r="I12" s="10"/>
      <c r="J12" s="10"/>
      <c r="K12" s="10"/>
      <c r="L12" s="10"/>
    </row>
    <row r="13" spans="1:12" s="11" customFormat="1" x14ac:dyDescent="0.3">
      <c r="A13" s="12"/>
      <c r="B13" s="12"/>
      <c r="C13" s="12"/>
      <c r="D13" s="12"/>
      <c r="E13" s="12"/>
      <c r="F13" s="12"/>
      <c r="G13" s="12"/>
      <c r="H13" s="10"/>
      <c r="I13" s="10"/>
      <c r="J13" s="10"/>
      <c r="K13" s="10"/>
      <c r="L13" s="10"/>
    </row>
    <row r="14" spans="1:12" s="11" customFormat="1" x14ac:dyDescent="0.3">
      <c r="A14" s="12"/>
      <c r="B14" s="72" t="s">
        <v>64</v>
      </c>
      <c r="C14" s="340" t="s">
        <v>192</v>
      </c>
      <c r="D14" s="340"/>
      <c r="E14" s="340"/>
      <c r="F14" s="340"/>
      <c r="G14" s="340"/>
      <c r="H14" s="340"/>
      <c r="I14" s="10"/>
      <c r="J14" s="10"/>
      <c r="K14" s="10"/>
      <c r="L14" s="10"/>
    </row>
    <row r="15" spans="1:12" s="11" customFormat="1" x14ac:dyDescent="0.3">
      <c r="A15" s="12"/>
      <c r="B15" s="52" t="s">
        <v>65</v>
      </c>
      <c r="C15" s="27">
        <v>12</v>
      </c>
      <c r="D15" s="27">
        <v>24</v>
      </c>
      <c r="E15" s="27">
        <v>36</v>
      </c>
      <c r="F15" s="27">
        <v>48</v>
      </c>
      <c r="G15" s="27">
        <v>60</v>
      </c>
      <c r="H15" s="27">
        <v>72</v>
      </c>
      <c r="I15" s="10"/>
      <c r="J15" s="10"/>
      <c r="K15" s="10"/>
      <c r="L15" s="10"/>
    </row>
    <row r="16" spans="1:12" s="11" customFormat="1" x14ac:dyDescent="0.3">
      <c r="A16" s="12"/>
      <c r="B16" s="29">
        <v>2015</v>
      </c>
      <c r="C16" s="55">
        <v>717685</v>
      </c>
      <c r="D16" s="55">
        <v>2401770</v>
      </c>
      <c r="E16" s="55">
        <v>4388457</v>
      </c>
      <c r="F16" s="55">
        <v>7040802</v>
      </c>
      <c r="G16" s="55">
        <v>10007312</v>
      </c>
      <c r="H16" s="55">
        <v>12709286</v>
      </c>
      <c r="I16" s="10"/>
      <c r="J16" s="10"/>
      <c r="K16" s="10"/>
      <c r="L16" s="10"/>
    </row>
    <row r="17" spans="1:12" s="11" customFormat="1" x14ac:dyDescent="0.3">
      <c r="A17" s="12"/>
      <c r="B17" s="29">
        <v>2016</v>
      </c>
      <c r="C17" s="55">
        <v>743941</v>
      </c>
      <c r="D17" s="55">
        <v>2493804</v>
      </c>
      <c r="E17" s="55">
        <v>4570289</v>
      </c>
      <c r="F17" s="55">
        <v>7360202</v>
      </c>
      <c r="G17" s="55">
        <v>10483805</v>
      </c>
      <c r="H17" s="29"/>
      <c r="I17" s="10"/>
      <c r="J17" s="10"/>
      <c r="K17" s="10"/>
      <c r="L17" s="10"/>
    </row>
    <row r="18" spans="1:12" s="11" customFormat="1" x14ac:dyDescent="0.3">
      <c r="A18" s="12"/>
      <c r="B18" s="29">
        <v>2017</v>
      </c>
      <c r="C18" s="55">
        <v>730304</v>
      </c>
      <c r="D18" s="55">
        <v>2526958</v>
      </c>
      <c r="E18" s="55">
        <v>4617900</v>
      </c>
      <c r="F18" s="55">
        <v>7431111</v>
      </c>
      <c r="G18" s="29"/>
      <c r="H18" s="29"/>
      <c r="I18" s="10"/>
      <c r="J18" s="10"/>
      <c r="K18" s="10"/>
      <c r="L18" s="10"/>
    </row>
    <row r="19" spans="1:12" s="11" customFormat="1" x14ac:dyDescent="0.3">
      <c r="A19" s="12"/>
      <c r="B19" s="29">
        <v>2018</v>
      </c>
      <c r="C19" s="55">
        <v>742780</v>
      </c>
      <c r="D19" s="55">
        <v>2522316</v>
      </c>
      <c r="E19" s="55">
        <v>4554456</v>
      </c>
      <c r="F19" s="29"/>
      <c r="G19" s="29"/>
      <c r="H19" s="29"/>
      <c r="I19" s="10"/>
      <c r="J19" s="10"/>
      <c r="K19" s="10"/>
      <c r="L19" s="10"/>
    </row>
    <row r="20" spans="1:12" s="11" customFormat="1" x14ac:dyDescent="0.3">
      <c r="A20" s="12"/>
      <c r="B20" s="29">
        <v>2019</v>
      </c>
      <c r="C20" s="55">
        <v>706749</v>
      </c>
      <c r="D20" s="55">
        <v>2600954</v>
      </c>
      <c r="E20" s="29"/>
      <c r="F20" s="29"/>
      <c r="G20" s="29"/>
      <c r="H20" s="29"/>
      <c r="I20" s="10"/>
      <c r="J20" s="10"/>
      <c r="K20" s="10"/>
      <c r="L20" s="10"/>
    </row>
    <row r="21" spans="1:12" s="11" customFormat="1" x14ac:dyDescent="0.3">
      <c r="A21" s="12"/>
      <c r="B21" s="29">
        <v>2020</v>
      </c>
      <c r="C21" s="55">
        <v>744428</v>
      </c>
      <c r="D21" s="71"/>
      <c r="E21" s="29"/>
      <c r="F21" s="29"/>
      <c r="G21" s="29"/>
      <c r="H21" s="29"/>
      <c r="I21" s="10"/>
      <c r="J21" s="10"/>
      <c r="K21" s="10"/>
      <c r="L21" s="10"/>
    </row>
    <row r="22" spans="1:12" s="11" customFormat="1" x14ac:dyDescent="0.3">
      <c r="A22" s="12"/>
      <c r="B22" s="12"/>
      <c r="C22" s="12"/>
      <c r="D22" s="12"/>
      <c r="E22" s="12"/>
      <c r="F22" s="12"/>
      <c r="G22" s="12"/>
      <c r="H22" s="10"/>
      <c r="I22" s="10"/>
      <c r="J22" s="10"/>
      <c r="K22" s="10"/>
      <c r="L22" s="10"/>
    </row>
    <row r="23" spans="1:12" s="11" customFormat="1" x14ac:dyDescent="0.3">
      <c r="A23" s="12"/>
      <c r="B23" s="72" t="s">
        <v>64</v>
      </c>
      <c r="C23" s="340" t="s">
        <v>193</v>
      </c>
      <c r="D23" s="340"/>
      <c r="E23" s="340"/>
      <c r="F23" s="340"/>
      <c r="G23" s="340"/>
      <c r="H23" s="340"/>
      <c r="I23" s="10"/>
      <c r="J23" s="10"/>
      <c r="K23" s="10"/>
      <c r="L23" s="10"/>
    </row>
    <row r="24" spans="1:12" s="11" customFormat="1" x14ac:dyDescent="0.3">
      <c r="A24" s="12"/>
      <c r="B24" s="52" t="s">
        <v>65</v>
      </c>
      <c r="C24" s="27">
        <v>12</v>
      </c>
      <c r="D24" s="27">
        <v>24</v>
      </c>
      <c r="E24" s="27">
        <v>36</v>
      </c>
      <c r="F24" s="27">
        <v>48</v>
      </c>
      <c r="G24" s="27">
        <v>60</v>
      </c>
      <c r="H24" s="27">
        <v>72</v>
      </c>
      <c r="I24" s="10"/>
      <c r="J24" s="10"/>
      <c r="K24" s="10"/>
      <c r="L24" s="10"/>
    </row>
    <row r="25" spans="1:12" s="11" customFormat="1" x14ac:dyDescent="0.3">
      <c r="A25" s="12"/>
      <c r="B25" s="29">
        <v>2015</v>
      </c>
      <c r="C25" s="55">
        <v>1743</v>
      </c>
      <c r="D25" s="55">
        <v>1941</v>
      </c>
      <c r="E25" s="55">
        <v>2010</v>
      </c>
      <c r="F25" s="55">
        <v>2048</v>
      </c>
      <c r="G25" s="55">
        <v>2048</v>
      </c>
      <c r="H25" s="55">
        <v>2048</v>
      </c>
      <c r="I25" s="10"/>
      <c r="J25" s="10"/>
      <c r="K25" s="10"/>
      <c r="L25" s="10"/>
    </row>
    <row r="26" spans="1:12" s="11" customFormat="1" x14ac:dyDescent="0.3">
      <c r="A26" s="12"/>
      <c r="B26" s="29">
        <v>2016</v>
      </c>
      <c r="C26" s="55">
        <v>1867</v>
      </c>
      <c r="D26" s="55">
        <v>2043</v>
      </c>
      <c r="E26" s="55">
        <v>2098</v>
      </c>
      <c r="F26" s="55">
        <v>2143</v>
      </c>
      <c r="G26" s="55">
        <v>2143</v>
      </c>
      <c r="H26" s="65"/>
      <c r="I26" s="10"/>
      <c r="J26" s="10"/>
      <c r="K26" s="10"/>
      <c r="L26" s="10"/>
    </row>
    <row r="27" spans="1:12" s="11" customFormat="1" x14ac:dyDescent="0.3">
      <c r="A27" s="12"/>
      <c r="B27" s="29">
        <v>2017</v>
      </c>
      <c r="C27" s="55">
        <v>1895</v>
      </c>
      <c r="D27" s="55">
        <v>2063</v>
      </c>
      <c r="E27" s="55">
        <v>2128</v>
      </c>
      <c r="F27" s="55">
        <v>2156</v>
      </c>
      <c r="G27" s="29"/>
      <c r="H27" s="29"/>
      <c r="I27" s="10"/>
      <c r="J27" s="10"/>
      <c r="K27" s="10"/>
      <c r="L27" s="10"/>
    </row>
    <row r="28" spans="1:12" s="11" customFormat="1" x14ac:dyDescent="0.3">
      <c r="A28" s="12"/>
      <c r="B28" s="29">
        <v>2018</v>
      </c>
      <c r="C28" s="55">
        <v>1798</v>
      </c>
      <c r="D28" s="55">
        <v>1993</v>
      </c>
      <c r="E28" s="55">
        <v>2097</v>
      </c>
      <c r="F28" s="29"/>
      <c r="G28" s="29"/>
      <c r="H28" s="29"/>
      <c r="I28" s="10"/>
      <c r="J28" s="10"/>
      <c r="K28" s="10"/>
      <c r="L28" s="10"/>
    </row>
    <row r="29" spans="1:12" s="11" customFormat="1" x14ac:dyDescent="0.3">
      <c r="A29" s="12"/>
      <c r="B29" s="29">
        <v>2019</v>
      </c>
      <c r="C29" s="55">
        <v>1847</v>
      </c>
      <c r="D29" s="55">
        <v>2094</v>
      </c>
      <c r="E29" s="29"/>
      <c r="F29" s="29"/>
      <c r="G29" s="29"/>
      <c r="H29" s="29"/>
      <c r="I29" s="10"/>
      <c r="J29" s="10"/>
      <c r="K29" s="10"/>
      <c r="L29" s="10"/>
    </row>
    <row r="30" spans="1:12" s="11" customFormat="1" x14ac:dyDescent="0.3">
      <c r="A30" s="12"/>
      <c r="B30" s="29">
        <v>2020</v>
      </c>
      <c r="C30" s="55">
        <v>1889</v>
      </c>
      <c r="D30" s="29"/>
      <c r="E30" s="29"/>
      <c r="F30" s="29"/>
      <c r="G30" s="29"/>
      <c r="H30" s="29"/>
      <c r="I30" s="10"/>
      <c r="J30" s="10"/>
      <c r="K30" s="10"/>
      <c r="L30" s="10"/>
    </row>
    <row r="31" spans="1:12" s="11" customFormat="1" x14ac:dyDescent="0.3">
      <c r="A31" s="12"/>
      <c r="B31" s="12"/>
      <c r="C31" s="12"/>
      <c r="D31" s="12"/>
      <c r="E31" s="12"/>
      <c r="F31" s="12"/>
      <c r="G31" s="12"/>
      <c r="H31" s="10"/>
      <c r="I31" s="10"/>
      <c r="J31" s="10"/>
      <c r="K31" s="10"/>
      <c r="L31" s="10"/>
    </row>
    <row r="32" spans="1:12" s="11" customFormat="1" x14ac:dyDescent="0.3">
      <c r="A32" s="12"/>
      <c r="B32" s="72" t="s">
        <v>64</v>
      </c>
      <c r="C32" s="340" t="s">
        <v>194</v>
      </c>
      <c r="D32" s="340"/>
      <c r="E32" s="340"/>
      <c r="F32" s="340"/>
      <c r="G32" s="340"/>
      <c r="H32" s="340"/>
      <c r="I32" s="10"/>
      <c r="J32" s="10"/>
      <c r="K32" s="10"/>
      <c r="L32" s="10"/>
    </row>
    <row r="33" spans="1:18" s="11" customFormat="1" x14ac:dyDescent="0.3">
      <c r="A33" s="12"/>
      <c r="B33" s="52" t="s">
        <v>65</v>
      </c>
      <c r="C33" s="27">
        <v>12</v>
      </c>
      <c r="D33" s="27">
        <v>24</v>
      </c>
      <c r="E33" s="27">
        <v>36</v>
      </c>
      <c r="F33" s="27">
        <v>48</v>
      </c>
      <c r="G33" s="27">
        <v>60</v>
      </c>
      <c r="H33" s="27">
        <v>72</v>
      </c>
      <c r="I33" s="10"/>
      <c r="J33" s="10"/>
      <c r="K33" s="10"/>
      <c r="L33" s="10"/>
    </row>
    <row r="34" spans="1:18" s="11" customFormat="1" x14ac:dyDescent="0.3">
      <c r="A34" s="12"/>
      <c r="B34" s="29">
        <v>2015</v>
      </c>
      <c r="C34" s="55">
        <v>1098</v>
      </c>
      <c r="D34" s="55">
        <v>1640</v>
      </c>
      <c r="E34" s="55">
        <v>1845</v>
      </c>
      <c r="F34" s="55">
        <v>1926</v>
      </c>
      <c r="G34" s="55">
        <v>1978</v>
      </c>
      <c r="H34" s="55">
        <v>2008</v>
      </c>
      <c r="I34" s="10"/>
      <c r="J34" s="10"/>
      <c r="K34" s="10"/>
      <c r="L34" s="10"/>
    </row>
    <row r="35" spans="1:18" x14ac:dyDescent="0.3">
      <c r="A35" s="12"/>
      <c r="B35" s="29">
        <v>2016</v>
      </c>
      <c r="C35" s="55">
        <v>1122</v>
      </c>
      <c r="D35" s="55">
        <v>1704</v>
      </c>
      <c r="E35" s="55">
        <v>1931</v>
      </c>
      <c r="F35" s="55">
        <v>2019</v>
      </c>
      <c r="G35" s="55">
        <v>2070</v>
      </c>
      <c r="H35" s="29"/>
      <c r="I35" s="9"/>
      <c r="J35" s="9"/>
      <c r="K35" s="9"/>
      <c r="L35" s="9"/>
    </row>
    <row r="36" spans="1:18" x14ac:dyDescent="0.3">
      <c r="A36" s="12"/>
      <c r="B36" s="29">
        <v>2017</v>
      </c>
      <c r="C36" s="55">
        <v>1125</v>
      </c>
      <c r="D36" s="55">
        <v>1680</v>
      </c>
      <c r="E36" s="55">
        <v>1935</v>
      </c>
      <c r="F36" s="55">
        <v>2028</v>
      </c>
      <c r="G36" s="29"/>
      <c r="H36" s="29"/>
      <c r="I36" s="9"/>
      <c r="J36" s="9"/>
      <c r="K36" s="9"/>
      <c r="L36" s="9"/>
    </row>
    <row r="37" spans="1:18" x14ac:dyDescent="0.3">
      <c r="A37" s="9"/>
      <c r="B37" s="29">
        <v>2018</v>
      </c>
      <c r="C37" s="55">
        <v>1111</v>
      </c>
      <c r="D37" s="55">
        <v>1706</v>
      </c>
      <c r="E37" s="55">
        <v>1919</v>
      </c>
      <c r="F37" s="29"/>
      <c r="G37" s="29"/>
      <c r="H37" s="29"/>
      <c r="I37" s="9"/>
      <c r="J37" s="9"/>
      <c r="K37" s="9"/>
      <c r="L37" s="9"/>
    </row>
    <row r="38" spans="1:18" x14ac:dyDescent="0.3">
      <c r="A38" s="9"/>
      <c r="B38" s="29">
        <v>2019</v>
      </c>
      <c r="C38" s="55">
        <v>1202</v>
      </c>
      <c r="D38" s="55">
        <v>1755</v>
      </c>
      <c r="E38" s="29"/>
      <c r="F38" s="29"/>
      <c r="G38" s="29"/>
      <c r="H38" s="29"/>
      <c r="I38" s="9"/>
      <c r="J38" s="9"/>
      <c r="K38" s="9"/>
      <c r="L38" s="9"/>
    </row>
    <row r="39" spans="1:18" x14ac:dyDescent="0.3">
      <c r="A39" s="9"/>
      <c r="B39" s="29">
        <v>2020</v>
      </c>
      <c r="C39" s="55">
        <v>1165</v>
      </c>
      <c r="D39" s="65"/>
      <c r="E39" s="29"/>
      <c r="F39" s="29"/>
      <c r="G39" s="29"/>
      <c r="H39" s="29"/>
      <c r="I39" s="9"/>
      <c r="J39" s="9"/>
      <c r="K39" s="9"/>
      <c r="L39" s="9"/>
    </row>
    <row r="40" spans="1:18" x14ac:dyDescent="0.3">
      <c r="A40" s="9"/>
      <c r="B40" s="9"/>
      <c r="C40" s="9"/>
      <c r="D40" s="9"/>
      <c r="E40" s="9"/>
      <c r="F40" s="9"/>
      <c r="G40" s="9"/>
      <c r="H40" s="9"/>
      <c r="I40" s="9"/>
      <c r="J40" s="9"/>
      <c r="K40" s="9"/>
      <c r="L40" s="9"/>
    </row>
    <row r="41" spans="1:18" x14ac:dyDescent="0.3">
      <c r="A41" s="9" t="s">
        <v>337</v>
      </c>
      <c r="B41" s="9"/>
      <c r="C41" s="9"/>
      <c r="D41" s="104">
        <v>5.8999999999999997E-2</v>
      </c>
      <c r="E41" s="9"/>
      <c r="F41" s="9"/>
      <c r="G41" s="9"/>
      <c r="H41" s="9"/>
      <c r="I41" s="9"/>
      <c r="J41" s="9"/>
      <c r="K41" s="9"/>
      <c r="L41" s="9"/>
    </row>
    <row r="42" spans="1:18" x14ac:dyDescent="0.3">
      <c r="A42" s="9" t="s">
        <v>347</v>
      </c>
      <c r="B42" s="9"/>
      <c r="C42" s="9"/>
      <c r="D42" s="89">
        <v>0.02</v>
      </c>
      <c r="E42" s="9" t="s">
        <v>346</v>
      </c>
      <c r="F42" s="9"/>
      <c r="G42" s="9"/>
      <c r="H42" s="9"/>
      <c r="I42" s="9"/>
      <c r="J42" s="9"/>
      <c r="K42" s="9"/>
      <c r="L42" s="9"/>
    </row>
    <row r="43" spans="1:18" x14ac:dyDescent="0.3">
      <c r="A43" s="9"/>
      <c r="B43" s="9"/>
      <c r="C43" s="9"/>
      <c r="D43" s="9"/>
      <c r="E43" s="9"/>
      <c r="F43" s="9"/>
      <c r="G43" s="9"/>
      <c r="H43" s="9"/>
      <c r="I43" s="9"/>
      <c r="J43" s="9"/>
      <c r="K43" s="9"/>
      <c r="L43" s="9"/>
    </row>
    <row r="44" spans="1:18" x14ac:dyDescent="0.3">
      <c r="A44" s="7"/>
      <c r="B44" s="7"/>
      <c r="C44" s="7"/>
      <c r="D44" s="7"/>
      <c r="E44" s="7"/>
      <c r="F44" s="7"/>
      <c r="G44" s="7"/>
      <c r="H44" s="7"/>
      <c r="I44" s="7"/>
      <c r="J44" s="7"/>
      <c r="K44" s="7"/>
      <c r="L44" s="7"/>
    </row>
    <row r="45" spans="1:18" x14ac:dyDescent="0.3">
      <c r="A45" s="6" t="s">
        <v>4</v>
      </c>
      <c r="B45" s="4" t="s">
        <v>195</v>
      </c>
      <c r="C45" s="4"/>
      <c r="D45" s="4"/>
      <c r="E45" s="4"/>
      <c r="F45" s="4"/>
      <c r="G45" s="4"/>
      <c r="H45" s="4"/>
      <c r="I45" s="4"/>
      <c r="J45" s="4"/>
      <c r="K45" s="4"/>
      <c r="L45" s="4"/>
      <c r="M45" s="8"/>
      <c r="N45" s="8"/>
      <c r="O45" s="8"/>
      <c r="P45" s="8"/>
      <c r="Q45" s="8"/>
      <c r="R45" s="8"/>
    </row>
    <row r="46" spans="1:18" x14ac:dyDescent="0.3">
      <c r="A46" s="3"/>
      <c r="B46" s="3"/>
      <c r="C46" s="3"/>
      <c r="D46" s="3"/>
      <c r="E46" s="3"/>
      <c r="F46" s="3"/>
      <c r="G46" s="4"/>
      <c r="H46" s="4"/>
      <c r="I46" s="4"/>
      <c r="J46" s="4"/>
      <c r="K46" s="4"/>
      <c r="L46" s="4"/>
    </row>
    <row r="47" spans="1:18" x14ac:dyDescent="0.3">
      <c r="A47" s="7"/>
      <c r="B47" s="7"/>
      <c r="C47" s="7"/>
      <c r="D47" s="7"/>
      <c r="E47" s="7"/>
      <c r="F47" s="7"/>
      <c r="G47" s="7"/>
      <c r="H47" s="7"/>
      <c r="I47" s="7"/>
      <c r="J47" s="7"/>
      <c r="K47" s="7"/>
      <c r="L47" s="7"/>
      <c r="M47" s="7"/>
    </row>
    <row r="48" spans="1:18" x14ac:dyDescent="0.3">
      <c r="A48" s="7" t="s">
        <v>1</v>
      </c>
      <c r="I48" s="7"/>
      <c r="J48" s="7"/>
      <c r="K48" s="7"/>
      <c r="L48" s="7"/>
      <c r="M48" s="7"/>
      <c r="N48" s="8"/>
    </row>
    <row r="49" spans="1:14" x14ac:dyDescent="0.3">
      <c r="A49" s="7"/>
      <c r="B49" s="260" t="s">
        <v>64</v>
      </c>
      <c r="C49" s="353" t="s">
        <v>581</v>
      </c>
      <c r="D49" s="353"/>
      <c r="E49" s="353"/>
      <c r="F49" s="353"/>
      <c r="G49" s="353"/>
      <c r="H49" s="353"/>
      <c r="I49" s="7"/>
      <c r="J49" s="7"/>
      <c r="K49" s="7"/>
      <c r="L49" s="7"/>
      <c r="M49" s="7"/>
      <c r="N49" s="8"/>
    </row>
    <row r="50" spans="1:14" x14ac:dyDescent="0.3">
      <c r="A50" s="7"/>
      <c r="B50" s="261" t="s">
        <v>65</v>
      </c>
      <c r="C50" s="261">
        <v>12</v>
      </c>
      <c r="D50" s="261">
        <v>24</v>
      </c>
      <c r="E50" s="261">
        <v>36</v>
      </c>
      <c r="F50" s="261">
        <v>48</v>
      </c>
      <c r="G50" s="261">
        <v>60</v>
      </c>
      <c r="H50" s="261">
        <v>72</v>
      </c>
      <c r="I50" s="7"/>
      <c r="J50" s="7"/>
      <c r="K50" s="7"/>
      <c r="L50" s="7"/>
      <c r="M50" s="7"/>
      <c r="N50" s="8"/>
    </row>
    <row r="51" spans="1:14" x14ac:dyDescent="0.3">
      <c r="A51" s="7"/>
      <c r="B51" s="260">
        <v>2015</v>
      </c>
      <c r="C51" s="257">
        <f t="shared" ref="C51:H51" si="0">IF(C7=0,0,(C7-C16)/(C25-C34))</f>
        <v>5049.9302325581393</v>
      </c>
      <c r="D51" s="257">
        <f t="shared" si="0"/>
        <v>14289.076411960134</v>
      </c>
      <c r="E51" s="257">
        <f t="shared" si="0"/>
        <v>28750.30909090909</v>
      </c>
      <c r="F51" s="257">
        <f t="shared" si="0"/>
        <v>39277.967213114753</v>
      </c>
      <c r="G51" s="257">
        <f t="shared" si="0"/>
        <v>41527.442857142858</v>
      </c>
      <c r="H51" s="257">
        <f t="shared" si="0"/>
        <v>22216.325000000001</v>
      </c>
      <c r="I51" s="7"/>
      <c r="J51" s="7"/>
      <c r="K51" s="7"/>
      <c r="L51" s="7"/>
      <c r="M51" s="7"/>
      <c r="N51" s="8"/>
    </row>
    <row r="52" spans="1:14" x14ac:dyDescent="0.3">
      <c r="A52" s="7"/>
      <c r="B52" s="260">
        <v>2016</v>
      </c>
      <c r="C52" s="257">
        <f>IF(C8=0,0,(C8-C17)/(C26-C35))</f>
        <v>5264.9087248322148</v>
      </c>
      <c r="D52" s="257">
        <f>IF(D8=0,0,(D8-D17)/(D26-D35))</f>
        <v>14851.504424778761</v>
      </c>
      <c r="E52" s="257">
        <f>IF(E8=0,0,(E8-E17)/(E26-E35))</f>
        <v>29973.497005988025</v>
      </c>
      <c r="F52" s="257">
        <f>IF(F8=0,0,(F8-F17)/(F26-F35))</f>
        <v>42363.951612903227</v>
      </c>
      <c r="G52" s="257">
        <f>IF(G8=0,0,(G8-G17)/(G26-G35))</f>
        <v>53583.369863013701</v>
      </c>
      <c r="H52" s="257"/>
      <c r="I52" s="7"/>
      <c r="J52" s="7"/>
      <c r="K52" s="7"/>
      <c r="L52" s="7"/>
      <c r="M52" s="7"/>
      <c r="N52" s="8"/>
    </row>
    <row r="53" spans="1:14" x14ac:dyDescent="0.3">
      <c r="A53" s="7"/>
      <c r="B53" s="260">
        <v>2017</v>
      </c>
      <c r="C53" s="257">
        <f>IF(C9=0,0,(C9-C18)/(C27-C36))</f>
        <v>5503.9051948051947</v>
      </c>
      <c r="D53" s="257">
        <f>IF(D9=0,0,(D9-D18)/(D27-D36))</f>
        <v>15688.574412532636</v>
      </c>
      <c r="E53" s="257">
        <f>IF(E9=0,0,(E9-E18)/(E27-E36))</f>
        <v>32046.694300518135</v>
      </c>
      <c r="F53" s="257">
        <f>IF(F9=0,0,(F9-F18)/(F27-F36))</f>
        <v>49963.1640625</v>
      </c>
      <c r="G53" s="257"/>
      <c r="H53" s="257"/>
      <c r="I53" s="7"/>
      <c r="J53" s="7"/>
      <c r="K53" s="7"/>
      <c r="L53" s="7"/>
      <c r="M53" s="7"/>
      <c r="N53" s="8"/>
    </row>
    <row r="54" spans="1:14" x14ac:dyDescent="0.3">
      <c r="A54" s="7"/>
      <c r="B54" s="260">
        <v>2018</v>
      </c>
      <c r="C54" s="257">
        <f>IF(C10=0,0,(C10-C19)/(C28-C37))</f>
        <v>5717.8369723435226</v>
      </c>
      <c r="D54" s="257">
        <f>IF(D10=0,0,(D10-D19)/(D28-D37))</f>
        <v>16944.062717770033</v>
      </c>
      <c r="E54" s="257">
        <f>IF(E10=0,0,(E10-E19)/(E28-E37))</f>
        <v>38051.971910112363</v>
      </c>
      <c r="F54" s="257"/>
      <c r="G54" s="257"/>
      <c r="H54" s="257"/>
      <c r="I54" s="7"/>
      <c r="J54" s="7"/>
      <c r="K54" s="7"/>
      <c r="L54" s="7"/>
      <c r="M54" s="7"/>
      <c r="N54" s="8"/>
    </row>
    <row r="55" spans="1:14" x14ac:dyDescent="0.3">
      <c r="A55" s="7"/>
      <c r="B55" s="260">
        <v>2019</v>
      </c>
      <c r="C55" s="257">
        <f>IF(C11=0,0,(C11-C20)/(C29-C38))</f>
        <v>6097.8589147286821</v>
      </c>
      <c r="D55" s="257">
        <f>IF(D11=0,0,(D11-D20)/(D29-D38))</f>
        <v>21538.684365781712</v>
      </c>
      <c r="E55" s="257"/>
      <c r="F55" s="257"/>
      <c r="G55" s="257"/>
      <c r="H55" s="257"/>
      <c r="I55" s="7"/>
      <c r="J55" s="7"/>
      <c r="K55" s="7"/>
      <c r="L55" s="7"/>
      <c r="M55" s="7"/>
      <c r="N55" s="8"/>
    </row>
    <row r="56" spans="1:14" x14ac:dyDescent="0.3">
      <c r="A56" s="7"/>
      <c r="B56" s="260">
        <v>2020</v>
      </c>
      <c r="C56" s="257">
        <f>IF(C12=0,0,(C12-C21)/(C30-C39))</f>
        <v>7323.7265193370167</v>
      </c>
      <c r="D56" s="257"/>
      <c r="E56" s="257"/>
      <c r="F56" s="257"/>
      <c r="G56" s="257"/>
      <c r="H56" s="257"/>
      <c r="I56" s="7"/>
      <c r="J56" s="7"/>
      <c r="K56" s="7"/>
      <c r="L56" s="7"/>
      <c r="M56" s="7"/>
      <c r="N56" s="8"/>
    </row>
    <row r="58" spans="1:14" x14ac:dyDescent="0.3">
      <c r="A58" s="6" t="s">
        <v>5</v>
      </c>
      <c r="B58" s="4" t="s">
        <v>196</v>
      </c>
      <c r="C58" s="4"/>
      <c r="D58" s="4"/>
      <c r="E58" s="4"/>
      <c r="F58" s="4"/>
      <c r="G58" s="4"/>
      <c r="H58" s="4"/>
      <c r="I58" s="4"/>
      <c r="J58" s="4"/>
      <c r="K58" s="4"/>
      <c r="L58" s="4"/>
    </row>
    <row r="59" spans="1:14" x14ac:dyDescent="0.3">
      <c r="A59" s="3"/>
      <c r="B59" s="3"/>
      <c r="C59" s="3"/>
      <c r="D59" s="3"/>
      <c r="E59" s="3"/>
      <c r="F59" s="3"/>
      <c r="G59" s="4"/>
      <c r="H59" s="4"/>
      <c r="I59" s="4"/>
      <c r="J59" s="4"/>
      <c r="K59" s="4"/>
      <c r="L59" s="4"/>
    </row>
    <row r="60" spans="1:14" x14ac:dyDescent="0.3">
      <c r="A60" s="7"/>
      <c r="B60" s="7"/>
      <c r="C60" s="7"/>
      <c r="D60" s="7"/>
      <c r="E60" s="7"/>
      <c r="F60" s="7"/>
      <c r="G60" s="7"/>
      <c r="H60" s="7"/>
      <c r="I60" s="7"/>
      <c r="J60" s="7"/>
      <c r="K60" s="7"/>
      <c r="L60" s="7"/>
    </row>
    <row r="61" spans="1:14" x14ac:dyDescent="0.3">
      <c r="A61" s="7" t="s">
        <v>1</v>
      </c>
      <c r="B61" s="7"/>
      <c r="C61" s="7"/>
      <c r="D61" s="7"/>
      <c r="E61" s="7"/>
      <c r="F61" s="7"/>
      <c r="G61" s="7"/>
      <c r="H61" s="7"/>
      <c r="I61" s="7"/>
      <c r="J61" s="7"/>
      <c r="K61" s="7"/>
      <c r="L61" s="7"/>
    </row>
    <row r="62" spans="1:14" x14ac:dyDescent="0.3">
      <c r="A62" s="7"/>
      <c r="B62" s="7" t="s">
        <v>582</v>
      </c>
      <c r="C62" s="7"/>
      <c r="D62" s="7"/>
      <c r="E62" s="7"/>
      <c r="F62" s="7"/>
      <c r="G62" s="7"/>
      <c r="H62" s="7"/>
      <c r="I62" s="7"/>
      <c r="J62" s="7"/>
      <c r="K62" s="7"/>
      <c r="L62" s="7"/>
    </row>
    <row r="64" spans="1:14" x14ac:dyDescent="0.3">
      <c r="A64" s="6" t="s">
        <v>0</v>
      </c>
      <c r="B64" s="4" t="s">
        <v>197</v>
      </c>
      <c r="C64" s="4"/>
      <c r="D64" s="4"/>
      <c r="E64" s="4"/>
      <c r="F64" s="4"/>
      <c r="G64" s="4"/>
      <c r="H64" s="4"/>
      <c r="I64" s="4"/>
      <c r="J64" s="4"/>
      <c r="K64" s="4"/>
      <c r="L64" s="4"/>
    </row>
    <row r="65" spans="1:14" x14ac:dyDescent="0.3">
      <c r="A65" s="3"/>
      <c r="B65" s="3"/>
      <c r="C65" s="3"/>
      <c r="D65" s="3"/>
      <c r="E65" s="3"/>
      <c r="F65" s="3"/>
      <c r="G65" s="4"/>
      <c r="H65" s="4"/>
      <c r="I65" s="4"/>
      <c r="J65" s="4"/>
      <c r="K65" s="4"/>
      <c r="L65" s="4"/>
    </row>
    <row r="66" spans="1:14" x14ac:dyDescent="0.3">
      <c r="A66" s="7"/>
      <c r="B66" s="7"/>
      <c r="C66" s="7"/>
      <c r="D66" s="7"/>
      <c r="E66" s="7"/>
      <c r="F66" s="7"/>
      <c r="G66" s="7"/>
      <c r="H66" s="7"/>
      <c r="I66" s="7"/>
      <c r="J66" s="7"/>
      <c r="K66" s="7"/>
      <c r="L66" s="7"/>
    </row>
    <row r="67" spans="1:14" x14ac:dyDescent="0.3">
      <c r="A67" s="7" t="s">
        <v>1</v>
      </c>
      <c r="B67" s="7"/>
      <c r="C67" s="7"/>
      <c r="D67" s="7"/>
      <c r="E67" s="7"/>
      <c r="F67" s="7"/>
      <c r="G67" s="7"/>
      <c r="H67" s="7"/>
      <c r="I67" s="7"/>
      <c r="J67" s="7"/>
      <c r="K67" s="7"/>
      <c r="L67" s="7"/>
    </row>
    <row r="68" spans="1:14" x14ac:dyDescent="0.3">
      <c r="A68" s="7"/>
      <c r="B68" s="260"/>
      <c r="C68" s="353" t="s">
        <v>589</v>
      </c>
      <c r="D68" s="353"/>
      <c r="E68" s="353"/>
      <c r="F68" s="353"/>
      <c r="G68" s="353"/>
      <c r="H68" s="353"/>
      <c r="I68" s="7"/>
      <c r="J68" s="7"/>
      <c r="K68" s="7"/>
      <c r="L68" s="7"/>
    </row>
    <row r="69" spans="1:14" x14ac:dyDescent="0.3">
      <c r="A69" s="7"/>
      <c r="B69" s="261" t="s">
        <v>447</v>
      </c>
      <c r="C69" s="261">
        <v>12</v>
      </c>
      <c r="D69" s="261">
        <v>24</v>
      </c>
      <c r="E69" s="261">
        <v>36</v>
      </c>
      <c r="F69" s="261">
        <v>48</v>
      </c>
      <c r="G69" s="261">
        <v>60</v>
      </c>
      <c r="H69" s="261">
        <v>72</v>
      </c>
      <c r="I69" s="7"/>
      <c r="J69" s="7"/>
      <c r="K69" s="7"/>
      <c r="L69" s="7"/>
    </row>
    <row r="70" spans="1:14" x14ac:dyDescent="0.3">
      <c r="B70" s="260">
        <v>2015</v>
      </c>
      <c r="C70" s="257">
        <f t="shared" ref="C70:G73" si="1">C71/(1+$D$41)</f>
        <v>5498.6024100111299</v>
      </c>
      <c r="D70" s="257">
        <f t="shared" si="1"/>
        <v>17125.18735850848</v>
      </c>
      <c r="E70" s="257">
        <f t="shared" si="1"/>
        <v>32039.76242711848</v>
      </c>
      <c r="F70" s="257">
        <f t="shared" si="1"/>
        <v>44551.057095483564</v>
      </c>
      <c r="G70" s="257">
        <f t="shared" si="1"/>
        <v>50598.082967907183</v>
      </c>
      <c r="H70" s="257">
        <f>H51</f>
        <v>22216.325000000001</v>
      </c>
    </row>
    <row r="71" spans="1:14" x14ac:dyDescent="0.3">
      <c r="B71" s="260">
        <v>2016</v>
      </c>
      <c r="C71" s="257">
        <f t="shared" si="1"/>
        <v>5823.0199522017865</v>
      </c>
      <c r="D71" s="257">
        <f t="shared" si="1"/>
        <v>18135.57341266048</v>
      </c>
      <c r="E71" s="257">
        <f t="shared" si="1"/>
        <v>33930.108410318469</v>
      </c>
      <c r="F71" s="257">
        <f t="shared" si="1"/>
        <v>47179.569464117092</v>
      </c>
      <c r="G71" s="257">
        <f>G52</f>
        <v>53583.369863013701</v>
      </c>
      <c r="H71" s="257"/>
    </row>
    <row r="72" spans="1:14" x14ac:dyDescent="0.3">
      <c r="B72" s="260">
        <v>2017</v>
      </c>
      <c r="C72" s="257">
        <f t="shared" si="1"/>
        <v>6166.5781293816917</v>
      </c>
      <c r="D72" s="257">
        <f t="shared" si="1"/>
        <v>19205.572244007446</v>
      </c>
      <c r="E72" s="257">
        <f t="shared" si="1"/>
        <v>35931.98480652726</v>
      </c>
      <c r="F72" s="257">
        <f>F53</f>
        <v>49963.1640625</v>
      </c>
      <c r="G72" s="257"/>
      <c r="H72" s="257"/>
      <c r="M72" s="7"/>
      <c r="N72" s="7"/>
    </row>
    <row r="73" spans="1:14" x14ac:dyDescent="0.3">
      <c r="B73" s="260">
        <v>2018</v>
      </c>
      <c r="C73" s="257">
        <f t="shared" si="1"/>
        <v>6530.4062390152112</v>
      </c>
      <c r="D73" s="257">
        <f t="shared" si="1"/>
        <v>20338.701006403884</v>
      </c>
      <c r="E73" s="257">
        <f>E54</f>
        <v>38051.971910112363</v>
      </c>
      <c r="F73" s="257"/>
      <c r="G73" s="257"/>
      <c r="H73" s="257"/>
      <c r="M73" s="7"/>
      <c r="N73" s="7"/>
    </row>
    <row r="74" spans="1:14" x14ac:dyDescent="0.3">
      <c r="B74" s="260">
        <v>2019</v>
      </c>
      <c r="C74" s="257">
        <f>C75/(1+$D$41)</f>
        <v>6915.7002071171082</v>
      </c>
      <c r="D74" s="257">
        <f>D55</f>
        <v>21538.684365781712</v>
      </c>
      <c r="E74" s="257"/>
      <c r="F74" s="257"/>
      <c r="G74" s="257"/>
      <c r="H74" s="257"/>
      <c r="M74" s="7"/>
      <c r="N74" s="7"/>
    </row>
    <row r="75" spans="1:14" x14ac:dyDescent="0.3">
      <c r="B75" s="260">
        <v>2020</v>
      </c>
      <c r="C75" s="257">
        <f>C56</f>
        <v>7323.7265193370167</v>
      </c>
      <c r="D75" s="257"/>
      <c r="E75" s="257"/>
      <c r="F75" s="257"/>
      <c r="G75" s="257"/>
      <c r="H75" s="257"/>
    </row>
    <row r="76" spans="1:14" x14ac:dyDescent="0.3">
      <c r="B76" s="187"/>
      <c r="C76" s="187"/>
      <c r="D76" s="187"/>
      <c r="E76" s="187"/>
      <c r="F76" s="187"/>
      <c r="G76" s="187"/>
      <c r="H76" s="187"/>
    </row>
    <row r="77" spans="1:14" x14ac:dyDescent="0.3">
      <c r="B77" s="260"/>
      <c r="C77" s="353" t="s">
        <v>590</v>
      </c>
      <c r="D77" s="353"/>
      <c r="E77" s="353"/>
      <c r="F77" s="353"/>
      <c r="G77" s="353"/>
      <c r="H77" s="353"/>
    </row>
    <row r="78" spans="1:14" x14ac:dyDescent="0.3">
      <c r="B78" s="261" t="s">
        <v>447</v>
      </c>
      <c r="C78" s="261">
        <v>12</v>
      </c>
      <c r="D78" s="261">
        <v>24</v>
      </c>
      <c r="E78" s="261">
        <v>36</v>
      </c>
      <c r="F78" s="261">
        <v>48</v>
      </c>
      <c r="G78" s="261">
        <v>60</v>
      </c>
      <c r="H78" s="261">
        <v>72</v>
      </c>
    </row>
    <row r="79" spans="1:14" x14ac:dyDescent="0.3">
      <c r="B79" s="260">
        <v>2015</v>
      </c>
      <c r="C79" s="257">
        <f>C70*(C25-C34)</f>
        <v>3546598.5544571788</v>
      </c>
      <c r="D79" s="257">
        <f t="shared" ref="D79:H79" si="2">D70*(D25-D34)</f>
        <v>5154681.3949110527</v>
      </c>
      <c r="E79" s="257">
        <f t="shared" si="2"/>
        <v>5286560.8004745487</v>
      </c>
      <c r="F79" s="257">
        <f t="shared" si="2"/>
        <v>5435228.9656489948</v>
      </c>
      <c r="G79" s="257">
        <f t="shared" si="2"/>
        <v>3541865.8077535029</v>
      </c>
      <c r="H79" s="257">
        <f t="shared" si="2"/>
        <v>888653</v>
      </c>
    </row>
    <row r="80" spans="1:14" x14ac:dyDescent="0.3">
      <c r="B80" s="260">
        <v>2016</v>
      </c>
      <c r="C80" s="257">
        <f t="shared" ref="C80:G80" si="3">C71*(C26-C35)</f>
        <v>4338149.8643903313</v>
      </c>
      <c r="D80" s="257">
        <f t="shared" si="3"/>
        <v>6147959.3868919024</v>
      </c>
      <c r="E80" s="257">
        <f t="shared" si="3"/>
        <v>5666328.1045231847</v>
      </c>
      <c r="F80" s="257">
        <f t="shared" si="3"/>
        <v>5850266.6135505196</v>
      </c>
      <c r="G80" s="257">
        <f t="shared" si="3"/>
        <v>3911586</v>
      </c>
      <c r="H80" s="257"/>
    </row>
    <row r="81" spans="2:8" x14ac:dyDescent="0.3">
      <c r="B81" s="260">
        <v>2017</v>
      </c>
      <c r="C81" s="257">
        <f t="shared" ref="C81:F81" si="4">C72*(C27-C36)</f>
        <v>4748265.1596239023</v>
      </c>
      <c r="D81" s="257">
        <f t="shared" si="4"/>
        <v>7355734.1694548521</v>
      </c>
      <c r="E81" s="257">
        <f t="shared" si="4"/>
        <v>6934873.0676597608</v>
      </c>
      <c r="F81" s="257">
        <f t="shared" si="4"/>
        <v>6395285</v>
      </c>
      <c r="G81" s="257"/>
      <c r="H81" s="257"/>
    </row>
    <row r="82" spans="2:8" x14ac:dyDescent="0.3">
      <c r="B82" s="260">
        <v>2018</v>
      </c>
      <c r="C82" s="257">
        <f t="shared" ref="C82:E82" si="5">C73*(C28-C37)</f>
        <v>4486389.0862034503</v>
      </c>
      <c r="D82" s="257">
        <f t="shared" si="5"/>
        <v>5837207.1888379147</v>
      </c>
      <c r="E82" s="257">
        <f t="shared" si="5"/>
        <v>6773251.0000000009</v>
      </c>
      <c r="F82" s="257"/>
      <c r="G82" s="257"/>
      <c r="H82" s="257"/>
    </row>
    <row r="83" spans="2:8" x14ac:dyDescent="0.3">
      <c r="B83" s="260">
        <v>2019</v>
      </c>
      <c r="C83" s="257">
        <f t="shared" ref="C83:D83" si="6">C74*(C29-C38)</f>
        <v>4460626.6335905353</v>
      </c>
      <c r="D83" s="257">
        <f t="shared" si="6"/>
        <v>7301614</v>
      </c>
      <c r="E83" s="257"/>
      <c r="F83" s="257"/>
      <c r="G83" s="257"/>
      <c r="H83" s="257"/>
    </row>
    <row r="84" spans="2:8" x14ac:dyDescent="0.3">
      <c r="B84" s="260">
        <v>2020</v>
      </c>
      <c r="C84" s="257">
        <f t="shared" ref="C84" si="7">C75*(C30-C39)</f>
        <v>5302378</v>
      </c>
      <c r="D84" s="257"/>
      <c r="E84" s="257"/>
      <c r="F84" s="257"/>
      <c r="G84" s="257"/>
      <c r="H84" s="257"/>
    </row>
    <row r="85" spans="2:8" x14ac:dyDescent="0.3">
      <c r="B85" s="187"/>
      <c r="C85" s="187"/>
      <c r="D85" s="187"/>
      <c r="E85" s="187"/>
      <c r="F85" s="187"/>
      <c r="G85" s="187"/>
      <c r="H85" s="187"/>
    </row>
    <row r="86" spans="2:8" x14ac:dyDescent="0.3">
      <c r="B86" s="260"/>
      <c r="C86" s="353" t="s">
        <v>591</v>
      </c>
      <c r="D86" s="353"/>
      <c r="E86" s="353"/>
      <c r="F86" s="353"/>
      <c r="G86" s="353"/>
      <c r="H86" s="353"/>
    </row>
    <row r="87" spans="2:8" x14ac:dyDescent="0.3">
      <c r="B87" s="261" t="s">
        <v>447</v>
      </c>
      <c r="C87" s="261">
        <v>12</v>
      </c>
      <c r="D87" s="261">
        <v>24</v>
      </c>
      <c r="E87" s="261">
        <v>36</v>
      </c>
      <c r="F87" s="261">
        <v>48</v>
      </c>
      <c r="G87" s="261">
        <v>60</v>
      </c>
      <c r="H87" s="261">
        <v>72</v>
      </c>
    </row>
    <row r="88" spans="2:8" x14ac:dyDescent="0.3">
      <c r="B88" s="260">
        <v>2015</v>
      </c>
      <c r="C88" s="257">
        <f t="shared" ref="C88:H88" si="8">C79+C16</f>
        <v>4264283.5544571783</v>
      </c>
      <c r="D88" s="257">
        <f t="shared" si="8"/>
        <v>7556451.3949110527</v>
      </c>
      <c r="E88" s="257">
        <f t="shared" si="8"/>
        <v>9675017.8004745487</v>
      </c>
      <c r="F88" s="257">
        <f t="shared" si="8"/>
        <v>12476030.965648994</v>
      </c>
      <c r="G88" s="257">
        <f t="shared" si="8"/>
        <v>13549177.807753503</v>
      </c>
      <c r="H88" s="257">
        <f t="shared" si="8"/>
        <v>13597939</v>
      </c>
    </row>
    <row r="89" spans="2:8" x14ac:dyDescent="0.3">
      <c r="B89" s="260">
        <v>2016</v>
      </c>
      <c r="C89" s="257">
        <f>C80+C17</f>
        <v>5082090.8643903313</v>
      </c>
      <c r="D89" s="257">
        <f>D80+D17</f>
        <v>8641763.3868919015</v>
      </c>
      <c r="E89" s="257">
        <f>E80+E17</f>
        <v>10236617.104523186</v>
      </c>
      <c r="F89" s="257">
        <f>F80+F17</f>
        <v>13210468.61355052</v>
      </c>
      <c r="G89" s="257">
        <f>G80+G17</f>
        <v>14395391</v>
      </c>
      <c r="H89" s="257"/>
    </row>
    <row r="90" spans="2:8" x14ac:dyDescent="0.3">
      <c r="B90" s="260">
        <v>2017</v>
      </c>
      <c r="C90" s="257">
        <f>C81+C18</f>
        <v>5478569.1596239023</v>
      </c>
      <c r="D90" s="257">
        <f>D81+D18</f>
        <v>9882692.1694548521</v>
      </c>
      <c r="E90" s="257">
        <f>E81+E18</f>
        <v>11552773.067659762</v>
      </c>
      <c r="F90" s="257">
        <f>F81+F18</f>
        <v>13826396</v>
      </c>
      <c r="G90" s="257"/>
      <c r="H90" s="257"/>
    </row>
    <row r="91" spans="2:8" x14ac:dyDescent="0.3">
      <c r="B91" s="260">
        <v>2018</v>
      </c>
      <c r="C91" s="257">
        <f>C82+C19</f>
        <v>5229169.0862034503</v>
      </c>
      <c r="D91" s="257">
        <f>D82+D19</f>
        <v>8359523.1888379147</v>
      </c>
      <c r="E91" s="257">
        <f>E82+E19</f>
        <v>11327707</v>
      </c>
      <c r="F91" s="257"/>
      <c r="G91" s="257"/>
      <c r="H91" s="257"/>
    </row>
    <row r="92" spans="2:8" x14ac:dyDescent="0.3">
      <c r="B92" s="260">
        <v>2019</v>
      </c>
      <c r="C92" s="257">
        <f>C83+C20</f>
        <v>5167375.6335905353</v>
      </c>
      <c r="D92" s="257">
        <f>D83+D20</f>
        <v>9902568</v>
      </c>
      <c r="E92" s="257"/>
      <c r="F92" s="257"/>
      <c r="G92" s="257"/>
      <c r="H92" s="257"/>
    </row>
    <row r="93" spans="2:8" x14ac:dyDescent="0.3">
      <c r="B93" s="260">
        <v>2020</v>
      </c>
      <c r="C93" s="257">
        <f>C84+C21</f>
        <v>6046806</v>
      </c>
      <c r="D93" s="257"/>
      <c r="E93" s="257"/>
      <c r="F93" s="257"/>
      <c r="G93" s="257"/>
      <c r="H93" s="257"/>
    </row>
    <row r="94" spans="2:8" x14ac:dyDescent="0.3">
      <c r="B94" s="262"/>
      <c r="C94" s="263"/>
      <c r="D94" s="263"/>
      <c r="E94" s="263"/>
      <c r="F94" s="263"/>
      <c r="G94" s="263"/>
      <c r="H94" s="263"/>
    </row>
    <row r="95" spans="2:8" x14ac:dyDescent="0.3">
      <c r="B95" s="260"/>
      <c r="C95" s="353" t="s">
        <v>583</v>
      </c>
      <c r="D95" s="353"/>
      <c r="E95" s="353"/>
      <c r="F95" s="353"/>
      <c r="G95" s="353"/>
      <c r="H95" s="353"/>
    </row>
    <row r="96" spans="2:8" x14ac:dyDescent="0.3">
      <c r="B96" s="261" t="s">
        <v>447</v>
      </c>
      <c r="C96" s="261" t="s">
        <v>270</v>
      </c>
      <c r="D96" s="261" t="s">
        <v>264</v>
      </c>
      <c r="E96" s="261" t="s">
        <v>265</v>
      </c>
      <c r="F96" s="261" t="s">
        <v>266</v>
      </c>
      <c r="G96" s="261" t="s">
        <v>267</v>
      </c>
      <c r="H96" s="261" t="s">
        <v>584</v>
      </c>
    </row>
    <row r="97" spans="1:8" x14ac:dyDescent="0.3">
      <c r="B97" s="260">
        <v>2015</v>
      </c>
      <c r="C97" s="258">
        <f>D88/C88</f>
        <v>1.7720330504318329</v>
      </c>
      <c r="D97" s="258">
        <f t="shared" ref="D97:G97" si="9">E88/D88</f>
        <v>1.2803652527944875</v>
      </c>
      <c r="E97" s="258">
        <f t="shared" si="9"/>
        <v>1.2895098720166756</v>
      </c>
      <c r="F97" s="258">
        <f t="shared" si="9"/>
        <v>1.086016686321096</v>
      </c>
      <c r="G97" s="258">
        <f t="shared" si="9"/>
        <v>1.0035988303451588</v>
      </c>
      <c r="H97" s="258">
        <f>1+Tail</f>
        <v>1</v>
      </c>
    </row>
    <row r="98" spans="1:8" x14ac:dyDescent="0.3">
      <c r="B98" s="260">
        <v>2016</v>
      </c>
      <c r="C98" s="258">
        <f t="shared" ref="C98:F98" si="10">D89/C89</f>
        <v>1.7004346473700058</v>
      </c>
      <c r="D98" s="258">
        <f t="shared" si="10"/>
        <v>1.1845518844047973</v>
      </c>
      <c r="E98" s="258">
        <f t="shared" si="10"/>
        <v>1.2905111599527639</v>
      </c>
      <c r="F98" s="258">
        <f t="shared" si="10"/>
        <v>1.0896957118715727</v>
      </c>
      <c r="G98" s="258"/>
      <c r="H98" s="258"/>
    </row>
    <row r="99" spans="1:8" x14ac:dyDescent="0.3">
      <c r="B99" s="260">
        <v>2017</v>
      </c>
      <c r="C99" s="258">
        <f t="shared" ref="C99:E99" si="11">D90/C90</f>
        <v>1.803881977485758</v>
      </c>
      <c r="D99" s="258">
        <f t="shared" si="11"/>
        <v>1.1689904804853428</v>
      </c>
      <c r="E99" s="258">
        <f t="shared" si="11"/>
        <v>1.1968032193677292</v>
      </c>
      <c r="F99" s="258"/>
      <c r="G99" s="258"/>
      <c r="H99" s="258"/>
    </row>
    <row r="100" spans="1:8" x14ac:dyDescent="0.3">
      <c r="B100" s="260">
        <v>2018</v>
      </c>
      <c r="C100" s="258">
        <f t="shared" ref="C100:D100" si="12">D91/C91</f>
        <v>1.5986331769025286</v>
      </c>
      <c r="D100" s="258">
        <f t="shared" si="12"/>
        <v>1.3550661615635404</v>
      </c>
      <c r="E100" s="258"/>
      <c r="F100" s="258"/>
      <c r="G100" s="258"/>
      <c r="H100" s="258"/>
    </row>
    <row r="101" spans="1:8" x14ac:dyDescent="0.3">
      <c r="B101" s="260">
        <v>2019</v>
      </c>
      <c r="C101" s="258">
        <f t="shared" ref="C101" si="13">D92/C92</f>
        <v>1.9163631023121945</v>
      </c>
      <c r="D101" s="258"/>
      <c r="E101" s="258"/>
      <c r="F101" s="258"/>
      <c r="G101" s="258"/>
      <c r="H101" s="258"/>
    </row>
    <row r="102" spans="1:8" x14ac:dyDescent="0.3">
      <c r="B102" s="260">
        <v>2020</v>
      </c>
      <c r="C102" s="257"/>
      <c r="D102" s="257"/>
      <c r="E102" s="257"/>
      <c r="F102" s="257"/>
      <c r="G102" s="257"/>
      <c r="H102" s="257"/>
    </row>
    <row r="103" spans="1:8" x14ac:dyDescent="0.3">
      <c r="B103" s="117" t="s">
        <v>592</v>
      </c>
      <c r="C103" s="252">
        <f>SUM(D88:D92)/SUM(C88:C92)</f>
        <v>1.7581435962740311</v>
      </c>
      <c r="D103" s="252">
        <f>SUM(E88:E91)/SUM(D88:D91)</f>
        <v>1.2424965309256899</v>
      </c>
      <c r="E103" s="252">
        <f>SUM(F88:F90)/SUM(E88:E90)</f>
        <v>1.2557965690483079</v>
      </c>
      <c r="F103" s="252">
        <f>SUM(G88:G89)/SUM(F88:F89)</f>
        <v>1.0879087951081716</v>
      </c>
      <c r="G103" s="252">
        <f>H88/G88</f>
        <v>1.0035988303451588</v>
      </c>
      <c r="H103" s="258">
        <f>1+D42</f>
        <v>1.02</v>
      </c>
    </row>
    <row r="104" spans="1:8" x14ac:dyDescent="0.3">
      <c r="B104" s="117" t="s">
        <v>593</v>
      </c>
      <c r="C104" s="258">
        <f>D104*C103</f>
        <v>3.0550732406520433</v>
      </c>
      <c r="D104" s="258">
        <f>E104*D103</f>
        <v>1.7376699190706308</v>
      </c>
      <c r="E104" s="258">
        <f>F104*E103</f>
        <v>1.3985310025582323</v>
      </c>
      <c r="F104" s="258">
        <f>G104*F103</f>
        <v>1.1136604741786276</v>
      </c>
      <c r="G104" s="258">
        <f>H104*G103</f>
        <v>1.0236708069520621</v>
      </c>
      <c r="H104" s="258">
        <f>H103</f>
        <v>1.02</v>
      </c>
    </row>
    <row r="105" spans="1:8" x14ac:dyDescent="0.3">
      <c r="B105" s="187"/>
      <c r="C105" s="264"/>
      <c r="D105" s="264"/>
      <c r="E105" s="264"/>
      <c r="F105" s="264"/>
      <c r="G105" s="264"/>
      <c r="H105" s="264"/>
    </row>
    <row r="106" spans="1:8" x14ac:dyDescent="0.3">
      <c r="B106" s="187"/>
      <c r="C106" s="264"/>
      <c r="D106" s="264"/>
      <c r="E106" s="264"/>
      <c r="F106" s="264"/>
      <c r="G106" s="264"/>
      <c r="H106" s="264"/>
    </row>
    <row r="107" spans="1:8" x14ac:dyDescent="0.3">
      <c r="A107" s="269"/>
      <c r="B107" s="270" t="s">
        <v>64</v>
      </c>
      <c r="C107" s="271" t="s">
        <v>78</v>
      </c>
      <c r="D107" s="271" t="s">
        <v>585</v>
      </c>
      <c r="E107" s="271" t="s">
        <v>586</v>
      </c>
      <c r="F107" s="272"/>
      <c r="G107" s="264"/>
      <c r="H107" s="264"/>
    </row>
    <row r="108" spans="1:8" x14ac:dyDescent="0.3">
      <c r="A108" s="269"/>
      <c r="B108" s="276" t="s">
        <v>65</v>
      </c>
      <c r="C108" s="265" t="s">
        <v>153</v>
      </c>
      <c r="D108" s="265" t="s">
        <v>587</v>
      </c>
      <c r="E108" s="265" t="s">
        <v>153</v>
      </c>
      <c r="F108" s="266" t="s">
        <v>588</v>
      </c>
      <c r="G108" s="264"/>
      <c r="H108" s="264"/>
    </row>
    <row r="109" spans="1:8" x14ac:dyDescent="0.3">
      <c r="A109" s="269"/>
      <c r="B109" s="273">
        <v>2015</v>
      </c>
      <c r="C109" s="257">
        <f>H88</f>
        <v>13597939</v>
      </c>
      <c r="D109" s="258">
        <f>H104</f>
        <v>1.02</v>
      </c>
      <c r="E109" s="257">
        <f>D109*C109</f>
        <v>13869897.779999999</v>
      </c>
      <c r="F109" s="257">
        <f>E109-C109</f>
        <v>271958.77999999933</v>
      </c>
      <c r="G109" s="264"/>
      <c r="H109" s="264"/>
    </row>
    <row r="110" spans="1:8" x14ac:dyDescent="0.3">
      <c r="A110" s="269"/>
      <c r="B110" s="273">
        <v>2016</v>
      </c>
      <c r="C110" s="257">
        <f>G89</f>
        <v>14395391</v>
      </c>
      <c r="D110" s="258">
        <f>G104</f>
        <v>1.0236708069520621</v>
      </c>
      <c r="E110" s="257">
        <f t="shared" ref="E110:E114" si="14">D110*C110</f>
        <v>14736141.521360453</v>
      </c>
      <c r="F110" s="257">
        <f t="shared" ref="F110:F114" si="15">E110-C110</f>
        <v>340750.52136045322</v>
      </c>
      <c r="G110" s="264"/>
      <c r="H110" s="264"/>
    </row>
    <row r="111" spans="1:8" x14ac:dyDescent="0.3">
      <c r="A111" s="269"/>
      <c r="B111" s="273">
        <v>2017</v>
      </c>
      <c r="C111" s="257">
        <f>F90</f>
        <v>13826396</v>
      </c>
      <c r="D111" s="258">
        <f>F104</f>
        <v>1.1136604741786276</v>
      </c>
      <c r="E111" s="257">
        <f t="shared" si="14"/>
        <v>15397910.72554148</v>
      </c>
      <c r="F111" s="257">
        <f t="shared" si="15"/>
        <v>1571514.7255414799</v>
      </c>
      <c r="G111" s="264"/>
      <c r="H111" s="264"/>
    </row>
    <row r="112" spans="1:8" x14ac:dyDescent="0.3">
      <c r="A112" s="269"/>
      <c r="B112" s="273">
        <v>2018</v>
      </c>
      <c r="C112" s="257">
        <f>E91</f>
        <v>11327707</v>
      </c>
      <c r="D112" s="258">
        <f>E104</f>
        <v>1.3985310025582323</v>
      </c>
      <c r="E112" s="257">
        <f t="shared" si="14"/>
        <v>15842149.427395906</v>
      </c>
      <c r="F112" s="257">
        <f t="shared" si="15"/>
        <v>4514442.4273959063</v>
      </c>
      <c r="G112" s="264"/>
      <c r="H112" s="264"/>
    </row>
    <row r="113" spans="1:8" x14ac:dyDescent="0.3">
      <c r="A113" s="269"/>
      <c r="B113" s="273">
        <v>2019</v>
      </c>
      <c r="C113" s="257">
        <f>D92</f>
        <v>9902568</v>
      </c>
      <c r="D113" s="258">
        <f>D104</f>
        <v>1.7376699190706308</v>
      </c>
      <c r="E113" s="257">
        <f t="shared" si="14"/>
        <v>17207394.535151418</v>
      </c>
      <c r="F113" s="257">
        <f t="shared" si="15"/>
        <v>7304826.5351514183</v>
      </c>
      <c r="G113" s="264"/>
      <c r="H113" s="264"/>
    </row>
    <row r="114" spans="1:8" x14ac:dyDescent="0.3">
      <c r="A114" s="269"/>
      <c r="B114" s="261">
        <v>2020</v>
      </c>
      <c r="C114" s="267">
        <f>C93</f>
        <v>6046806</v>
      </c>
      <c r="D114" s="268">
        <f>C104</f>
        <v>3.0550732406520433</v>
      </c>
      <c r="E114" s="267">
        <f t="shared" si="14"/>
        <v>18473435.202014219</v>
      </c>
      <c r="F114" s="267">
        <f t="shared" si="15"/>
        <v>12426629.202014219</v>
      </c>
      <c r="G114" s="264"/>
      <c r="H114" s="264"/>
    </row>
    <row r="115" spans="1:8" x14ac:dyDescent="0.3">
      <c r="A115" s="269"/>
      <c r="B115" s="274" t="s">
        <v>31</v>
      </c>
      <c r="C115" s="257">
        <f>SUM(C109:C114)</f>
        <v>69096807</v>
      </c>
      <c r="D115" s="275"/>
      <c r="E115" s="257">
        <f>SUM(E109:E114)</f>
        <v>95526929.191463485</v>
      </c>
      <c r="F115" s="257">
        <f>SUM(F109:F114)</f>
        <v>26430122.191463478</v>
      </c>
      <c r="G115" s="264"/>
      <c r="H115" s="264"/>
    </row>
  </sheetData>
  <mergeCells count="9">
    <mergeCell ref="C68:H68"/>
    <mergeCell ref="C77:H77"/>
    <mergeCell ref="C86:H86"/>
    <mergeCell ref="C95:H95"/>
    <mergeCell ref="C5:H5"/>
    <mergeCell ref="C14:H14"/>
    <mergeCell ref="C23:H23"/>
    <mergeCell ref="C32:H32"/>
    <mergeCell ref="C49:H49"/>
  </mergeCells>
  <pageMargins left="0.7" right="0.7" top="0.75" bottom="0.75" header="0.3" footer="0.3"/>
  <pageSetup scale="71"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A496C-EE3A-445E-9BC8-8E049BBE44FA}">
  <dimension ref="A1:R51"/>
  <sheetViews>
    <sheetView zoomScaleNormal="100" workbookViewId="0"/>
  </sheetViews>
  <sheetFormatPr defaultColWidth="8.88671875" defaultRowHeight="15.6" x14ac:dyDescent="0.3"/>
  <cols>
    <col min="1" max="1" width="8.88671875" style="1" customWidth="1"/>
    <col min="2" max="2" width="9.33203125" style="1" customWidth="1"/>
    <col min="3" max="7" width="11.44140625" style="1" customWidth="1"/>
    <col min="8" max="8" width="15.88671875" style="1" customWidth="1"/>
    <col min="9" max="16384" width="8.88671875" style="1"/>
  </cols>
  <sheetData>
    <row r="1" spans="1:12" ht="17.399999999999999" x14ac:dyDescent="0.3">
      <c r="A1" s="2" t="s">
        <v>198</v>
      </c>
      <c r="B1" s="4"/>
      <c r="C1" s="9" t="s">
        <v>12</v>
      </c>
      <c r="D1" s="4"/>
      <c r="E1" s="4"/>
      <c r="F1" s="4"/>
      <c r="G1" s="4"/>
      <c r="H1" s="4"/>
      <c r="I1" s="4"/>
      <c r="J1" s="4"/>
      <c r="K1" s="4"/>
      <c r="L1" s="3"/>
    </row>
    <row r="2" spans="1:12" x14ac:dyDescent="0.3">
      <c r="A2" s="4"/>
      <c r="B2" s="4"/>
      <c r="C2" s="4"/>
      <c r="D2" s="4"/>
      <c r="E2" s="4"/>
      <c r="F2" s="4"/>
      <c r="G2" s="4"/>
      <c r="H2" s="4"/>
      <c r="I2" s="4"/>
      <c r="J2" s="4"/>
      <c r="K2" s="4"/>
      <c r="L2" s="3"/>
    </row>
    <row r="3" spans="1:12" x14ac:dyDescent="0.3">
      <c r="A3" s="323" t="s">
        <v>199</v>
      </c>
      <c r="B3" s="323"/>
      <c r="C3" s="323"/>
      <c r="D3" s="323"/>
      <c r="E3" s="323"/>
      <c r="F3" s="323"/>
      <c r="G3" s="323"/>
      <c r="H3" s="323"/>
      <c r="I3" s="323"/>
      <c r="J3" s="323"/>
      <c r="K3" s="323"/>
      <c r="L3" s="3"/>
    </row>
    <row r="4" spans="1:12" s="11" customFormat="1" x14ac:dyDescent="0.3">
      <c r="A4" s="323"/>
      <c r="B4" s="323"/>
      <c r="C4" s="323"/>
      <c r="D4" s="323"/>
      <c r="E4" s="323"/>
      <c r="F4" s="323"/>
      <c r="G4" s="323"/>
      <c r="H4" s="323"/>
      <c r="I4" s="323"/>
      <c r="J4" s="323"/>
      <c r="K4" s="323"/>
      <c r="L4" s="10"/>
    </row>
    <row r="5" spans="1:12" s="11" customFormat="1" x14ac:dyDescent="0.3">
      <c r="A5" s="13"/>
      <c r="B5" s="12"/>
      <c r="C5" s="12"/>
      <c r="D5" s="12"/>
      <c r="E5" s="12"/>
      <c r="F5" s="12"/>
      <c r="G5" s="12"/>
      <c r="H5" s="10"/>
      <c r="I5" s="10"/>
      <c r="J5" s="10"/>
      <c r="K5" s="10"/>
      <c r="L5" s="10"/>
    </row>
    <row r="6" spans="1:12" s="11" customFormat="1" x14ac:dyDescent="0.3">
      <c r="A6" s="13"/>
      <c r="B6" s="354" t="s">
        <v>200</v>
      </c>
      <c r="C6" s="354"/>
      <c r="D6" s="354"/>
      <c r="E6" s="354"/>
      <c r="F6" s="354"/>
      <c r="G6" s="354"/>
      <c r="H6" s="20">
        <v>8100000</v>
      </c>
      <c r="I6" s="10"/>
      <c r="J6" s="10"/>
      <c r="K6" s="10"/>
      <c r="L6" s="10"/>
    </row>
    <row r="7" spans="1:12" s="11" customFormat="1" x14ac:dyDescent="0.3">
      <c r="A7" s="13"/>
      <c r="B7" s="354" t="s">
        <v>201</v>
      </c>
      <c r="C7" s="354"/>
      <c r="D7" s="354"/>
      <c r="E7" s="354"/>
      <c r="F7" s="354"/>
      <c r="G7" s="354"/>
      <c r="H7" s="20">
        <v>11000</v>
      </c>
      <c r="I7" s="10"/>
      <c r="J7" s="10"/>
      <c r="K7" s="10"/>
      <c r="L7" s="10"/>
    </row>
    <row r="8" spans="1:12" s="11" customFormat="1" x14ac:dyDescent="0.3">
      <c r="A8" s="13"/>
      <c r="B8" s="354" t="s">
        <v>202</v>
      </c>
      <c r="C8" s="354"/>
      <c r="D8" s="354"/>
      <c r="E8" s="354"/>
      <c r="F8" s="354"/>
      <c r="G8" s="354"/>
      <c r="H8" s="15">
        <v>1.03</v>
      </c>
      <c r="I8" s="10"/>
      <c r="J8" s="10"/>
      <c r="K8" s="10"/>
      <c r="L8" s="10"/>
    </row>
    <row r="9" spans="1:12" s="11" customFormat="1" x14ac:dyDescent="0.3">
      <c r="A9" s="13"/>
      <c r="B9" s="354" t="s">
        <v>203</v>
      </c>
      <c r="C9" s="354"/>
      <c r="D9" s="354"/>
      <c r="E9" s="354"/>
      <c r="F9" s="354"/>
      <c r="G9" s="354"/>
      <c r="H9" s="15">
        <v>1.0069999999999999</v>
      </c>
      <c r="I9" s="10"/>
      <c r="J9" s="10"/>
      <c r="K9" s="10"/>
      <c r="L9" s="10"/>
    </row>
    <row r="10" spans="1:12" s="11" customFormat="1" x14ac:dyDescent="0.3">
      <c r="A10" s="12"/>
      <c r="B10" s="354" t="s">
        <v>204</v>
      </c>
      <c r="C10" s="354"/>
      <c r="D10" s="354"/>
      <c r="E10" s="354"/>
      <c r="F10" s="354"/>
      <c r="G10" s="354"/>
      <c r="H10" s="73">
        <v>0.78</v>
      </c>
      <c r="I10" s="10"/>
      <c r="J10" s="10"/>
      <c r="K10" s="10"/>
      <c r="L10" s="10"/>
    </row>
    <row r="11" spans="1:12" s="11" customFormat="1" x14ac:dyDescent="0.3">
      <c r="A11" s="12"/>
      <c r="B11" s="354" t="s">
        <v>205</v>
      </c>
      <c r="C11" s="354"/>
      <c r="D11" s="354"/>
      <c r="E11" s="354"/>
      <c r="F11" s="354"/>
      <c r="G11" s="354"/>
      <c r="H11" s="73">
        <v>0.09</v>
      </c>
      <c r="I11" s="10"/>
      <c r="J11" s="10"/>
      <c r="K11" s="10"/>
      <c r="L11" s="10"/>
    </row>
    <row r="12" spans="1:12" s="11" customFormat="1" ht="15.6" customHeight="1" x14ac:dyDescent="0.3">
      <c r="A12" s="13"/>
      <c r="B12" s="354" t="s">
        <v>206</v>
      </c>
      <c r="C12" s="354"/>
      <c r="D12" s="354"/>
      <c r="E12" s="354"/>
      <c r="F12" s="354"/>
      <c r="G12" s="354"/>
      <c r="H12" s="73">
        <v>0.05</v>
      </c>
      <c r="I12" s="10"/>
      <c r="J12" s="10"/>
      <c r="K12" s="10"/>
      <c r="L12" s="10"/>
    </row>
    <row r="13" spans="1:12" s="11" customFormat="1" x14ac:dyDescent="0.3">
      <c r="A13" s="12"/>
      <c r="B13" s="354" t="s">
        <v>207</v>
      </c>
      <c r="C13" s="354"/>
      <c r="D13" s="354"/>
      <c r="E13" s="354"/>
      <c r="F13" s="354"/>
      <c r="G13" s="354"/>
      <c r="H13" s="73">
        <v>0</v>
      </c>
      <c r="I13" s="10"/>
      <c r="J13" s="10"/>
      <c r="K13" s="10"/>
      <c r="L13" s="10"/>
    </row>
    <row r="14" spans="1:12" s="11" customFormat="1" x14ac:dyDescent="0.3">
      <c r="A14" s="12"/>
      <c r="B14" s="354" t="s">
        <v>208</v>
      </c>
      <c r="C14" s="354"/>
      <c r="D14" s="354"/>
      <c r="E14" s="354"/>
      <c r="F14" s="354"/>
      <c r="G14" s="354"/>
      <c r="H14" s="73">
        <v>0.1</v>
      </c>
      <c r="I14" s="10"/>
      <c r="J14" s="10"/>
      <c r="K14" s="10"/>
      <c r="L14" s="10"/>
    </row>
    <row r="15" spans="1:12" x14ac:dyDescent="0.3">
      <c r="A15" s="12"/>
      <c r="B15" s="354" t="s">
        <v>209</v>
      </c>
      <c r="C15" s="354"/>
      <c r="D15" s="354"/>
      <c r="E15" s="354"/>
      <c r="F15" s="354"/>
      <c r="G15" s="354"/>
      <c r="H15" s="73">
        <v>0.05</v>
      </c>
      <c r="I15" s="9"/>
      <c r="J15" s="9"/>
      <c r="K15" s="9"/>
      <c r="L15" s="9"/>
    </row>
    <row r="16" spans="1:12" x14ac:dyDescent="0.3">
      <c r="A16" s="9"/>
      <c r="B16" s="9"/>
      <c r="C16" s="9"/>
      <c r="D16" s="9"/>
      <c r="E16" s="9"/>
      <c r="F16" s="9"/>
      <c r="G16" s="9"/>
      <c r="H16" s="9"/>
      <c r="I16" s="9"/>
      <c r="J16" s="9"/>
      <c r="K16" s="9"/>
      <c r="L16" s="9"/>
    </row>
    <row r="17" spans="1:18" x14ac:dyDescent="0.3">
      <c r="A17" s="7"/>
      <c r="B17" s="7"/>
      <c r="C17" s="7"/>
      <c r="D17" s="7"/>
      <c r="E17" s="7"/>
      <c r="F17" s="7"/>
      <c r="G17" s="7"/>
      <c r="H17" s="7"/>
      <c r="I17" s="7"/>
      <c r="J17" s="7"/>
      <c r="K17" s="7"/>
      <c r="L17" s="7"/>
    </row>
    <row r="18" spans="1:18" x14ac:dyDescent="0.3">
      <c r="A18" s="6" t="s">
        <v>4</v>
      </c>
      <c r="B18" s="4" t="s">
        <v>210</v>
      </c>
      <c r="C18" s="4"/>
      <c r="D18" s="4"/>
      <c r="E18" s="4"/>
      <c r="F18" s="4"/>
      <c r="G18" s="4"/>
      <c r="H18" s="4"/>
      <c r="I18" s="4"/>
      <c r="J18" s="4"/>
      <c r="K18" s="4"/>
      <c r="L18" s="4"/>
      <c r="M18" s="8"/>
      <c r="N18" s="8"/>
      <c r="O18" s="8"/>
      <c r="P18" s="8"/>
      <c r="Q18" s="8"/>
      <c r="R18" s="8"/>
    </row>
    <row r="19" spans="1:18" x14ac:dyDescent="0.3">
      <c r="A19" s="3"/>
      <c r="B19" s="3"/>
      <c r="C19" s="3"/>
      <c r="D19" s="3"/>
      <c r="E19" s="3"/>
      <c r="F19" s="3"/>
      <c r="G19" s="4"/>
      <c r="H19" s="4"/>
      <c r="I19" s="4"/>
      <c r="J19" s="4"/>
      <c r="K19" s="4"/>
      <c r="L19" s="4"/>
    </row>
    <row r="20" spans="1:18" x14ac:dyDescent="0.3">
      <c r="A20" s="7"/>
      <c r="B20" s="7"/>
      <c r="C20" s="7"/>
      <c r="D20" s="7"/>
      <c r="E20" s="7"/>
      <c r="F20" s="7"/>
      <c r="G20" s="7"/>
      <c r="H20" s="7"/>
      <c r="I20" s="7"/>
      <c r="J20" s="7"/>
      <c r="K20" s="7"/>
      <c r="L20" s="7"/>
      <c r="M20" s="7"/>
    </row>
    <row r="21" spans="1:18" x14ac:dyDescent="0.3">
      <c r="A21" s="7" t="s">
        <v>1</v>
      </c>
      <c r="B21" s="7"/>
      <c r="C21" s="7"/>
      <c r="D21" s="7"/>
      <c r="E21" s="7"/>
      <c r="F21" s="7"/>
      <c r="G21" s="7"/>
      <c r="H21" s="7"/>
      <c r="I21" s="7"/>
      <c r="J21" s="7"/>
      <c r="K21" s="7"/>
      <c r="L21" s="7"/>
      <c r="M21" s="7"/>
      <c r="N21" s="8"/>
    </row>
    <row r="22" spans="1:18" x14ac:dyDescent="0.3">
      <c r="A22" s="7"/>
      <c r="B22" s="1" t="s">
        <v>594</v>
      </c>
      <c r="H22" s="277">
        <f>H6*H9*H8/H7</f>
        <v>763.76372727272724</v>
      </c>
      <c r="K22" s="7"/>
      <c r="L22" s="7"/>
      <c r="M22" s="7"/>
      <c r="N22" s="8"/>
    </row>
    <row r="23" spans="1:18" x14ac:dyDescent="0.3">
      <c r="A23" s="7"/>
      <c r="B23" s="1" t="s">
        <v>595</v>
      </c>
      <c r="H23" s="246">
        <f>H7*H10*H22</f>
        <v>6553092.7799999993</v>
      </c>
      <c r="K23" s="7"/>
      <c r="L23" s="7"/>
      <c r="M23" s="7"/>
      <c r="N23" s="8"/>
    </row>
    <row r="24" spans="1:18" x14ac:dyDescent="0.3">
      <c r="B24" s="1" t="s">
        <v>596</v>
      </c>
      <c r="H24" s="277">
        <f>H23/H7</f>
        <v>595.73570727272727</v>
      </c>
      <c r="M24" s="8"/>
      <c r="N24" s="8"/>
    </row>
    <row r="25" spans="1:18" x14ac:dyDescent="0.3">
      <c r="B25" s="1" t="s">
        <v>597</v>
      </c>
      <c r="H25" s="277">
        <f>H12*H22</f>
        <v>38.188186363636362</v>
      </c>
      <c r="M25" s="8"/>
      <c r="N25" s="8"/>
    </row>
    <row r="26" spans="1:18" x14ac:dyDescent="0.3">
      <c r="B26" s="1" t="s">
        <v>598</v>
      </c>
      <c r="H26" s="277">
        <f>(H24*(1+H11)+H25)/(1-H14-H15)</f>
        <v>808.87071445989318</v>
      </c>
      <c r="M26" s="8"/>
      <c r="N26" s="8"/>
    </row>
    <row r="27" spans="1:18" x14ac:dyDescent="0.3">
      <c r="B27" s="1" t="s">
        <v>599</v>
      </c>
      <c r="H27" s="278">
        <f>H26/H22-1</f>
        <v>5.9058823529412052E-2</v>
      </c>
      <c r="M27" s="8"/>
      <c r="N27" s="8"/>
    </row>
    <row r="28" spans="1:18" x14ac:dyDescent="0.3">
      <c r="M28" s="8"/>
      <c r="N28" s="8"/>
    </row>
    <row r="29" spans="1:18" x14ac:dyDescent="0.3">
      <c r="A29" s="13" t="s">
        <v>211</v>
      </c>
      <c r="B29" s="12"/>
      <c r="C29" s="12"/>
      <c r="D29" s="12"/>
      <c r="E29" s="12"/>
      <c r="F29" s="12"/>
      <c r="G29" s="12"/>
      <c r="H29" s="10"/>
      <c r="I29" s="10"/>
      <c r="J29" s="10"/>
      <c r="K29" s="10"/>
      <c r="L29" s="10"/>
      <c r="M29" s="8"/>
      <c r="N29" s="8"/>
    </row>
    <row r="30" spans="1:18" x14ac:dyDescent="0.3">
      <c r="A30" s="13"/>
      <c r="B30" s="12"/>
      <c r="C30" s="12"/>
      <c r="D30" s="12"/>
      <c r="E30" s="12"/>
      <c r="F30" s="12"/>
      <c r="G30" s="12"/>
      <c r="H30" s="10"/>
      <c r="I30" s="10"/>
      <c r="J30" s="10"/>
      <c r="K30" s="10"/>
      <c r="L30" s="10"/>
      <c r="M30" s="8"/>
      <c r="N30" s="8"/>
    </row>
    <row r="31" spans="1:18" x14ac:dyDescent="0.3">
      <c r="A31" s="13" t="s">
        <v>349</v>
      </c>
      <c r="B31" s="12"/>
      <c r="C31" s="12"/>
      <c r="D31" s="86">
        <v>0.04</v>
      </c>
      <c r="E31" s="12" t="s">
        <v>348</v>
      </c>
      <c r="F31" s="12"/>
      <c r="G31" s="12"/>
      <c r="H31" s="10"/>
      <c r="I31" s="10"/>
      <c r="J31" s="10"/>
      <c r="K31" s="10"/>
      <c r="L31" s="10"/>
      <c r="M31" s="8"/>
      <c r="N31" s="8"/>
    </row>
    <row r="32" spans="1:18" x14ac:dyDescent="0.3">
      <c r="A32" s="13" t="s">
        <v>212</v>
      </c>
      <c r="B32" s="12"/>
      <c r="C32" s="12"/>
      <c r="D32" s="12"/>
      <c r="E32" s="12"/>
      <c r="F32" s="12"/>
      <c r="G32" s="12"/>
      <c r="H32" s="10"/>
      <c r="I32" s="10"/>
      <c r="J32" s="10"/>
      <c r="K32" s="10"/>
      <c r="L32" s="10"/>
      <c r="M32" s="8"/>
      <c r="N32" s="8"/>
    </row>
    <row r="33" spans="1:14" x14ac:dyDescent="0.3">
      <c r="A33" s="13" t="s">
        <v>337</v>
      </c>
      <c r="B33" s="12"/>
      <c r="C33" s="12"/>
      <c r="D33" s="12"/>
      <c r="E33" s="106">
        <v>1.4999999999999999E-2</v>
      </c>
      <c r="F33" s="12"/>
      <c r="G33" s="12"/>
      <c r="H33" s="10"/>
      <c r="I33" s="10"/>
      <c r="J33" s="10"/>
      <c r="K33" s="10"/>
      <c r="L33" s="10"/>
      <c r="M33" s="8"/>
      <c r="N33" s="8"/>
    </row>
    <row r="34" spans="1:14" x14ac:dyDescent="0.3">
      <c r="A34" s="13" t="s">
        <v>350</v>
      </c>
      <c r="B34" s="12"/>
      <c r="C34" s="12"/>
      <c r="D34" s="12"/>
      <c r="E34" s="106">
        <v>5.0000000000000001E-3</v>
      </c>
      <c r="F34" s="12"/>
      <c r="G34" s="12"/>
      <c r="H34" s="10"/>
      <c r="I34" s="10"/>
      <c r="J34" s="10"/>
      <c r="K34" s="10"/>
      <c r="L34" s="10"/>
      <c r="M34" s="8"/>
      <c r="N34" s="8"/>
    </row>
    <row r="35" spans="1:14" x14ac:dyDescent="0.3">
      <c r="A35" s="13" t="s">
        <v>338</v>
      </c>
      <c r="B35" s="12"/>
      <c r="C35" s="12"/>
      <c r="D35" s="12"/>
      <c r="E35" s="106">
        <v>4.0000000000000001E-3</v>
      </c>
      <c r="F35" s="12"/>
      <c r="G35" s="12"/>
      <c r="H35" s="10"/>
      <c r="I35" s="10"/>
      <c r="J35" s="10"/>
      <c r="K35" s="10"/>
      <c r="L35" s="10"/>
      <c r="M35" s="8"/>
      <c r="N35" s="8"/>
    </row>
    <row r="36" spans="1:14" x14ac:dyDescent="0.3">
      <c r="A36" s="13"/>
      <c r="B36" s="12"/>
      <c r="C36" s="12"/>
      <c r="D36" s="12"/>
      <c r="E36" s="12"/>
      <c r="F36" s="12"/>
      <c r="G36" s="12"/>
      <c r="H36" s="10"/>
      <c r="I36" s="10"/>
      <c r="J36" s="10"/>
      <c r="K36" s="10"/>
      <c r="L36" s="10"/>
      <c r="M36" s="8"/>
      <c r="N36" s="8"/>
    </row>
    <row r="38" spans="1:14" x14ac:dyDescent="0.3">
      <c r="A38" s="6" t="s">
        <v>5</v>
      </c>
      <c r="B38" s="4" t="s">
        <v>213</v>
      </c>
      <c r="C38" s="4"/>
      <c r="D38" s="4"/>
      <c r="E38" s="4"/>
      <c r="F38" s="4"/>
      <c r="G38" s="4"/>
      <c r="H38" s="4"/>
      <c r="I38" s="4"/>
      <c r="J38" s="4"/>
      <c r="K38" s="4"/>
      <c r="L38" s="4"/>
    </row>
    <row r="39" spans="1:14" x14ac:dyDescent="0.3">
      <c r="A39" s="3"/>
      <c r="B39" s="3"/>
      <c r="C39" s="3"/>
      <c r="D39" s="3"/>
      <c r="E39" s="3"/>
      <c r="F39" s="3"/>
      <c r="G39" s="4"/>
      <c r="H39" s="4"/>
      <c r="I39" s="4"/>
      <c r="J39" s="4"/>
      <c r="K39" s="4"/>
      <c r="L39" s="4"/>
    </row>
    <row r="40" spans="1:14" x14ac:dyDescent="0.3">
      <c r="A40" s="7"/>
      <c r="B40" s="7"/>
      <c r="C40" s="7"/>
      <c r="D40" s="7"/>
      <c r="E40" s="7"/>
      <c r="F40" s="7"/>
      <c r="G40" s="7"/>
      <c r="H40" s="7"/>
      <c r="I40" s="7"/>
      <c r="J40" s="7"/>
      <c r="K40" s="7"/>
      <c r="L40" s="7"/>
    </row>
    <row r="41" spans="1:14" x14ac:dyDescent="0.3">
      <c r="A41" s="7" t="s">
        <v>1</v>
      </c>
      <c r="B41" s="7"/>
      <c r="C41" s="7"/>
      <c r="D41" s="7"/>
      <c r="E41" s="7"/>
      <c r="F41" s="7"/>
      <c r="G41" s="7"/>
      <c r="H41" s="7"/>
      <c r="I41" s="7"/>
      <c r="J41" s="7"/>
      <c r="K41" s="7"/>
      <c r="L41" s="7"/>
    </row>
    <row r="42" spans="1:14" ht="31.2" x14ac:dyDescent="0.3">
      <c r="A42" s="7"/>
      <c r="B42" s="189" t="s">
        <v>600</v>
      </c>
      <c r="C42" s="190" t="s">
        <v>601</v>
      </c>
      <c r="D42" s="190" t="s">
        <v>602</v>
      </c>
      <c r="E42" s="190" t="s">
        <v>603</v>
      </c>
      <c r="F42" s="190" t="s">
        <v>604</v>
      </c>
      <c r="G42" s="190" t="s">
        <v>605</v>
      </c>
      <c r="H42" s="190" t="s">
        <v>606</v>
      </c>
      <c r="I42" s="7"/>
      <c r="J42" s="7"/>
      <c r="K42" s="7"/>
      <c r="L42" s="7"/>
    </row>
    <row r="43" spans="1:14" x14ac:dyDescent="0.3">
      <c r="A43" s="7"/>
      <c r="B43" s="240">
        <v>2022</v>
      </c>
      <c r="C43" s="279">
        <f>H26</f>
        <v>808.87071445989318</v>
      </c>
      <c r="D43" s="226">
        <f>C43*$H$12</f>
        <v>40.44353572299466</v>
      </c>
      <c r="E43" s="226">
        <f>C43*$H$14</f>
        <v>80.887071445989321</v>
      </c>
      <c r="F43" s="226">
        <f>H24*(1+H11)</f>
        <v>649.35192092727277</v>
      </c>
      <c r="G43" s="226">
        <f>H22*(1+D31)</f>
        <v>794.3142763636364</v>
      </c>
      <c r="H43" s="226">
        <f>G43-SUM(D43:F43)</f>
        <v>23.631748267379635</v>
      </c>
      <c r="I43" s="7"/>
      <c r="J43" s="7"/>
      <c r="K43" s="7"/>
      <c r="L43" s="7"/>
    </row>
    <row r="44" spans="1:14" x14ac:dyDescent="0.3">
      <c r="B44" s="240">
        <f>B43+1</f>
        <v>2023</v>
      </c>
      <c r="C44" s="226">
        <f>C43*(1+$E$35)</f>
        <v>812.10619731773272</v>
      </c>
      <c r="D44" s="226">
        <f t="shared" ref="D44:D46" si="0">C44*$H$12</f>
        <v>40.605309865886639</v>
      </c>
      <c r="E44" s="226">
        <f t="shared" ref="E44:E46" si="1">C44*$H$14</f>
        <v>81.210619731773278</v>
      </c>
      <c r="F44" s="226">
        <f>F43*(1+$E$33)*(1+$E$34)</f>
        <v>662.38766073988768</v>
      </c>
      <c r="G44" s="226">
        <f>G43</f>
        <v>794.3142763636364</v>
      </c>
      <c r="H44" s="226">
        <f t="shared" ref="H44:H46" si="2">G44-SUM(D44:F44)</f>
        <v>10.110686026088842</v>
      </c>
      <c r="M44" s="7"/>
    </row>
    <row r="45" spans="1:14" x14ac:dyDescent="0.3">
      <c r="B45" s="240">
        <f t="shared" ref="B45:B46" si="3">B44+1</f>
        <v>2024</v>
      </c>
      <c r="C45" s="226">
        <f t="shared" ref="C45:C46" si="4">C44*(1+$E$35)</f>
        <v>815.35462210700371</v>
      </c>
      <c r="D45" s="226">
        <f t="shared" si="0"/>
        <v>40.767731105350187</v>
      </c>
      <c r="E45" s="226">
        <f t="shared" si="1"/>
        <v>81.535462210700373</v>
      </c>
      <c r="F45" s="226">
        <f t="shared" ref="F45:F46" si="5">F44*(1+$E$33)*(1+$E$34)</f>
        <v>675.68509302924087</v>
      </c>
      <c r="G45" s="226">
        <f t="shared" ref="G45:G46" si="6">G44</f>
        <v>794.3142763636364</v>
      </c>
      <c r="H45" s="226">
        <f t="shared" si="2"/>
        <v>-3.6740099816551037</v>
      </c>
      <c r="M45" s="7"/>
    </row>
    <row r="46" spans="1:14" x14ac:dyDescent="0.3">
      <c r="B46" s="240">
        <f t="shared" si="3"/>
        <v>2025</v>
      </c>
      <c r="C46" s="226">
        <f t="shared" si="4"/>
        <v>818.61604059543174</v>
      </c>
      <c r="D46" s="226">
        <f t="shared" si="0"/>
        <v>40.930802029771591</v>
      </c>
      <c r="E46" s="226">
        <f t="shared" si="1"/>
        <v>81.861604059543183</v>
      </c>
      <c r="F46" s="226">
        <f t="shared" si="5"/>
        <v>689.24947127180269</v>
      </c>
      <c r="G46" s="226">
        <f t="shared" si="6"/>
        <v>794.3142763636364</v>
      </c>
      <c r="H46" s="226">
        <f t="shared" si="2"/>
        <v>-17.72760099748109</v>
      </c>
      <c r="M46" s="7"/>
    </row>
    <row r="48" spans="1:14" x14ac:dyDescent="0.3">
      <c r="C48"/>
      <c r="D48"/>
      <c r="E48"/>
      <c r="F48"/>
      <c r="G48"/>
      <c r="H48"/>
    </row>
    <row r="49" spans="3:8" x14ac:dyDescent="0.3">
      <c r="C49"/>
      <c r="D49"/>
      <c r="E49"/>
      <c r="F49"/>
      <c r="G49"/>
      <c r="H49"/>
    </row>
    <row r="50" spans="3:8" x14ac:dyDescent="0.3">
      <c r="C50"/>
      <c r="D50"/>
      <c r="E50"/>
      <c r="F50"/>
      <c r="G50"/>
      <c r="H50"/>
    </row>
    <row r="51" spans="3:8" x14ac:dyDescent="0.3">
      <c r="C51"/>
      <c r="D51"/>
      <c r="E51"/>
      <c r="F51"/>
      <c r="G51"/>
      <c r="H51"/>
    </row>
  </sheetData>
  <mergeCells count="11">
    <mergeCell ref="B11:G11"/>
    <mergeCell ref="B12:G12"/>
    <mergeCell ref="B13:G13"/>
    <mergeCell ref="B14:G14"/>
    <mergeCell ref="B15:G15"/>
    <mergeCell ref="B10:G10"/>
    <mergeCell ref="A3:K4"/>
    <mergeCell ref="B6:G6"/>
    <mergeCell ref="B7:G7"/>
    <mergeCell ref="B8:G8"/>
    <mergeCell ref="B9:G9"/>
  </mergeCells>
  <pageMargins left="0.7" right="0.7" top="0.75" bottom="0.75" header="0.3" footer="0.3"/>
  <pageSetup scale="81"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1DF93-ABA5-4B1A-8E60-035D8D17C9EC}">
  <dimension ref="A1:Y142"/>
  <sheetViews>
    <sheetView zoomScaleNormal="100" workbookViewId="0"/>
  </sheetViews>
  <sheetFormatPr defaultColWidth="8.88671875" defaultRowHeight="15.6" x14ac:dyDescent="0.3"/>
  <cols>
    <col min="1" max="1" width="8.88671875" style="1" customWidth="1"/>
    <col min="2" max="8" width="10.6640625" style="1" customWidth="1"/>
    <col min="9" max="16384" width="8.88671875" style="1"/>
  </cols>
  <sheetData>
    <row r="1" spans="1:12" ht="17.399999999999999" x14ac:dyDescent="0.3">
      <c r="A1" s="2" t="s">
        <v>214</v>
      </c>
      <c r="B1" s="4"/>
      <c r="C1" s="9" t="s">
        <v>21</v>
      </c>
      <c r="D1" s="4"/>
      <c r="E1" s="4"/>
      <c r="F1" s="4"/>
      <c r="G1" s="4"/>
      <c r="H1" s="4"/>
      <c r="I1" s="4"/>
      <c r="J1" s="4"/>
      <c r="K1" s="4"/>
      <c r="L1" s="3"/>
    </row>
    <row r="2" spans="1:12" x14ac:dyDescent="0.3">
      <c r="A2" s="4"/>
      <c r="B2" s="4"/>
      <c r="C2" s="4"/>
      <c r="D2" s="4"/>
      <c r="E2" s="4"/>
      <c r="F2" s="4"/>
      <c r="G2" s="4"/>
      <c r="H2" s="4"/>
      <c r="I2" s="4"/>
      <c r="J2" s="4"/>
      <c r="K2" s="4"/>
      <c r="L2" s="3"/>
    </row>
    <row r="4" spans="1:12" x14ac:dyDescent="0.3">
      <c r="A4" s="5" t="s">
        <v>9</v>
      </c>
      <c r="B4" s="3"/>
      <c r="C4" s="3"/>
      <c r="D4" s="3"/>
      <c r="E4" s="3"/>
      <c r="F4" s="3"/>
      <c r="G4" s="3"/>
      <c r="H4" s="3"/>
      <c r="I4" s="3"/>
      <c r="J4" s="3"/>
      <c r="K4" s="3"/>
      <c r="L4" s="3"/>
    </row>
    <row r="5" spans="1:12" x14ac:dyDescent="0.3">
      <c r="A5" s="7"/>
      <c r="B5" s="7"/>
      <c r="C5" s="7"/>
      <c r="D5" s="7"/>
      <c r="E5" s="7"/>
      <c r="F5" s="7"/>
      <c r="G5" s="7"/>
      <c r="H5" s="7"/>
      <c r="I5" s="7"/>
      <c r="J5" s="7"/>
      <c r="K5" s="7"/>
      <c r="L5" s="7"/>
    </row>
    <row r="6" spans="1:12" x14ac:dyDescent="0.3">
      <c r="A6" s="9" t="s">
        <v>215</v>
      </c>
      <c r="B6" s="9"/>
      <c r="C6" s="9"/>
      <c r="D6" s="9"/>
      <c r="E6" s="9"/>
      <c r="F6" s="9"/>
      <c r="G6" s="9"/>
      <c r="H6" s="9"/>
      <c r="I6" s="9"/>
      <c r="J6" s="9"/>
      <c r="K6" s="9"/>
      <c r="L6" s="9"/>
    </row>
    <row r="7" spans="1:12" x14ac:dyDescent="0.3">
      <c r="A7" s="9"/>
      <c r="B7" s="9"/>
      <c r="C7" s="9"/>
      <c r="D7" s="9"/>
      <c r="E7" s="9"/>
      <c r="F7" s="9"/>
      <c r="G7" s="9"/>
      <c r="H7" s="9"/>
      <c r="I7" s="9"/>
      <c r="J7" s="9"/>
      <c r="K7" s="9"/>
      <c r="L7" s="9"/>
    </row>
    <row r="8" spans="1:12" x14ac:dyDescent="0.3">
      <c r="A8" s="9"/>
      <c r="B8" s="355" t="s">
        <v>216</v>
      </c>
      <c r="C8" s="340" t="s">
        <v>217</v>
      </c>
      <c r="D8" s="340"/>
      <c r="E8" s="340"/>
      <c r="F8" s="340"/>
      <c r="G8" s="340"/>
      <c r="H8" s="340"/>
      <c r="I8" s="9"/>
      <c r="J8" s="9"/>
      <c r="K8" s="9"/>
      <c r="L8" s="9"/>
    </row>
    <row r="9" spans="1:12" x14ac:dyDescent="0.3">
      <c r="A9" s="9"/>
      <c r="B9" s="355"/>
      <c r="C9" s="27" t="s">
        <v>218</v>
      </c>
      <c r="D9" s="27" t="s">
        <v>219</v>
      </c>
      <c r="E9" s="27" t="s">
        <v>220</v>
      </c>
      <c r="F9" s="27" t="s">
        <v>221</v>
      </c>
      <c r="G9" s="27" t="s">
        <v>222</v>
      </c>
      <c r="H9" s="27" t="s">
        <v>223</v>
      </c>
      <c r="I9" s="9"/>
      <c r="J9" s="9"/>
      <c r="K9" s="9"/>
      <c r="L9" s="9"/>
    </row>
    <row r="10" spans="1:12" x14ac:dyDescent="0.3">
      <c r="A10" s="9"/>
      <c r="B10" s="356" t="s">
        <v>224</v>
      </c>
      <c r="C10" s="356"/>
      <c r="D10" s="356"/>
      <c r="E10" s="356"/>
      <c r="F10" s="356"/>
      <c r="G10" s="356"/>
      <c r="H10" s="356"/>
      <c r="I10" s="9"/>
      <c r="J10" s="9"/>
      <c r="K10" s="9"/>
      <c r="L10" s="9"/>
    </row>
    <row r="11" spans="1:12" x14ac:dyDescent="0.3">
      <c r="A11" s="9"/>
      <c r="B11" s="29">
        <v>1</v>
      </c>
      <c r="C11" s="29">
        <v>0</v>
      </c>
      <c r="D11" s="29">
        <v>100</v>
      </c>
      <c r="E11" s="29">
        <v>250</v>
      </c>
      <c r="F11" s="29">
        <v>0</v>
      </c>
      <c r="G11" s="29">
        <v>0</v>
      </c>
      <c r="H11" s="29">
        <v>75</v>
      </c>
      <c r="I11" s="9"/>
      <c r="J11" s="9"/>
      <c r="K11" s="9"/>
      <c r="L11" s="9"/>
    </row>
    <row r="12" spans="1:12" x14ac:dyDescent="0.3">
      <c r="A12" s="9"/>
      <c r="B12" s="29">
        <v>2</v>
      </c>
      <c r="C12" s="29">
        <v>50</v>
      </c>
      <c r="D12" s="29"/>
      <c r="E12" s="29"/>
      <c r="F12" s="29"/>
      <c r="G12" s="29"/>
      <c r="H12" s="29"/>
      <c r="I12" s="9"/>
      <c r="J12" s="9"/>
      <c r="K12" s="9"/>
      <c r="L12" s="9"/>
    </row>
    <row r="13" spans="1:12" x14ac:dyDescent="0.3">
      <c r="A13" s="9"/>
      <c r="B13" s="29">
        <v>3</v>
      </c>
      <c r="C13" s="29"/>
      <c r="D13" s="29"/>
      <c r="E13" s="29"/>
      <c r="F13" s="29">
        <v>0</v>
      </c>
      <c r="G13" s="29">
        <v>55</v>
      </c>
      <c r="H13" s="29">
        <v>0</v>
      </c>
      <c r="I13" s="9"/>
      <c r="J13" s="9"/>
      <c r="K13" s="9"/>
      <c r="L13" s="9"/>
    </row>
    <row r="14" spans="1:12" x14ac:dyDescent="0.3">
      <c r="A14" s="9"/>
      <c r="B14" s="29">
        <v>4</v>
      </c>
      <c r="C14" s="29"/>
      <c r="D14" s="29"/>
      <c r="E14" s="29"/>
      <c r="F14" s="29"/>
      <c r="G14" s="29"/>
      <c r="H14" s="29"/>
      <c r="I14" s="9"/>
      <c r="J14" s="9"/>
      <c r="K14" s="9"/>
      <c r="L14" s="9"/>
    </row>
    <row r="15" spans="1:12" x14ac:dyDescent="0.3">
      <c r="A15" s="9"/>
      <c r="B15" s="356" t="s">
        <v>225</v>
      </c>
      <c r="C15" s="356"/>
      <c r="D15" s="356"/>
      <c r="E15" s="356"/>
      <c r="F15" s="356"/>
      <c r="G15" s="356"/>
      <c r="H15" s="356"/>
      <c r="I15" s="9"/>
      <c r="J15" s="9"/>
      <c r="K15" s="9"/>
      <c r="L15" s="9"/>
    </row>
    <row r="16" spans="1:12" x14ac:dyDescent="0.3">
      <c r="A16" s="9"/>
      <c r="B16" s="29">
        <v>5</v>
      </c>
      <c r="C16" s="29"/>
      <c r="D16" s="29"/>
      <c r="E16" s="29">
        <v>190</v>
      </c>
      <c r="F16" s="29">
        <v>0</v>
      </c>
      <c r="G16" s="29">
        <v>30</v>
      </c>
      <c r="H16" s="29"/>
      <c r="I16" s="9"/>
      <c r="J16" s="9"/>
      <c r="K16" s="9"/>
      <c r="L16" s="9"/>
    </row>
    <row r="17" spans="1:12" x14ac:dyDescent="0.3">
      <c r="A17" s="9"/>
      <c r="B17" s="29">
        <v>6</v>
      </c>
      <c r="C17" s="29"/>
      <c r="D17" s="29"/>
      <c r="E17" s="29"/>
      <c r="F17" s="29">
        <v>0</v>
      </c>
      <c r="G17" s="29">
        <v>0</v>
      </c>
      <c r="H17" s="29"/>
      <c r="I17" s="9"/>
      <c r="J17" s="9"/>
      <c r="K17" s="9"/>
      <c r="L17" s="9"/>
    </row>
    <row r="18" spans="1:12" x14ac:dyDescent="0.3">
      <c r="A18" s="9"/>
      <c r="B18" s="29">
        <v>7</v>
      </c>
      <c r="C18" s="29"/>
      <c r="D18" s="29"/>
      <c r="E18" s="29">
        <v>75</v>
      </c>
      <c r="F18" s="29">
        <v>0</v>
      </c>
      <c r="G18" s="29">
        <v>0</v>
      </c>
      <c r="H18" s="29">
        <v>185</v>
      </c>
      <c r="I18" s="9"/>
      <c r="J18" s="9"/>
      <c r="K18" s="9"/>
      <c r="L18" s="9"/>
    </row>
    <row r="19" spans="1:12" x14ac:dyDescent="0.3">
      <c r="A19" s="9"/>
      <c r="B19" s="356" t="s">
        <v>226</v>
      </c>
      <c r="C19" s="356"/>
      <c r="D19" s="356"/>
      <c r="E19" s="356"/>
      <c r="F19" s="356"/>
      <c r="G19" s="356"/>
      <c r="H19" s="356"/>
      <c r="I19" s="9"/>
      <c r="J19" s="9"/>
      <c r="K19" s="9"/>
      <c r="L19" s="9"/>
    </row>
    <row r="20" spans="1:12" x14ac:dyDescent="0.3">
      <c r="A20" s="9"/>
      <c r="B20" s="29">
        <v>8</v>
      </c>
      <c r="C20" s="29"/>
      <c r="D20" s="29"/>
      <c r="E20" s="29"/>
      <c r="F20" s="29"/>
      <c r="G20" s="29">
        <v>0</v>
      </c>
      <c r="H20" s="29">
        <v>0</v>
      </c>
      <c r="I20" s="9"/>
      <c r="J20" s="9"/>
      <c r="K20" s="9"/>
      <c r="L20" s="9"/>
    </row>
    <row r="21" spans="1:12" x14ac:dyDescent="0.3">
      <c r="A21" s="9"/>
      <c r="B21" s="29">
        <v>9</v>
      </c>
      <c r="C21" s="29"/>
      <c r="D21" s="29"/>
      <c r="E21" s="29"/>
      <c r="F21" s="29"/>
      <c r="G21" s="29">
        <v>0</v>
      </c>
      <c r="H21" s="29">
        <v>100</v>
      </c>
      <c r="I21" s="9"/>
      <c r="J21" s="9"/>
      <c r="K21" s="9"/>
      <c r="L21" s="9"/>
    </row>
    <row r="22" spans="1:12" x14ac:dyDescent="0.3">
      <c r="A22" s="9"/>
      <c r="B22" s="29">
        <v>10</v>
      </c>
      <c r="C22" s="29"/>
      <c r="D22" s="29"/>
      <c r="E22" s="29"/>
      <c r="F22" s="29"/>
      <c r="G22" s="29">
        <v>0</v>
      </c>
      <c r="H22" s="29">
        <v>175</v>
      </c>
      <c r="I22" s="9"/>
      <c r="J22" s="9"/>
      <c r="K22" s="9"/>
      <c r="L22" s="9"/>
    </row>
    <row r="23" spans="1:12" x14ac:dyDescent="0.3">
      <c r="A23" s="9"/>
      <c r="B23" s="9"/>
      <c r="C23" s="9"/>
      <c r="D23" s="9"/>
      <c r="E23" s="9"/>
      <c r="F23" s="9"/>
      <c r="G23" s="9"/>
      <c r="H23" s="9"/>
      <c r="I23" s="9"/>
      <c r="J23" s="9"/>
      <c r="K23" s="9"/>
      <c r="L23" s="9"/>
    </row>
    <row r="24" spans="1:12" x14ac:dyDescent="0.3">
      <c r="A24" s="9"/>
      <c r="B24" s="355" t="s">
        <v>216</v>
      </c>
      <c r="C24" s="340" t="s">
        <v>227</v>
      </c>
      <c r="D24" s="340"/>
      <c r="E24" s="340"/>
      <c r="F24" s="340"/>
      <c r="G24" s="340"/>
      <c r="H24" s="340"/>
      <c r="I24" s="9"/>
      <c r="J24" s="9"/>
      <c r="K24" s="9"/>
      <c r="L24" s="9"/>
    </row>
    <row r="25" spans="1:12" x14ac:dyDescent="0.3">
      <c r="A25" s="9"/>
      <c r="B25" s="355"/>
      <c r="C25" s="27" t="s">
        <v>218</v>
      </c>
      <c r="D25" s="27" t="s">
        <v>219</v>
      </c>
      <c r="E25" s="27" t="s">
        <v>220</v>
      </c>
      <c r="F25" s="27" t="s">
        <v>221</v>
      </c>
      <c r="G25" s="27" t="s">
        <v>222</v>
      </c>
      <c r="H25" s="27" t="s">
        <v>223</v>
      </c>
      <c r="I25" s="9"/>
      <c r="J25" s="9"/>
      <c r="K25" s="9"/>
      <c r="L25" s="9"/>
    </row>
    <row r="26" spans="1:12" x14ac:dyDescent="0.3">
      <c r="A26" s="9"/>
      <c r="B26" s="356" t="s">
        <v>224</v>
      </c>
      <c r="C26" s="356"/>
      <c r="D26" s="356"/>
      <c r="E26" s="356"/>
      <c r="F26" s="356"/>
      <c r="G26" s="356"/>
      <c r="H26" s="356"/>
      <c r="I26" s="9"/>
      <c r="J26" s="9"/>
      <c r="K26" s="9"/>
      <c r="L26" s="9"/>
    </row>
    <row r="27" spans="1:12" x14ac:dyDescent="0.3">
      <c r="A27" s="9"/>
      <c r="B27" s="29">
        <v>1</v>
      </c>
      <c r="C27" s="29">
        <v>150</v>
      </c>
      <c r="D27" s="29">
        <v>200</v>
      </c>
      <c r="E27" s="29">
        <v>75</v>
      </c>
      <c r="F27" s="29">
        <v>75</v>
      </c>
      <c r="G27" s="29">
        <v>75</v>
      </c>
      <c r="H27" s="29">
        <v>0</v>
      </c>
      <c r="I27" s="9"/>
      <c r="J27" s="9"/>
      <c r="K27" s="9"/>
      <c r="L27" s="9"/>
    </row>
    <row r="28" spans="1:12" x14ac:dyDescent="0.3">
      <c r="A28" s="9"/>
      <c r="B28" s="29">
        <v>2</v>
      </c>
      <c r="C28" s="29">
        <v>0</v>
      </c>
      <c r="D28" s="29"/>
      <c r="E28" s="29"/>
      <c r="F28" s="29"/>
      <c r="G28" s="29"/>
      <c r="H28" s="29"/>
      <c r="I28" s="9"/>
      <c r="J28" s="9"/>
      <c r="K28" s="9"/>
      <c r="L28" s="9"/>
    </row>
    <row r="29" spans="1:12" x14ac:dyDescent="0.3">
      <c r="A29" s="9"/>
      <c r="B29" s="29">
        <v>3</v>
      </c>
      <c r="C29" s="29"/>
      <c r="D29" s="29"/>
      <c r="E29" s="29"/>
      <c r="F29" s="29">
        <v>315</v>
      </c>
      <c r="G29" s="29">
        <v>260</v>
      </c>
      <c r="H29" s="29">
        <v>260</v>
      </c>
      <c r="I29" s="9"/>
      <c r="J29" s="9"/>
      <c r="K29" s="9"/>
      <c r="L29" s="9"/>
    </row>
    <row r="30" spans="1:12" x14ac:dyDescent="0.3">
      <c r="A30" s="9"/>
      <c r="B30" s="29">
        <v>4</v>
      </c>
      <c r="C30" s="29"/>
      <c r="D30" s="29"/>
      <c r="E30" s="29"/>
      <c r="F30" s="29"/>
      <c r="G30" s="29">
        <v>75</v>
      </c>
      <c r="H30" s="29">
        <v>90</v>
      </c>
      <c r="I30" s="9"/>
      <c r="J30" s="9"/>
      <c r="K30" s="9"/>
      <c r="L30" s="9"/>
    </row>
    <row r="31" spans="1:12" x14ac:dyDescent="0.3">
      <c r="A31" s="9"/>
      <c r="B31" s="356" t="s">
        <v>225</v>
      </c>
      <c r="C31" s="356"/>
      <c r="D31" s="356"/>
      <c r="E31" s="356"/>
      <c r="F31" s="356"/>
      <c r="G31" s="356"/>
      <c r="H31" s="356"/>
      <c r="I31" s="9"/>
      <c r="J31" s="9"/>
      <c r="K31" s="9"/>
      <c r="L31" s="9"/>
    </row>
    <row r="32" spans="1:12" x14ac:dyDescent="0.3">
      <c r="A32" s="9"/>
      <c r="B32" s="29">
        <v>5</v>
      </c>
      <c r="C32" s="29"/>
      <c r="D32" s="29"/>
      <c r="E32" s="29">
        <v>35</v>
      </c>
      <c r="F32" s="29">
        <v>35</v>
      </c>
      <c r="G32" s="29">
        <v>0</v>
      </c>
      <c r="H32" s="29"/>
      <c r="I32" s="9"/>
      <c r="J32" s="9"/>
      <c r="K32" s="9"/>
      <c r="L32" s="9"/>
    </row>
    <row r="33" spans="1:18" x14ac:dyDescent="0.3">
      <c r="A33" s="9"/>
      <c r="B33" s="29">
        <v>6</v>
      </c>
      <c r="C33" s="29"/>
      <c r="D33" s="29"/>
      <c r="E33" s="29"/>
      <c r="F33" s="29">
        <v>225</v>
      </c>
      <c r="G33" s="29">
        <v>0</v>
      </c>
      <c r="H33" s="29"/>
      <c r="I33" s="9"/>
      <c r="J33" s="9"/>
      <c r="K33" s="9"/>
      <c r="L33" s="9"/>
    </row>
    <row r="34" spans="1:18" x14ac:dyDescent="0.3">
      <c r="A34" s="9"/>
      <c r="B34" s="29">
        <v>7</v>
      </c>
      <c r="C34" s="29"/>
      <c r="D34" s="29"/>
      <c r="E34" s="29">
        <v>0</v>
      </c>
      <c r="F34" s="29">
        <v>0</v>
      </c>
      <c r="G34" s="29">
        <v>225</v>
      </c>
      <c r="H34" s="29">
        <v>0</v>
      </c>
      <c r="I34" s="9"/>
      <c r="J34" s="9"/>
      <c r="K34" s="9"/>
      <c r="L34" s="9"/>
    </row>
    <row r="35" spans="1:18" x14ac:dyDescent="0.3">
      <c r="A35" s="9"/>
      <c r="B35" s="356" t="s">
        <v>226</v>
      </c>
      <c r="C35" s="356"/>
      <c r="D35" s="356"/>
      <c r="E35" s="356"/>
      <c r="F35" s="356"/>
      <c r="G35" s="356"/>
      <c r="H35" s="356"/>
      <c r="I35" s="9"/>
      <c r="J35" s="9"/>
      <c r="K35" s="9"/>
      <c r="L35" s="9"/>
    </row>
    <row r="36" spans="1:18" x14ac:dyDescent="0.3">
      <c r="A36" s="9"/>
      <c r="B36" s="29">
        <v>8</v>
      </c>
      <c r="C36" s="29"/>
      <c r="D36" s="29"/>
      <c r="E36" s="29"/>
      <c r="F36" s="29"/>
      <c r="G36" s="29">
        <v>250</v>
      </c>
      <c r="H36" s="29">
        <v>65</v>
      </c>
      <c r="I36" s="9"/>
      <c r="J36" s="9"/>
      <c r="K36" s="9"/>
      <c r="L36" s="9"/>
    </row>
    <row r="37" spans="1:18" x14ac:dyDescent="0.3">
      <c r="A37" s="9"/>
      <c r="B37" s="29">
        <v>9</v>
      </c>
      <c r="C37" s="29"/>
      <c r="D37" s="29"/>
      <c r="E37" s="29"/>
      <c r="F37" s="29"/>
      <c r="G37" s="29">
        <v>25</v>
      </c>
      <c r="H37" s="29">
        <v>0</v>
      </c>
      <c r="I37" s="9"/>
      <c r="J37" s="9"/>
      <c r="K37" s="9"/>
      <c r="L37" s="9"/>
    </row>
    <row r="38" spans="1:18" x14ac:dyDescent="0.3">
      <c r="A38" s="9"/>
      <c r="B38" s="29">
        <v>10</v>
      </c>
      <c r="C38" s="29"/>
      <c r="D38" s="29"/>
      <c r="E38" s="29"/>
      <c r="F38" s="29"/>
      <c r="G38" s="29">
        <v>275</v>
      </c>
      <c r="H38" s="29">
        <v>0</v>
      </c>
      <c r="I38" s="9"/>
      <c r="J38" s="9"/>
      <c r="K38" s="9"/>
      <c r="L38" s="9"/>
    </row>
    <row r="39" spans="1:18" x14ac:dyDescent="0.3">
      <c r="A39" s="9"/>
      <c r="B39" s="9"/>
      <c r="C39" s="9"/>
      <c r="D39" s="9"/>
      <c r="E39" s="9"/>
      <c r="F39" s="9"/>
      <c r="G39" s="9"/>
      <c r="H39" s="9"/>
      <c r="I39" s="9"/>
      <c r="J39" s="9"/>
      <c r="K39" s="9"/>
      <c r="L39" s="9"/>
    </row>
    <row r="40" spans="1:18" x14ac:dyDescent="0.3">
      <c r="A40" s="7"/>
      <c r="B40" s="7"/>
      <c r="C40" s="7"/>
      <c r="D40" s="7"/>
      <c r="E40" s="7"/>
      <c r="F40" s="7"/>
      <c r="G40" s="7"/>
      <c r="H40" s="7"/>
      <c r="I40" s="7"/>
      <c r="J40" s="7"/>
      <c r="K40" s="7"/>
      <c r="L40" s="7"/>
    </row>
    <row r="41" spans="1:18" x14ac:dyDescent="0.3">
      <c r="A41" s="6" t="s">
        <v>5</v>
      </c>
      <c r="B41" s="323" t="s">
        <v>228</v>
      </c>
      <c r="C41" s="323"/>
      <c r="D41" s="323"/>
      <c r="E41" s="323"/>
      <c r="F41" s="323"/>
      <c r="G41" s="323"/>
      <c r="H41" s="323"/>
      <c r="I41" s="323"/>
      <c r="J41" s="323"/>
      <c r="K41" s="323"/>
      <c r="L41" s="4"/>
      <c r="M41" s="8"/>
      <c r="N41" s="8"/>
      <c r="O41" s="8"/>
      <c r="P41" s="8"/>
      <c r="Q41" s="8"/>
      <c r="R41" s="8"/>
    </row>
    <row r="42" spans="1:18" x14ac:dyDescent="0.3">
      <c r="A42" s="6"/>
      <c r="B42" s="323"/>
      <c r="C42" s="323"/>
      <c r="D42" s="323"/>
      <c r="E42" s="323"/>
      <c r="F42" s="323"/>
      <c r="G42" s="323"/>
      <c r="H42" s="323"/>
      <c r="I42" s="323"/>
      <c r="J42" s="323"/>
      <c r="K42" s="323"/>
      <c r="L42" s="4"/>
      <c r="M42" s="8"/>
      <c r="N42" s="8"/>
      <c r="O42" s="8"/>
      <c r="P42" s="8"/>
      <c r="Q42" s="8"/>
      <c r="R42" s="8"/>
    </row>
    <row r="43" spans="1:18" x14ac:dyDescent="0.3">
      <c r="A43" s="3"/>
      <c r="B43" s="3"/>
      <c r="C43" s="3"/>
      <c r="D43" s="3"/>
      <c r="E43" s="3"/>
      <c r="F43" s="3"/>
      <c r="G43" s="4"/>
      <c r="H43" s="4"/>
      <c r="I43" s="4"/>
      <c r="J43" s="4"/>
      <c r="K43" s="4"/>
      <c r="L43" s="4"/>
    </row>
    <row r="44" spans="1:18" x14ac:dyDescent="0.3">
      <c r="A44" s="7"/>
      <c r="B44" s="7"/>
      <c r="C44" s="7"/>
      <c r="D44" s="7"/>
      <c r="E44" s="7"/>
      <c r="F44" s="7"/>
      <c r="G44" s="7"/>
      <c r="H44" s="7"/>
      <c r="I44" s="7"/>
      <c r="J44" s="7"/>
      <c r="K44" s="7"/>
      <c r="L44" s="7"/>
      <c r="M44" s="7"/>
    </row>
    <row r="45" spans="1:18" x14ac:dyDescent="0.3">
      <c r="A45" s="7" t="s">
        <v>1</v>
      </c>
      <c r="B45" s="7"/>
      <c r="C45" s="7"/>
      <c r="D45" s="7"/>
      <c r="E45" s="7"/>
      <c r="F45" s="7"/>
      <c r="G45" s="7"/>
      <c r="H45" s="7"/>
      <c r="I45" s="7"/>
      <c r="J45" s="7"/>
      <c r="K45" s="7"/>
      <c r="L45" s="7"/>
      <c r="M45" s="7"/>
      <c r="N45" s="8"/>
    </row>
    <row r="46" spans="1:18" x14ac:dyDescent="0.3">
      <c r="A46" s="7"/>
      <c r="B46" s="357" t="s">
        <v>164</v>
      </c>
      <c r="C46" s="351" t="s">
        <v>481</v>
      </c>
      <c r="D46" s="351"/>
      <c r="E46" s="351"/>
      <c r="F46" s="351"/>
      <c r="G46" s="351"/>
      <c r="H46" s="351"/>
      <c r="I46" s="7"/>
      <c r="J46" s="7"/>
      <c r="K46" s="7"/>
      <c r="L46" s="7"/>
      <c r="M46" s="7"/>
      <c r="N46" s="8"/>
    </row>
    <row r="47" spans="1:18" x14ac:dyDescent="0.3">
      <c r="A47" s="7"/>
      <c r="B47" s="358"/>
      <c r="C47" s="189">
        <v>6</v>
      </c>
      <c r="D47" s="189">
        <v>12</v>
      </c>
      <c r="E47" s="189">
        <v>18</v>
      </c>
      <c r="F47" s="189">
        <v>24</v>
      </c>
      <c r="G47" s="189">
        <v>30</v>
      </c>
      <c r="H47" s="189">
        <v>36</v>
      </c>
      <c r="I47" s="7"/>
      <c r="J47" s="7"/>
      <c r="K47" s="7"/>
      <c r="L47" s="7"/>
      <c r="M47" s="7"/>
      <c r="N47" s="8"/>
    </row>
    <row r="48" spans="1:18" x14ac:dyDescent="0.3">
      <c r="A48" s="7"/>
      <c r="B48" s="194">
        <v>2018</v>
      </c>
      <c r="C48" s="195">
        <f t="shared" ref="C48:H48" si="0">SUM(C11:C14)</f>
        <v>50</v>
      </c>
      <c r="D48" s="195">
        <f t="shared" si="0"/>
        <v>100</v>
      </c>
      <c r="E48" s="195">
        <f t="shared" si="0"/>
        <v>250</v>
      </c>
      <c r="F48" s="195">
        <f t="shared" si="0"/>
        <v>0</v>
      </c>
      <c r="G48" s="195">
        <f t="shared" si="0"/>
        <v>55</v>
      </c>
      <c r="H48" s="195">
        <f t="shared" si="0"/>
        <v>75</v>
      </c>
      <c r="I48" s="7"/>
      <c r="J48" s="7"/>
      <c r="K48" s="7"/>
      <c r="L48" s="7"/>
      <c r="M48" s="7"/>
      <c r="N48" s="8"/>
    </row>
    <row r="49" spans="1:25" x14ac:dyDescent="0.3">
      <c r="A49" s="7"/>
      <c r="B49" s="194">
        <v>2019</v>
      </c>
      <c r="C49" s="195">
        <f>SUM(E16:E18)</f>
        <v>265</v>
      </c>
      <c r="D49" s="195">
        <f>SUM(F16:F18)</f>
        <v>0</v>
      </c>
      <c r="E49" s="195">
        <f>SUM(G16:G18)</f>
        <v>30</v>
      </c>
      <c r="F49" s="195">
        <f>SUM(H16:H18)</f>
        <v>185</v>
      </c>
      <c r="G49" s="191"/>
      <c r="H49" s="191"/>
      <c r="I49" s="7"/>
      <c r="J49" s="7"/>
      <c r="K49" s="7"/>
      <c r="L49" s="7"/>
      <c r="M49" s="7"/>
      <c r="N49" s="8"/>
    </row>
    <row r="50" spans="1:25" x14ac:dyDescent="0.3">
      <c r="A50" s="7"/>
      <c r="B50" s="194">
        <v>2020</v>
      </c>
      <c r="C50" s="196">
        <f>SUM(G20:G22)</f>
        <v>0</v>
      </c>
      <c r="D50" s="196">
        <f>SUM(H20:H22)</f>
        <v>275</v>
      </c>
      <c r="E50" s="191"/>
      <c r="F50" s="191"/>
      <c r="G50" s="191"/>
      <c r="H50" s="191"/>
      <c r="I50" s="7"/>
      <c r="J50" s="7"/>
      <c r="K50" s="7"/>
      <c r="L50" s="7"/>
      <c r="M50" s="7"/>
      <c r="N50" s="8"/>
    </row>
    <row r="51" spans="1:25" x14ac:dyDescent="0.3">
      <c r="A51" s="7"/>
      <c r="I51" s="7"/>
      <c r="J51" s="7"/>
      <c r="K51"/>
      <c r="L51"/>
      <c r="M51"/>
      <c r="N51"/>
      <c r="O51"/>
      <c r="P51"/>
      <c r="Q51"/>
      <c r="R51"/>
      <c r="S51"/>
      <c r="T51"/>
      <c r="U51"/>
      <c r="V51"/>
      <c r="W51"/>
      <c r="X51"/>
      <c r="Y51"/>
    </row>
    <row r="52" spans="1:25" x14ac:dyDescent="0.3">
      <c r="A52" s="7"/>
      <c r="B52" s="357" t="s">
        <v>447</v>
      </c>
      <c r="C52" s="351" t="s">
        <v>482</v>
      </c>
      <c r="D52" s="351"/>
      <c r="E52" s="351"/>
      <c r="F52" s="351"/>
      <c r="G52" s="351"/>
      <c r="H52" s="351"/>
      <c r="I52" s="7"/>
      <c r="J52" s="7"/>
      <c r="K52"/>
      <c r="L52"/>
      <c r="M52"/>
      <c r="N52"/>
      <c r="O52"/>
      <c r="P52"/>
      <c r="Q52"/>
      <c r="R52"/>
      <c r="S52"/>
      <c r="T52"/>
      <c r="U52"/>
      <c r="V52"/>
      <c r="W52"/>
      <c r="X52"/>
      <c r="Y52"/>
    </row>
    <row r="53" spans="1:25" x14ac:dyDescent="0.3">
      <c r="A53" s="7"/>
      <c r="B53" s="358"/>
      <c r="C53" s="189">
        <v>6</v>
      </c>
      <c r="D53" s="189">
        <v>12</v>
      </c>
      <c r="E53" s="189">
        <v>18</v>
      </c>
      <c r="F53" s="189">
        <v>24</v>
      </c>
      <c r="G53" s="189">
        <v>30</v>
      </c>
      <c r="H53" s="189">
        <v>36</v>
      </c>
      <c r="I53" s="7"/>
      <c r="J53" s="7"/>
      <c r="K53"/>
      <c r="L53"/>
      <c r="M53"/>
      <c r="N53"/>
      <c r="O53"/>
      <c r="P53"/>
      <c r="Q53"/>
      <c r="R53"/>
      <c r="S53"/>
      <c r="T53"/>
      <c r="U53"/>
      <c r="V53"/>
      <c r="W53"/>
      <c r="X53"/>
      <c r="Y53"/>
    </row>
    <row r="54" spans="1:25" x14ac:dyDescent="0.3">
      <c r="A54" s="7"/>
      <c r="B54" s="194">
        <v>2018</v>
      </c>
      <c r="C54" s="195">
        <f>C48</f>
        <v>50</v>
      </c>
      <c r="D54" s="195">
        <f>C54+D48</f>
        <v>150</v>
      </c>
      <c r="E54" s="195">
        <f t="shared" ref="E54:H54" si="1">D54+E48</f>
        <v>400</v>
      </c>
      <c r="F54" s="195">
        <f t="shared" si="1"/>
        <v>400</v>
      </c>
      <c r="G54" s="195">
        <f t="shared" si="1"/>
        <v>455</v>
      </c>
      <c r="H54" s="195">
        <f t="shared" si="1"/>
        <v>530</v>
      </c>
      <c r="I54" s="7"/>
      <c r="J54" s="7"/>
      <c r="K54"/>
      <c r="L54"/>
      <c r="M54"/>
      <c r="N54"/>
      <c r="O54"/>
      <c r="P54"/>
      <c r="Q54"/>
      <c r="R54"/>
      <c r="S54"/>
      <c r="T54"/>
      <c r="U54"/>
      <c r="V54"/>
      <c r="W54"/>
      <c r="X54"/>
      <c r="Y54"/>
    </row>
    <row r="55" spans="1:25" x14ac:dyDescent="0.3">
      <c r="A55" s="7"/>
      <c r="B55" s="194">
        <v>2019</v>
      </c>
      <c r="C55" s="195">
        <f t="shared" ref="C55:C56" si="2">C49</f>
        <v>265</v>
      </c>
      <c r="D55" s="195">
        <f t="shared" ref="D55:F56" si="3">C55+D49</f>
        <v>265</v>
      </c>
      <c r="E55" s="195">
        <f t="shared" si="3"/>
        <v>295</v>
      </c>
      <c r="F55" s="195">
        <f t="shared" si="3"/>
        <v>480</v>
      </c>
      <c r="G55" s="191"/>
      <c r="H55" s="191"/>
      <c r="I55" s="7"/>
      <c r="J55" s="7"/>
      <c r="K55"/>
      <c r="L55"/>
      <c r="M55"/>
      <c r="N55"/>
      <c r="O55"/>
      <c r="P55"/>
      <c r="Q55"/>
      <c r="R55"/>
      <c r="S55"/>
      <c r="T55"/>
      <c r="U55"/>
      <c r="V55"/>
      <c r="W55"/>
      <c r="X55"/>
      <c r="Y55"/>
    </row>
    <row r="56" spans="1:25" x14ac:dyDescent="0.3">
      <c r="A56" s="7"/>
      <c r="B56" s="194">
        <v>2020</v>
      </c>
      <c r="C56" s="196">
        <f t="shared" si="2"/>
        <v>0</v>
      </c>
      <c r="D56" s="196">
        <f t="shared" si="3"/>
        <v>275</v>
      </c>
      <c r="E56" s="191"/>
      <c r="F56" s="191"/>
      <c r="G56" s="191"/>
      <c r="H56" s="191"/>
      <c r="I56" s="7"/>
      <c r="J56" s="7"/>
      <c r="K56"/>
      <c r="L56"/>
      <c r="M56"/>
      <c r="N56"/>
      <c r="O56"/>
      <c r="P56"/>
      <c r="Q56"/>
      <c r="R56"/>
      <c r="S56"/>
      <c r="T56"/>
      <c r="U56"/>
      <c r="V56"/>
      <c r="W56"/>
      <c r="X56"/>
      <c r="Y56"/>
    </row>
    <row r="57" spans="1:25" x14ac:dyDescent="0.3">
      <c r="A57" s="7"/>
      <c r="B57" s="7"/>
      <c r="C57" s="7"/>
      <c r="D57" s="7"/>
      <c r="E57" s="7"/>
      <c r="F57" s="7"/>
      <c r="G57" s="7"/>
      <c r="H57" s="7"/>
      <c r="I57" s="7"/>
      <c r="J57" s="7"/>
      <c r="K57"/>
      <c r="L57"/>
      <c r="M57"/>
      <c r="N57"/>
      <c r="O57"/>
      <c r="P57"/>
      <c r="Q57"/>
      <c r="R57"/>
      <c r="S57"/>
      <c r="T57"/>
      <c r="U57"/>
      <c r="V57"/>
      <c r="W57"/>
      <c r="X57"/>
      <c r="Y57"/>
    </row>
    <row r="58" spans="1:25" x14ac:dyDescent="0.3">
      <c r="A58" s="7"/>
      <c r="B58" s="357" t="s">
        <v>447</v>
      </c>
      <c r="C58" s="351" t="s">
        <v>483</v>
      </c>
      <c r="D58" s="351"/>
      <c r="E58" s="351"/>
      <c r="F58" s="351"/>
      <c r="G58" s="351"/>
      <c r="H58" s="351"/>
      <c r="I58" s="7"/>
      <c r="J58" s="7"/>
      <c r="K58"/>
      <c r="L58"/>
      <c r="M58"/>
      <c r="N58"/>
      <c r="O58"/>
      <c r="P58"/>
      <c r="Q58"/>
      <c r="R58"/>
      <c r="S58"/>
      <c r="T58"/>
      <c r="U58"/>
      <c r="V58"/>
      <c r="W58"/>
      <c r="X58"/>
      <c r="Y58"/>
    </row>
    <row r="59" spans="1:25" x14ac:dyDescent="0.3">
      <c r="A59" s="7"/>
      <c r="B59" s="358"/>
      <c r="C59" s="189">
        <v>6</v>
      </c>
      <c r="D59" s="189">
        <v>12</v>
      </c>
      <c r="E59" s="189">
        <v>18</v>
      </c>
      <c r="F59" s="189">
        <v>24</v>
      </c>
      <c r="G59" s="189">
        <v>30</v>
      </c>
      <c r="H59" s="189">
        <v>36</v>
      </c>
      <c r="I59" s="7"/>
      <c r="J59" s="7"/>
      <c r="K59"/>
      <c r="L59"/>
      <c r="M59"/>
      <c r="N59"/>
      <c r="O59"/>
      <c r="P59"/>
      <c r="Q59"/>
      <c r="R59"/>
      <c r="S59"/>
      <c r="T59"/>
      <c r="U59"/>
      <c r="V59"/>
      <c r="W59"/>
      <c r="X59"/>
      <c r="Y59"/>
    </row>
    <row r="60" spans="1:25" x14ac:dyDescent="0.3">
      <c r="B60" s="194">
        <v>2018</v>
      </c>
      <c r="C60" s="195">
        <f t="shared" ref="C60:H60" si="4">SUM(C27:C30)</f>
        <v>150</v>
      </c>
      <c r="D60" s="195">
        <f t="shared" si="4"/>
        <v>200</v>
      </c>
      <c r="E60" s="195">
        <f t="shared" si="4"/>
        <v>75</v>
      </c>
      <c r="F60" s="195">
        <f t="shared" si="4"/>
        <v>390</v>
      </c>
      <c r="G60" s="195">
        <f t="shared" si="4"/>
        <v>410</v>
      </c>
      <c r="H60" s="195">
        <f t="shared" si="4"/>
        <v>350</v>
      </c>
      <c r="K60"/>
      <c r="L60"/>
      <c r="M60"/>
      <c r="N60"/>
      <c r="O60"/>
      <c r="P60"/>
      <c r="Q60"/>
      <c r="R60"/>
      <c r="S60"/>
      <c r="T60"/>
      <c r="U60"/>
      <c r="V60"/>
      <c r="W60"/>
      <c r="X60"/>
      <c r="Y60"/>
    </row>
    <row r="61" spans="1:25" x14ac:dyDescent="0.3">
      <c r="B61" s="194">
        <v>2019</v>
      </c>
      <c r="C61" s="195">
        <f>SUM(E32:E34)</f>
        <v>35</v>
      </c>
      <c r="D61" s="195">
        <f>SUM(F32:F34)</f>
        <v>260</v>
      </c>
      <c r="E61" s="195">
        <f>SUM(G32:G34)</f>
        <v>225</v>
      </c>
      <c r="F61" s="195">
        <f>SUM(H32:H34)</f>
        <v>0</v>
      </c>
      <c r="G61" s="191"/>
      <c r="H61" s="191"/>
      <c r="K61"/>
      <c r="L61"/>
      <c r="M61"/>
      <c r="N61"/>
      <c r="O61"/>
      <c r="P61"/>
      <c r="Q61"/>
      <c r="R61"/>
      <c r="S61"/>
      <c r="T61"/>
      <c r="U61"/>
      <c r="V61"/>
      <c r="W61"/>
      <c r="X61"/>
      <c r="Y61"/>
    </row>
    <row r="62" spans="1:25" x14ac:dyDescent="0.3">
      <c r="B62" s="194">
        <v>2020</v>
      </c>
      <c r="C62" s="196">
        <f>SUM(G36:G38)</f>
        <v>550</v>
      </c>
      <c r="D62" s="196">
        <f>SUM(H36:H38)</f>
        <v>65</v>
      </c>
      <c r="E62" s="191"/>
      <c r="F62" s="191"/>
      <c r="G62" s="191"/>
      <c r="H62" s="191"/>
      <c r="M62" s="8"/>
      <c r="N62" s="8"/>
    </row>
    <row r="63" spans="1:25" x14ac:dyDescent="0.3">
      <c r="M63" s="8"/>
      <c r="N63" s="8"/>
    </row>
    <row r="64" spans="1:25" x14ac:dyDescent="0.3">
      <c r="B64" s="357" t="s">
        <v>447</v>
      </c>
      <c r="C64" s="351" t="s">
        <v>484</v>
      </c>
      <c r="D64" s="351"/>
      <c r="E64" s="351"/>
      <c r="F64" s="351"/>
      <c r="G64" s="351"/>
      <c r="H64" s="351"/>
      <c r="M64" s="8"/>
      <c r="N64" s="8"/>
    </row>
    <row r="65" spans="1:14" x14ac:dyDescent="0.3">
      <c r="B65" s="358"/>
      <c r="C65" s="189">
        <v>6</v>
      </c>
      <c r="D65" s="189">
        <v>12</v>
      </c>
      <c r="E65" s="189">
        <v>18</v>
      </c>
      <c r="F65" s="189">
        <v>24</v>
      </c>
      <c r="G65" s="189">
        <v>30</v>
      </c>
      <c r="H65" s="189">
        <v>36</v>
      </c>
      <c r="M65" s="8"/>
      <c r="N65" s="8"/>
    </row>
    <row r="66" spans="1:14" x14ac:dyDescent="0.3">
      <c r="B66" s="194">
        <v>2018</v>
      </c>
      <c r="C66" s="195">
        <f>C54+C60</f>
        <v>200</v>
      </c>
      <c r="D66" s="195">
        <f t="shared" ref="D66:H66" si="5">D54+D60</f>
        <v>350</v>
      </c>
      <c r="E66" s="195">
        <f t="shared" si="5"/>
        <v>475</v>
      </c>
      <c r="F66" s="195">
        <f t="shared" si="5"/>
        <v>790</v>
      </c>
      <c r="G66" s="195">
        <f t="shared" si="5"/>
        <v>865</v>
      </c>
      <c r="H66" s="195">
        <f t="shared" si="5"/>
        <v>880</v>
      </c>
      <c r="M66" s="8"/>
      <c r="N66" s="8"/>
    </row>
    <row r="67" spans="1:14" x14ac:dyDescent="0.3">
      <c r="B67" s="194">
        <v>2019</v>
      </c>
      <c r="C67" s="195">
        <f t="shared" ref="C67:F67" si="6">C55+C61</f>
        <v>300</v>
      </c>
      <c r="D67" s="195">
        <f t="shared" si="6"/>
        <v>525</v>
      </c>
      <c r="E67" s="195">
        <f t="shared" si="6"/>
        <v>520</v>
      </c>
      <c r="F67" s="195">
        <f t="shared" si="6"/>
        <v>480</v>
      </c>
      <c r="G67" s="191"/>
      <c r="H67" s="191"/>
      <c r="M67" s="8"/>
      <c r="N67" s="8"/>
    </row>
    <row r="68" spans="1:14" x14ac:dyDescent="0.3">
      <c r="B68" s="194">
        <v>2020</v>
      </c>
      <c r="C68" s="196">
        <f t="shared" ref="C68:D68" si="7">C56+C62</f>
        <v>550</v>
      </c>
      <c r="D68" s="196">
        <f t="shared" si="7"/>
        <v>340</v>
      </c>
      <c r="E68" s="191"/>
      <c r="F68" s="191"/>
      <c r="G68" s="191"/>
      <c r="H68" s="191"/>
      <c r="M68" s="8"/>
      <c r="N68" s="8"/>
    </row>
    <row r="69" spans="1:14" x14ac:dyDescent="0.3">
      <c r="M69" s="8"/>
      <c r="N69" s="8"/>
    </row>
    <row r="70" spans="1:14" x14ac:dyDescent="0.3">
      <c r="A70" s="9" t="s">
        <v>229</v>
      </c>
      <c r="B70" s="9"/>
      <c r="C70" s="9"/>
      <c r="D70" s="9"/>
      <c r="E70" s="9"/>
      <c r="F70" s="9"/>
      <c r="G70" s="9"/>
      <c r="H70" s="9"/>
      <c r="I70" s="9"/>
      <c r="J70" s="9"/>
      <c r="K70" s="9"/>
      <c r="L70" s="9"/>
      <c r="M70" s="8"/>
      <c r="N70" s="8"/>
    </row>
    <row r="71" spans="1:14" x14ac:dyDescent="0.3">
      <c r="A71" s="9"/>
      <c r="B71" s="9"/>
      <c r="C71" s="9"/>
      <c r="D71" s="9"/>
      <c r="E71" s="9"/>
      <c r="F71" s="9"/>
      <c r="G71" s="9"/>
      <c r="H71" s="9"/>
      <c r="I71" s="9"/>
      <c r="J71" s="9"/>
      <c r="K71" s="9"/>
      <c r="L71" s="9"/>
      <c r="M71" s="8"/>
      <c r="N71" s="8"/>
    </row>
    <row r="72" spans="1:14" x14ac:dyDescent="0.3">
      <c r="A72" s="74" t="s">
        <v>230</v>
      </c>
      <c r="B72" s="9"/>
      <c r="C72" s="9"/>
      <c r="D72" s="9"/>
      <c r="E72" s="9"/>
      <c r="F72" s="9"/>
      <c r="G72" s="9"/>
      <c r="H72" s="9"/>
      <c r="I72" s="9"/>
      <c r="J72" s="9"/>
      <c r="K72" s="9"/>
      <c r="L72" s="9"/>
      <c r="M72" s="8"/>
      <c r="N72" s="8"/>
    </row>
    <row r="73" spans="1:14" x14ac:dyDescent="0.3">
      <c r="A73" s="74" t="s">
        <v>231</v>
      </c>
      <c r="B73" s="9"/>
      <c r="C73" s="9"/>
      <c r="D73" s="9"/>
      <c r="E73" s="9"/>
      <c r="F73" s="9"/>
      <c r="G73" s="9"/>
      <c r="H73" s="9"/>
      <c r="I73" s="9"/>
      <c r="J73" s="9"/>
      <c r="K73" s="9"/>
      <c r="L73" s="9"/>
      <c r="M73" s="8"/>
      <c r="N73" s="8"/>
    </row>
    <row r="74" spans="1:14" x14ac:dyDescent="0.3">
      <c r="A74" s="74" t="s">
        <v>232</v>
      </c>
      <c r="B74" s="9"/>
      <c r="C74" s="9"/>
      <c r="D74" s="9"/>
      <c r="E74" s="9"/>
      <c r="F74" s="9"/>
      <c r="G74" s="9"/>
      <c r="H74" s="9"/>
      <c r="I74" s="9"/>
      <c r="J74" s="9"/>
      <c r="K74" s="9"/>
      <c r="L74" s="9"/>
      <c r="M74" s="8"/>
      <c r="N74" s="8"/>
    </row>
    <row r="75" spans="1:14" x14ac:dyDescent="0.3">
      <c r="A75" s="9"/>
      <c r="B75" s="9"/>
      <c r="C75" s="9"/>
      <c r="D75" s="9"/>
      <c r="E75" s="9"/>
      <c r="F75" s="9"/>
      <c r="G75" s="9"/>
      <c r="H75" s="9"/>
      <c r="I75" s="9"/>
      <c r="J75" s="9"/>
      <c r="K75" s="9"/>
      <c r="L75" s="9"/>
      <c r="M75" s="8"/>
      <c r="N75" s="8"/>
    </row>
    <row r="77" spans="1:14" x14ac:dyDescent="0.3">
      <c r="A77" s="6" t="s">
        <v>0</v>
      </c>
      <c r="B77" s="323" t="s">
        <v>233</v>
      </c>
      <c r="C77" s="323"/>
      <c r="D77" s="323"/>
      <c r="E77" s="323"/>
      <c r="F77" s="323"/>
      <c r="G77" s="323"/>
      <c r="H77" s="323"/>
      <c r="I77" s="323"/>
      <c r="J77" s="323"/>
      <c r="K77" s="323"/>
      <c r="L77" s="4"/>
    </row>
    <row r="78" spans="1:14" x14ac:dyDescent="0.3">
      <c r="A78" s="6"/>
      <c r="B78" s="323"/>
      <c r="C78" s="323"/>
      <c r="D78" s="323"/>
      <c r="E78" s="323"/>
      <c r="F78" s="323"/>
      <c r="G78" s="323"/>
      <c r="H78" s="323"/>
      <c r="I78" s="323"/>
      <c r="J78" s="323"/>
      <c r="K78" s="323"/>
      <c r="L78" s="4"/>
    </row>
    <row r="79" spans="1:14" x14ac:dyDescent="0.3">
      <c r="A79" s="6"/>
      <c r="B79" s="4"/>
      <c r="C79" s="4"/>
      <c r="D79" s="4"/>
      <c r="E79" s="4"/>
      <c r="F79" s="4"/>
      <c r="G79" s="4"/>
      <c r="H79" s="4"/>
      <c r="I79" s="4"/>
      <c r="J79" s="4"/>
      <c r="K79" s="4"/>
      <c r="L79" s="4"/>
    </row>
    <row r="80" spans="1:14" x14ac:dyDescent="0.3">
      <c r="A80" s="6"/>
      <c r="B80" s="37" t="s">
        <v>90</v>
      </c>
      <c r="C80" s="4" t="s">
        <v>234</v>
      </c>
      <c r="D80" s="4"/>
      <c r="E80" s="4"/>
      <c r="F80" s="4"/>
      <c r="G80" s="4"/>
      <c r="H80" s="4"/>
      <c r="I80" s="4"/>
      <c r="J80" s="4"/>
      <c r="K80" s="4"/>
      <c r="L80" s="4"/>
    </row>
    <row r="81" spans="1:13" x14ac:dyDescent="0.3">
      <c r="A81" s="6"/>
      <c r="B81" s="37" t="s">
        <v>91</v>
      </c>
      <c r="C81" s="4" t="s">
        <v>235</v>
      </c>
      <c r="D81" s="4"/>
      <c r="E81" s="4"/>
      <c r="F81" s="4"/>
      <c r="G81" s="4"/>
      <c r="H81" s="4"/>
      <c r="I81" s="4"/>
      <c r="J81" s="4"/>
      <c r="K81" s="4"/>
      <c r="L81" s="4"/>
    </row>
    <row r="82" spans="1:13" x14ac:dyDescent="0.3">
      <c r="A82" s="6"/>
      <c r="B82" s="37" t="s">
        <v>92</v>
      </c>
      <c r="C82" s="4" t="s">
        <v>236</v>
      </c>
      <c r="D82" s="4"/>
      <c r="E82" s="4"/>
      <c r="F82" s="4"/>
      <c r="G82" s="4"/>
      <c r="H82" s="4"/>
      <c r="I82" s="4"/>
      <c r="J82" s="4"/>
      <c r="K82" s="4"/>
      <c r="L82" s="4"/>
    </row>
    <row r="83" spans="1:13" x14ac:dyDescent="0.3">
      <c r="A83" s="3"/>
      <c r="B83" s="3"/>
      <c r="C83" s="3"/>
      <c r="D83" s="3"/>
      <c r="E83" s="3"/>
      <c r="F83" s="3"/>
      <c r="G83" s="4"/>
      <c r="H83" s="4"/>
      <c r="I83" s="4"/>
      <c r="J83" s="4"/>
      <c r="K83" s="4"/>
      <c r="L83" s="4"/>
    </row>
    <row r="84" spans="1:13" x14ac:dyDescent="0.3">
      <c r="A84" s="7"/>
      <c r="B84" s="7"/>
      <c r="C84" s="7"/>
      <c r="D84" s="7"/>
      <c r="E84" s="7"/>
      <c r="F84" s="7"/>
      <c r="G84" s="7"/>
      <c r="H84" s="7"/>
      <c r="I84" s="7"/>
      <c r="J84" s="7"/>
      <c r="K84" s="7"/>
      <c r="L84" s="7"/>
    </row>
    <row r="85" spans="1:13" x14ac:dyDescent="0.3">
      <c r="A85" s="7" t="s">
        <v>1</v>
      </c>
      <c r="B85" s="7"/>
      <c r="C85" s="7"/>
      <c r="D85" s="7"/>
      <c r="E85" s="7"/>
      <c r="F85" s="7"/>
      <c r="G85" s="7"/>
      <c r="H85" s="7"/>
      <c r="I85" s="7"/>
      <c r="J85" s="7"/>
      <c r="K85" s="7"/>
      <c r="L85" s="7"/>
    </row>
    <row r="86" spans="1:13" x14ac:dyDescent="0.3">
      <c r="A86" s="7"/>
      <c r="B86" s="7"/>
      <c r="C86" s="7"/>
      <c r="D86" s="7"/>
      <c r="E86" s="7"/>
      <c r="F86" s="7"/>
      <c r="G86" s="7"/>
      <c r="H86" s="7"/>
      <c r="I86" s="7"/>
      <c r="J86" s="7"/>
      <c r="K86" s="7"/>
      <c r="L86" s="7"/>
    </row>
    <row r="87" spans="1:13" x14ac:dyDescent="0.3">
      <c r="A87" s="7"/>
      <c r="B87" s="7" t="s">
        <v>90</v>
      </c>
      <c r="C87" s="7" t="s">
        <v>485</v>
      </c>
      <c r="D87" s="7"/>
      <c r="E87" s="7"/>
      <c r="F87" s="7"/>
      <c r="G87" s="7"/>
      <c r="H87" s="7"/>
      <c r="I87" s="7"/>
      <c r="J87" s="7"/>
      <c r="K87" s="7"/>
      <c r="L87" s="7"/>
    </row>
    <row r="88" spans="1:13" x14ac:dyDescent="0.3">
      <c r="M88" s="7"/>
    </row>
    <row r="89" spans="1:13" x14ac:dyDescent="0.3">
      <c r="B89" s="112" t="s">
        <v>91</v>
      </c>
      <c r="C89" s="1" t="s">
        <v>486</v>
      </c>
      <c r="M89" s="7"/>
    </row>
    <row r="90" spans="1:13" x14ac:dyDescent="0.3">
      <c r="M90" s="7"/>
    </row>
    <row r="91" spans="1:13" x14ac:dyDescent="0.3">
      <c r="B91" s="112" t="s">
        <v>92</v>
      </c>
      <c r="C91" s="1" t="s">
        <v>487</v>
      </c>
    </row>
    <row r="93" spans="1:13" x14ac:dyDescent="0.3">
      <c r="A93" s="9" t="s">
        <v>237</v>
      </c>
      <c r="B93" s="9"/>
      <c r="C93" s="9"/>
      <c r="D93" s="9"/>
      <c r="E93" s="9"/>
      <c r="F93" s="9"/>
      <c r="G93" s="9"/>
      <c r="H93" s="9"/>
      <c r="I93" s="9"/>
      <c r="J93" s="9"/>
      <c r="K93" s="9"/>
      <c r="L93" s="9"/>
    </row>
    <row r="94" spans="1:13" x14ac:dyDescent="0.3">
      <c r="A94" s="9"/>
      <c r="B94" s="9"/>
      <c r="C94" s="9"/>
      <c r="D94" s="9"/>
      <c r="E94" s="9"/>
      <c r="F94" s="9"/>
      <c r="G94" s="9"/>
      <c r="H94" s="9"/>
      <c r="I94" s="9"/>
      <c r="J94" s="9"/>
      <c r="K94" s="9"/>
      <c r="L94" s="9"/>
    </row>
    <row r="95" spans="1:13" x14ac:dyDescent="0.3">
      <c r="A95" s="9"/>
      <c r="B95" s="324" t="s">
        <v>238</v>
      </c>
      <c r="C95" s="340" t="s">
        <v>239</v>
      </c>
      <c r="D95" s="340"/>
      <c r="E95" s="340"/>
      <c r="F95" s="340"/>
      <c r="G95" s="340"/>
      <c r="H95" s="340"/>
      <c r="I95" s="340"/>
      <c r="J95" s="340"/>
      <c r="K95" s="9"/>
      <c r="L95" s="9"/>
    </row>
    <row r="96" spans="1:13" x14ac:dyDescent="0.3">
      <c r="A96" s="9"/>
      <c r="B96" s="324"/>
      <c r="C96" s="27">
        <v>12</v>
      </c>
      <c r="D96" s="27">
        <v>24</v>
      </c>
      <c r="E96" s="27">
        <v>36</v>
      </c>
      <c r="F96" s="27">
        <v>48</v>
      </c>
      <c r="G96" s="27">
        <v>60</v>
      </c>
      <c r="H96" s="27">
        <v>72</v>
      </c>
      <c r="I96" s="27">
        <v>84</v>
      </c>
      <c r="J96" s="27">
        <v>96</v>
      </c>
      <c r="K96" s="9"/>
      <c r="L96" s="9"/>
    </row>
    <row r="97" spans="1:12" x14ac:dyDescent="0.3">
      <c r="A97" s="9"/>
      <c r="B97" s="29">
        <v>2013</v>
      </c>
      <c r="C97" s="29">
        <v>199</v>
      </c>
      <c r="D97" s="29">
        <v>295</v>
      </c>
      <c r="E97" s="29">
        <v>394</v>
      </c>
      <c r="F97" s="29">
        <v>471</v>
      </c>
      <c r="G97" s="29">
        <v>545</v>
      </c>
      <c r="H97" s="29">
        <v>586</v>
      </c>
      <c r="I97" s="29">
        <v>620</v>
      </c>
      <c r="J97" s="29">
        <v>637</v>
      </c>
      <c r="K97" s="9"/>
      <c r="L97" s="9"/>
    </row>
    <row r="98" spans="1:12" x14ac:dyDescent="0.3">
      <c r="A98" s="9"/>
      <c r="B98" s="29">
        <v>2014</v>
      </c>
      <c r="C98" s="29">
        <v>196</v>
      </c>
      <c r="D98" s="29">
        <v>293</v>
      </c>
      <c r="E98" s="29">
        <v>393</v>
      </c>
      <c r="F98" s="29">
        <v>469</v>
      </c>
      <c r="G98" s="29">
        <v>544</v>
      </c>
      <c r="H98" s="29">
        <v>626</v>
      </c>
      <c r="I98" s="29">
        <v>618</v>
      </c>
      <c r="J98" s="47"/>
      <c r="K98" s="9"/>
      <c r="L98" s="9"/>
    </row>
    <row r="99" spans="1:12" x14ac:dyDescent="0.3">
      <c r="A99" s="9"/>
      <c r="B99" s="29">
        <v>2015</v>
      </c>
      <c r="C99" s="29">
        <v>170</v>
      </c>
      <c r="D99" s="29">
        <v>257</v>
      </c>
      <c r="E99" s="29">
        <v>344</v>
      </c>
      <c r="F99" s="29">
        <v>419</v>
      </c>
      <c r="G99" s="29">
        <v>485</v>
      </c>
      <c r="H99" s="29">
        <v>521</v>
      </c>
      <c r="I99" s="47"/>
      <c r="J99" s="47"/>
      <c r="K99" s="9"/>
      <c r="L99" s="9"/>
    </row>
    <row r="100" spans="1:12" x14ac:dyDescent="0.3">
      <c r="A100" s="9"/>
      <c r="B100" s="29">
        <v>2016</v>
      </c>
      <c r="C100" s="29">
        <v>168</v>
      </c>
      <c r="D100" s="29">
        <v>258</v>
      </c>
      <c r="E100" s="29">
        <v>346</v>
      </c>
      <c r="F100" s="29">
        <v>424</v>
      </c>
      <c r="G100" s="29">
        <v>494</v>
      </c>
      <c r="H100" s="29"/>
      <c r="I100" s="47"/>
      <c r="J100" s="47"/>
      <c r="K100" s="9"/>
      <c r="L100" s="9"/>
    </row>
    <row r="101" spans="1:12" x14ac:dyDescent="0.3">
      <c r="A101" s="9"/>
      <c r="B101" s="29">
        <v>2017</v>
      </c>
      <c r="C101" s="29">
        <v>178</v>
      </c>
      <c r="D101" s="29">
        <v>280</v>
      </c>
      <c r="E101" s="29">
        <v>377</v>
      </c>
      <c r="F101" s="29">
        <v>468</v>
      </c>
      <c r="G101" s="29"/>
      <c r="H101" s="29"/>
      <c r="I101" s="47"/>
      <c r="J101" s="47"/>
      <c r="K101" s="9"/>
      <c r="L101" s="9"/>
    </row>
    <row r="102" spans="1:12" x14ac:dyDescent="0.3">
      <c r="A102" s="9"/>
      <c r="B102" s="29">
        <v>2018</v>
      </c>
      <c r="C102" s="29">
        <v>190</v>
      </c>
      <c r="D102" s="29">
        <v>300</v>
      </c>
      <c r="E102" s="29">
        <v>408</v>
      </c>
      <c r="F102" s="29"/>
      <c r="G102" s="29"/>
      <c r="H102" s="29"/>
      <c r="I102" s="47"/>
      <c r="J102" s="47"/>
      <c r="K102" s="9"/>
      <c r="L102" s="9"/>
    </row>
    <row r="103" spans="1:12" x14ac:dyDescent="0.3">
      <c r="A103" s="9"/>
      <c r="B103" s="29">
        <v>2019</v>
      </c>
      <c r="C103" s="29">
        <v>202</v>
      </c>
      <c r="D103" s="29">
        <v>321</v>
      </c>
      <c r="E103" s="29"/>
      <c r="F103" s="29"/>
      <c r="G103" s="29"/>
      <c r="H103" s="29"/>
      <c r="I103" s="47"/>
      <c r="J103" s="47"/>
      <c r="K103" s="9"/>
      <c r="L103" s="9"/>
    </row>
    <row r="104" spans="1:12" x14ac:dyDescent="0.3">
      <c r="A104" s="9"/>
      <c r="B104" s="29">
        <v>2020</v>
      </c>
      <c r="C104" s="29">
        <v>271</v>
      </c>
      <c r="D104" s="29"/>
      <c r="E104" s="29"/>
      <c r="F104" s="29"/>
      <c r="G104" s="29"/>
      <c r="H104" s="29"/>
      <c r="I104" s="47"/>
      <c r="J104" s="47"/>
      <c r="K104" s="9"/>
      <c r="L104" s="9"/>
    </row>
    <row r="105" spans="1:12" x14ac:dyDescent="0.3">
      <c r="A105" s="9"/>
      <c r="B105" s="9"/>
      <c r="C105" s="9"/>
      <c r="D105" s="9"/>
      <c r="E105" s="9"/>
      <c r="F105" s="9"/>
      <c r="G105" s="9"/>
      <c r="H105" s="9"/>
      <c r="I105" s="9"/>
      <c r="J105" s="9"/>
      <c r="K105" s="9"/>
      <c r="L105" s="9"/>
    </row>
    <row r="107" spans="1:12" x14ac:dyDescent="0.3">
      <c r="A107" s="6" t="s">
        <v>2</v>
      </c>
      <c r="B107" s="4" t="s">
        <v>240</v>
      </c>
      <c r="C107" s="4"/>
      <c r="D107" s="4"/>
      <c r="E107" s="4"/>
      <c r="F107" s="4"/>
      <c r="G107" s="4"/>
      <c r="H107" s="4"/>
      <c r="I107" s="4"/>
      <c r="J107" s="4"/>
      <c r="K107" s="4"/>
      <c r="L107" s="4"/>
    </row>
    <row r="108" spans="1:12" x14ac:dyDescent="0.3">
      <c r="A108" s="3"/>
      <c r="B108" s="3"/>
      <c r="C108" s="3"/>
      <c r="D108" s="3"/>
      <c r="E108" s="3"/>
      <c r="F108" s="3"/>
      <c r="G108" s="4"/>
      <c r="H108" s="4"/>
      <c r="I108" s="4"/>
      <c r="J108" s="4"/>
      <c r="K108" s="4"/>
      <c r="L108" s="4"/>
    </row>
    <row r="109" spans="1:12" x14ac:dyDescent="0.3">
      <c r="A109" s="7"/>
      <c r="B109" s="7"/>
      <c r="C109" s="7"/>
      <c r="D109" s="7"/>
      <c r="E109" s="7"/>
      <c r="F109" s="7"/>
      <c r="G109" s="7"/>
      <c r="H109" s="7"/>
      <c r="I109" s="7"/>
      <c r="J109" s="7"/>
      <c r="K109" s="7"/>
      <c r="L109" s="7"/>
    </row>
    <row r="110" spans="1:12" x14ac:dyDescent="0.3">
      <c r="A110" s="7" t="s">
        <v>1</v>
      </c>
      <c r="B110" s="7"/>
      <c r="C110" s="7"/>
      <c r="D110" s="7"/>
      <c r="E110" s="7"/>
      <c r="F110" s="7"/>
      <c r="G110" s="7"/>
      <c r="H110" s="7"/>
      <c r="I110" s="7"/>
      <c r="J110" s="7"/>
      <c r="K110" s="7"/>
      <c r="L110" s="7"/>
    </row>
    <row r="111" spans="1:12" x14ac:dyDescent="0.3">
      <c r="A111" s="7"/>
      <c r="B111" s="208" t="s">
        <v>488</v>
      </c>
      <c r="C111" s="117"/>
      <c r="D111" s="115"/>
      <c r="E111" s="115"/>
      <c r="F111" s="115"/>
      <c r="G111" s="115"/>
      <c r="H111" s="115"/>
      <c r="I111" s="197"/>
      <c r="J111" s="115"/>
      <c r="K111" s="7"/>
      <c r="L111" s="7"/>
    </row>
    <row r="112" spans="1:12" ht="31.2" x14ac:dyDescent="0.3">
      <c r="A112" s="7"/>
      <c r="B112" s="198" t="s">
        <v>37</v>
      </c>
      <c r="C112" s="199">
        <v>12</v>
      </c>
      <c r="D112" s="199">
        <f>12+C112</f>
        <v>24</v>
      </c>
      <c r="E112" s="199">
        <f t="shared" ref="E112:I112" si="8">12+D112</f>
        <v>36</v>
      </c>
      <c r="F112" s="199">
        <f t="shared" si="8"/>
        <v>48</v>
      </c>
      <c r="G112" s="199">
        <f t="shared" si="8"/>
        <v>60</v>
      </c>
      <c r="H112" s="199">
        <f t="shared" si="8"/>
        <v>72</v>
      </c>
      <c r="I112" s="199">
        <f t="shared" si="8"/>
        <v>84</v>
      </c>
      <c r="J112" s="115"/>
      <c r="K112" s="7"/>
      <c r="L112" s="7"/>
    </row>
    <row r="113" spans="1:14" x14ac:dyDescent="0.3">
      <c r="A113" s="7"/>
      <c r="B113" s="116">
        <f>B97</f>
        <v>2013</v>
      </c>
      <c r="C113" s="200">
        <f>D97/C97</f>
        <v>1.4824120603015076</v>
      </c>
      <c r="D113" s="200">
        <f t="shared" ref="D113:I113" si="9">E97/D97</f>
        <v>1.3355932203389831</v>
      </c>
      <c r="E113" s="200">
        <f t="shared" si="9"/>
        <v>1.1954314720812182</v>
      </c>
      <c r="F113" s="200">
        <f t="shared" si="9"/>
        <v>1.1571125265392781</v>
      </c>
      <c r="G113" s="200">
        <f t="shared" si="9"/>
        <v>1.0752293577981651</v>
      </c>
      <c r="H113" s="200">
        <f t="shared" si="9"/>
        <v>1.0580204778156996</v>
      </c>
      <c r="I113" s="200">
        <f t="shared" si="9"/>
        <v>1.0274193548387096</v>
      </c>
      <c r="J113" s="115"/>
      <c r="K113" s="7"/>
      <c r="L113" s="7"/>
    </row>
    <row r="114" spans="1:14" x14ac:dyDescent="0.3">
      <c r="A114" s="7"/>
      <c r="B114" s="116">
        <f t="shared" ref="B114:B119" si="10">B98</f>
        <v>2014</v>
      </c>
      <c r="C114" s="200">
        <f t="shared" ref="C114:H114" si="11">D98/C98</f>
        <v>1.4948979591836735</v>
      </c>
      <c r="D114" s="200">
        <f t="shared" si="11"/>
        <v>1.341296928327645</v>
      </c>
      <c r="E114" s="200">
        <f t="shared" si="11"/>
        <v>1.193384223918575</v>
      </c>
      <c r="F114" s="200">
        <f t="shared" si="11"/>
        <v>1.159914712153518</v>
      </c>
      <c r="G114" s="200">
        <f t="shared" si="11"/>
        <v>1.150735294117647</v>
      </c>
      <c r="H114" s="200">
        <f t="shared" si="11"/>
        <v>0.98722044728434499</v>
      </c>
      <c r="I114" s="200"/>
      <c r="J114" s="115"/>
      <c r="K114" s="7"/>
      <c r="L114" s="7"/>
    </row>
    <row r="115" spans="1:14" x14ac:dyDescent="0.3">
      <c r="A115" s="7"/>
      <c r="B115" s="116">
        <f t="shared" si="10"/>
        <v>2015</v>
      </c>
      <c r="C115" s="200">
        <f t="shared" ref="C115:G115" si="12">D99/C99</f>
        <v>1.5117647058823529</v>
      </c>
      <c r="D115" s="200">
        <f t="shared" si="12"/>
        <v>1.33852140077821</v>
      </c>
      <c r="E115" s="200">
        <f t="shared" si="12"/>
        <v>1.2180232558139534</v>
      </c>
      <c r="F115" s="200">
        <f t="shared" si="12"/>
        <v>1.1575178997613365</v>
      </c>
      <c r="G115" s="200">
        <f t="shared" si="12"/>
        <v>1.0742268041237113</v>
      </c>
      <c r="H115" s="200"/>
      <c r="I115" s="200"/>
      <c r="J115" s="115"/>
      <c r="K115" s="7"/>
      <c r="L115" s="7"/>
    </row>
    <row r="116" spans="1:14" x14ac:dyDescent="0.3">
      <c r="A116" s="7"/>
      <c r="B116" s="116">
        <f t="shared" si="10"/>
        <v>2016</v>
      </c>
      <c r="C116" s="200">
        <f t="shared" ref="C116:F116" si="13">D100/C100</f>
        <v>1.5357142857142858</v>
      </c>
      <c r="D116" s="200">
        <f t="shared" si="13"/>
        <v>1.3410852713178294</v>
      </c>
      <c r="E116" s="200">
        <f t="shared" si="13"/>
        <v>1.2254335260115607</v>
      </c>
      <c r="F116" s="200">
        <f t="shared" si="13"/>
        <v>1.1650943396226414</v>
      </c>
      <c r="G116" s="200"/>
      <c r="H116" s="200"/>
      <c r="I116" s="200"/>
      <c r="J116" s="115"/>
      <c r="K116" s="7"/>
      <c r="L116" s="7"/>
    </row>
    <row r="117" spans="1:14" x14ac:dyDescent="0.3">
      <c r="A117" s="7"/>
      <c r="B117" s="116">
        <f t="shared" si="10"/>
        <v>2017</v>
      </c>
      <c r="C117" s="200">
        <f t="shared" ref="C117:E117" si="14">D101/C101</f>
        <v>1.5730337078651686</v>
      </c>
      <c r="D117" s="200">
        <f t="shared" si="14"/>
        <v>1.3464285714285715</v>
      </c>
      <c r="E117" s="200">
        <f t="shared" si="14"/>
        <v>1.2413793103448276</v>
      </c>
      <c r="F117" s="200"/>
      <c r="G117" s="200"/>
      <c r="H117" s="200"/>
      <c r="I117" s="200"/>
      <c r="J117" s="115"/>
      <c r="K117" s="7"/>
      <c r="L117" s="7"/>
    </row>
    <row r="118" spans="1:14" x14ac:dyDescent="0.3">
      <c r="A118" s="7"/>
      <c r="B118" s="116">
        <f t="shared" si="10"/>
        <v>2018</v>
      </c>
      <c r="C118" s="200">
        <f t="shared" ref="C118:D118" si="15">D102/C102</f>
        <v>1.5789473684210527</v>
      </c>
      <c r="D118" s="200">
        <f t="shared" si="15"/>
        <v>1.36</v>
      </c>
      <c r="E118" s="200"/>
      <c r="F118" s="200"/>
      <c r="G118" s="200"/>
      <c r="H118" s="200"/>
      <c r="I118" s="200"/>
      <c r="J118" s="115"/>
      <c r="K118" s="7"/>
      <c r="L118" s="7"/>
    </row>
    <row r="119" spans="1:14" x14ac:dyDescent="0.3">
      <c r="B119" s="116">
        <f t="shared" si="10"/>
        <v>2019</v>
      </c>
      <c r="C119" s="200">
        <f t="shared" ref="C119" si="16">D103/C103</f>
        <v>1.5891089108910892</v>
      </c>
      <c r="D119" s="200"/>
      <c r="E119" s="200"/>
      <c r="F119" s="200"/>
      <c r="G119" s="200"/>
      <c r="H119" s="200"/>
      <c r="I119" s="200"/>
      <c r="J119" s="117"/>
    </row>
    <row r="120" spans="1:14" x14ac:dyDescent="0.3">
      <c r="B120" s="117"/>
      <c r="C120" s="117"/>
      <c r="D120" s="117"/>
      <c r="E120" s="117"/>
      <c r="F120" s="117"/>
      <c r="G120" s="117"/>
      <c r="H120" s="117"/>
      <c r="I120" s="117"/>
      <c r="J120" s="117"/>
    </row>
    <row r="121" spans="1:14" x14ac:dyDescent="0.3">
      <c r="B121" s="202" t="s">
        <v>416</v>
      </c>
      <c r="C121" s="11"/>
      <c r="D121" s="11"/>
      <c r="M121" s="7"/>
      <c r="N121" s="7"/>
    </row>
    <row r="122" spans="1:14" x14ac:dyDescent="0.3">
      <c r="B122" s="201" t="s">
        <v>489</v>
      </c>
      <c r="D122" s="11"/>
      <c r="M122" s="7"/>
      <c r="N122" s="7"/>
    </row>
    <row r="123" spans="1:14" x14ac:dyDescent="0.3">
      <c r="B123" s="201" t="s">
        <v>490</v>
      </c>
      <c r="C123" s="11"/>
      <c r="D123" s="11"/>
      <c r="M123" s="7"/>
      <c r="N123" s="7"/>
    </row>
    <row r="124" spans="1:14" x14ac:dyDescent="0.3">
      <c r="B124" s="201" t="s">
        <v>491</v>
      </c>
      <c r="C124" s="11"/>
      <c r="D124" s="11"/>
    </row>
    <row r="126" spans="1:14" x14ac:dyDescent="0.3">
      <c r="A126" s="6" t="s">
        <v>3</v>
      </c>
      <c r="B126" s="4" t="s">
        <v>241</v>
      </c>
      <c r="C126" s="4"/>
      <c r="D126" s="4"/>
      <c r="E126" s="4"/>
      <c r="F126" s="4"/>
      <c r="G126" s="4"/>
      <c r="H126" s="4"/>
      <c r="I126" s="4"/>
      <c r="J126" s="4"/>
      <c r="K126" s="4"/>
      <c r="L126" s="4"/>
    </row>
    <row r="127" spans="1:14" x14ac:dyDescent="0.3">
      <c r="A127" s="3"/>
      <c r="B127" s="3"/>
      <c r="C127" s="3"/>
      <c r="D127" s="3"/>
      <c r="E127" s="3"/>
      <c r="F127" s="3"/>
      <c r="G127" s="4"/>
      <c r="H127" s="4"/>
      <c r="I127" s="4"/>
      <c r="J127" s="4"/>
      <c r="K127" s="4"/>
      <c r="L127" s="4"/>
    </row>
    <row r="128" spans="1:14" x14ac:dyDescent="0.3">
      <c r="A128" s="7"/>
      <c r="B128" s="7"/>
      <c r="C128" s="7"/>
      <c r="D128" s="7"/>
      <c r="E128" s="7"/>
      <c r="F128" s="7"/>
      <c r="G128" s="7"/>
      <c r="H128" s="7"/>
      <c r="I128" s="7"/>
      <c r="J128" s="7"/>
      <c r="K128" s="7"/>
      <c r="L128" s="7"/>
    </row>
    <row r="129" spans="1:13" x14ac:dyDescent="0.3">
      <c r="A129" s="7" t="s">
        <v>1</v>
      </c>
      <c r="B129" s="7"/>
      <c r="C129" s="7"/>
      <c r="D129" s="7"/>
      <c r="E129" s="7"/>
      <c r="F129" s="7"/>
      <c r="G129" s="7"/>
      <c r="H129" s="7"/>
      <c r="I129" s="7"/>
      <c r="J129" s="7"/>
      <c r="K129" s="7"/>
      <c r="L129" s="7"/>
    </row>
    <row r="130" spans="1:13" x14ac:dyDescent="0.3">
      <c r="A130" s="7"/>
      <c r="B130" s="204" t="s">
        <v>492</v>
      </c>
      <c r="C130" s="7"/>
      <c r="D130" s="7"/>
      <c r="E130" s="7"/>
      <c r="F130" s="7"/>
      <c r="G130" s="7"/>
      <c r="H130" s="7"/>
      <c r="I130" s="7"/>
      <c r="J130" s="7"/>
      <c r="K130" s="7"/>
      <c r="L130" s="7"/>
    </row>
    <row r="131" spans="1:13" x14ac:dyDescent="0.3">
      <c r="A131" s="7"/>
      <c r="B131" s="205" t="s">
        <v>493</v>
      </c>
      <c r="C131" s="7"/>
      <c r="D131" s="7"/>
      <c r="E131" s="7"/>
      <c r="F131" s="7"/>
      <c r="G131" s="7"/>
      <c r="H131" s="7"/>
      <c r="I131" s="7"/>
      <c r="J131" s="7"/>
      <c r="K131" s="7"/>
      <c r="L131" s="7"/>
    </row>
    <row r="132" spans="1:13" x14ac:dyDescent="0.3">
      <c r="B132" s="203"/>
    </row>
    <row r="133" spans="1:13" x14ac:dyDescent="0.3">
      <c r="B133" s="206" t="s">
        <v>494</v>
      </c>
    </row>
    <row r="134" spans="1:13" x14ac:dyDescent="0.3">
      <c r="C134" s="207" t="s">
        <v>495</v>
      </c>
      <c r="M134" s="7"/>
    </row>
    <row r="135" spans="1:13" x14ac:dyDescent="0.3">
      <c r="C135" s="207" t="s">
        <v>496</v>
      </c>
      <c r="M135" s="7"/>
    </row>
    <row r="136" spans="1:13" x14ac:dyDescent="0.3">
      <c r="B136" s="206" t="s">
        <v>497</v>
      </c>
    </row>
    <row r="137" spans="1:13" x14ac:dyDescent="0.3">
      <c r="C137" s="207" t="s">
        <v>498</v>
      </c>
    </row>
    <row r="138" spans="1:13" x14ac:dyDescent="0.3">
      <c r="C138" s="207" t="s">
        <v>499</v>
      </c>
    </row>
    <row r="139" spans="1:13" x14ac:dyDescent="0.3">
      <c r="B139" s="206" t="s">
        <v>500</v>
      </c>
    </row>
    <row r="140" spans="1:13" x14ac:dyDescent="0.3">
      <c r="C140" s="207" t="s">
        <v>501</v>
      </c>
    </row>
    <row r="141" spans="1:13" x14ac:dyDescent="0.3">
      <c r="C141" s="207" t="s">
        <v>502</v>
      </c>
    </row>
    <row r="142" spans="1:13" x14ac:dyDescent="0.3">
      <c r="C142" s="207" t="s">
        <v>503</v>
      </c>
    </row>
  </sheetData>
  <mergeCells count="22">
    <mergeCell ref="B64:B65"/>
    <mergeCell ref="C64:H64"/>
    <mergeCell ref="B52:B53"/>
    <mergeCell ref="C52:H52"/>
    <mergeCell ref="B58:B59"/>
    <mergeCell ref="C58:H58"/>
    <mergeCell ref="B95:B96"/>
    <mergeCell ref="C95:J95"/>
    <mergeCell ref="B8:B9"/>
    <mergeCell ref="C8:H8"/>
    <mergeCell ref="B10:H10"/>
    <mergeCell ref="B15:H15"/>
    <mergeCell ref="B19:H19"/>
    <mergeCell ref="B24:B25"/>
    <mergeCell ref="C24:H24"/>
    <mergeCell ref="B26:H26"/>
    <mergeCell ref="B31:H31"/>
    <mergeCell ref="B35:H35"/>
    <mergeCell ref="B41:K42"/>
    <mergeCell ref="B77:K78"/>
    <mergeCell ref="B46:B47"/>
    <mergeCell ref="C46:H46"/>
  </mergeCells>
  <pageMargins left="0.7" right="0.7" top="0.75" bottom="0.75" header="0.3" footer="0.3"/>
  <pageSetup scale="75"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9DA28-946B-486F-AD01-9F645327F600}">
  <dimension ref="A1:R85"/>
  <sheetViews>
    <sheetView zoomScaleNormal="100" workbookViewId="0"/>
  </sheetViews>
  <sheetFormatPr defaultColWidth="8.88671875" defaultRowHeight="15.6" x14ac:dyDescent="0.3"/>
  <cols>
    <col min="1" max="1" width="8.88671875" style="1" customWidth="1"/>
    <col min="2" max="3" width="12.6640625" style="1" customWidth="1"/>
    <col min="4" max="6" width="14.6640625" style="1" customWidth="1"/>
    <col min="7" max="7" width="8.88671875" style="1"/>
    <col min="8" max="8" width="8.88671875" style="1" customWidth="1"/>
    <col min="9" max="14" width="8.88671875" style="1"/>
    <col min="15" max="15" width="12.109375" style="1" bestFit="1" customWidth="1"/>
    <col min="16" max="16" width="12.88671875" style="1" customWidth="1"/>
    <col min="17" max="17" width="13.77734375" style="1" customWidth="1"/>
    <col min="18" max="16384" width="8.88671875" style="1"/>
  </cols>
  <sheetData>
    <row r="1" spans="1:17" ht="17.399999999999999" x14ac:dyDescent="0.3">
      <c r="A1" s="2" t="s">
        <v>242</v>
      </c>
      <c r="B1" s="4"/>
      <c r="C1" s="9" t="s">
        <v>12</v>
      </c>
      <c r="D1" s="4"/>
      <c r="E1" s="4"/>
      <c r="F1" s="4"/>
      <c r="G1" s="4"/>
      <c r="H1" s="4"/>
      <c r="I1" s="4"/>
      <c r="J1" s="4"/>
      <c r="K1" s="4"/>
      <c r="L1" s="3"/>
    </row>
    <row r="2" spans="1:17" x14ac:dyDescent="0.3">
      <c r="A2" s="4"/>
      <c r="B2" s="4"/>
      <c r="C2" s="4"/>
      <c r="D2" s="4"/>
      <c r="E2" s="4"/>
      <c r="F2" s="4"/>
      <c r="G2" s="4"/>
      <c r="H2" s="4"/>
      <c r="I2" s="4"/>
      <c r="J2" s="4"/>
      <c r="K2" s="4"/>
      <c r="L2" s="3"/>
    </row>
    <row r="3" spans="1:17" x14ac:dyDescent="0.3">
      <c r="A3" s="323" t="s">
        <v>391</v>
      </c>
      <c r="B3" s="323"/>
      <c r="C3" s="323"/>
      <c r="D3" s="323"/>
      <c r="E3" s="323"/>
      <c r="F3" s="323"/>
      <c r="G3" s="323"/>
      <c r="H3" s="323"/>
      <c r="I3" s="323"/>
      <c r="J3" s="323"/>
      <c r="K3" s="323"/>
      <c r="L3" s="3"/>
    </row>
    <row r="4" spans="1:17" s="11" customFormat="1" x14ac:dyDescent="0.3">
      <c r="A4" s="323"/>
      <c r="B4" s="323"/>
      <c r="C4" s="323"/>
      <c r="D4" s="323"/>
      <c r="E4" s="323"/>
      <c r="F4" s="323"/>
      <c r="G4" s="323"/>
      <c r="H4" s="323"/>
      <c r="I4" s="323"/>
      <c r="J4" s="323"/>
      <c r="K4" s="323"/>
      <c r="L4" s="10"/>
    </row>
    <row r="5" spans="1:17" s="11" customFormat="1" x14ac:dyDescent="0.3">
      <c r="A5" s="13"/>
      <c r="B5" s="12"/>
      <c r="C5" s="12"/>
      <c r="D5" s="12"/>
      <c r="E5" s="12"/>
      <c r="F5" s="12"/>
      <c r="G5" s="12"/>
      <c r="H5" s="10"/>
      <c r="I5" s="10"/>
      <c r="J5" s="10"/>
      <c r="K5" s="10"/>
      <c r="L5" s="10"/>
    </row>
    <row r="6" spans="1:17" s="11" customFormat="1" x14ac:dyDescent="0.3">
      <c r="A6" s="13" t="s">
        <v>243</v>
      </c>
      <c r="B6" s="12"/>
      <c r="C6" s="12"/>
      <c r="D6" s="12"/>
      <c r="E6" s="12"/>
      <c r="F6" s="12"/>
      <c r="G6" s="12"/>
      <c r="H6" s="10"/>
      <c r="I6" s="10"/>
      <c r="J6" s="10"/>
      <c r="K6" s="10"/>
      <c r="L6" s="10"/>
    </row>
    <row r="7" spans="1:17" s="11" customFormat="1" x14ac:dyDescent="0.3">
      <c r="A7" s="13"/>
      <c r="B7" s="12"/>
      <c r="C7" s="12"/>
      <c r="D7" s="12"/>
      <c r="E7" s="12"/>
      <c r="F7" s="12"/>
      <c r="G7" s="12"/>
      <c r="H7" s="10"/>
      <c r="I7" s="10"/>
      <c r="J7" s="10"/>
      <c r="K7" s="10"/>
      <c r="L7" s="10"/>
    </row>
    <row r="8" spans="1:17" s="11" customFormat="1" x14ac:dyDescent="0.3">
      <c r="A8" s="13" t="s">
        <v>392</v>
      </c>
      <c r="B8" s="12"/>
      <c r="C8" s="12"/>
      <c r="D8" s="12"/>
      <c r="E8" s="12"/>
      <c r="F8" s="12"/>
      <c r="G8" s="12"/>
      <c r="H8" s="10"/>
      <c r="I8" s="10"/>
      <c r="J8" s="10"/>
      <c r="K8" s="10"/>
      <c r="L8" s="10"/>
    </row>
    <row r="9" spans="1:17" s="11" customFormat="1" x14ac:dyDescent="0.3">
      <c r="A9" s="12" t="s">
        <v>393</v>
      </c>
      <c r="B9" s="12"/>
      <c r="C9" s="12"/>
      <c r="D9" s="12"/>
      <c r="E9" s="12"/>
      <c r="F9" s="12"/>
      <c r="G9" s="12"/>
      <c r="H9" s="10"/>
      <c r="I9" s="10"/>
      <c r="J9" s="10"/>
      <c r="K9" s="10"/>
      <c r="L9" s="10"/>
    </row>
    <row r="10" spans="1:17" s="11" customFormat="1" x14ac:dyDescent="0.3">
      <c r="A10" s="12"/>
      <c r="B10" s="12"/>
      <c r="C10" s="12"/>
      <c r="D10" s="12"/>
      <c r="E10" s="12"/>
      <c r="F10" s="12"/>
      <c r="G10" s="12"/>
      <c r="H10" s="10"/>
      <c r="I10" s="10"/>
      <c r="J10" s="10"/>
      <c r="K10" s="10"/>
      <c r="L10" s="10"/>
    </row>
    <row r="11" spans="1:17" s="11" customFormat="1" x14ac:dyDescent="0.3">
      <c r="A11" s="13" t="s">
        <v>394</v>
      </c>
      <c r="B11" s="12"/>
      <c r="C11" s="12"/>
      <c r="D11" s="12"/>
      <c r="E11" s="12"/>
      <c r="F11" s="12"/>
      <c r="G11" s="12"/>
      <c r="H11" s="10"/>
      <c r="I11" s="10"/>
      <c r="J11" s="10"/>
      <c r="K11" s="10"/>
      <c r="L11" s="10"/>
    </row>
    <row r="12" spans="1:17" s="11" customFormat="1" x14ac:dyDescent="0.3">
      <c r="A12" s="12"/>
      <c r="B12" s="12"/>
      <c r="C12" s="12"/>
      <c r="D12" s="12"/>
      <c r="E12" s="12"/>
      <c r="F12" s="12"/>
      <c r="G12" s="12"/>
      <c r="H12" s="10"/>
      <c r="I12" s="10"/>
      <c r="J12" s="10"/>
      <c r="K12" s="10"/>
      <c r="L12" s="10"/>
    </row>
    <row r="13" spans="1:17" s="11" customFormat="1" x14ac:dyDescent="0.3">
      <c r="A13" s="12"/>
      <c r="B13" s="363" t="s">
        <v>244</v>
      </c>
      <c r="C13" s="322" t="s">
        <v>245</v>
      </c>
      <c r="D13" s="322" t="s">
        <v>246</v>
      </c>
      <c r="E13" s="322"/>
      <c r="F13" s="322"/>
      <c r="G13" s="12"/>
      <c r="H13" s="10"/>
      <c r="I13" s="10"/>
      <c r="J13" s="10"/>
      <c r="K13" s="10"/>
      <c r="L13" s="10"/>
    </row>
    <row r="14" spans="1:17" ht="31.2" x14ac:dyDescent="0.3">
      <c r="A14" s="12"/>
      <c r="B14" s="363"/>
      <c r="C14" s="322"/>
      <c r="D14" s="16" t="s">
        <v>247</v>
      </c>
      <c r="E14" s="16" t="s">
        <v>248</v>
      </c>
      <c r="F14" s="16" t="s">
        <v>249</v>
      </c>
      <c r="G14" s="12"/>
      <c r="H14" s="9"/>
      <c r="I14" s="9"/>
      <c r="J14" s="9"/>
      <c r="K14" s="9"/>
      <c r="L14" s="9"/>
    </row>
    <row r="15" spans="1:17" x14ac:dyDescent="0.3">
      <c r="A15" s="12"/>
      <c r="B15" s="354" t="s">
        <v>250</v>
      </c>
      <c r="C15" s="15">
        <v>100</v>
      </c>
      <c r="D15" s="20">
        <v>780971</v>
      </c>
      <c r="E15" s="20">
        <v>120066</v>
      </c>
      <c r="F15" s="20">
        <v>830644</v>
      </c>
      <c r="G15" s="12"/>
      <c r="H15" s="9"/>
      <c r="I15" s="9"/>
      <c r="J15" s="9"/>
      <c r="K15" s="9"/>
      <c r="L15" s="9"/>
    </row>
    <row r="16" spans="1:17" x14ac:dyDescent="0.3">
      <c r="A16" s="12"/>
      <c r="B16" s="354"/>
      <c r="C16" s="15">
        <v>250</v>
      </c>
      <c r="D16" s="20">
        <v>1242287</v>
      </c>
      <c r="E16" s="20">
        <v>250762</v>
      </c>
      <c r="F16" s="20">
        <v>1362121</v>
      </c>
      <c r="G16" s="12"/>
      <c r="H16" s="9"/>
      <c r="I16" s="9"/>
      <c r="J16" s="9"/>
      <c r="K16" s="9"/>
      <c r="L16" s="9"/>
      <c r="O16" s="246"/>
      <c r="P16" s="246"/>
      <c r="Q16" s="246"/>
    </row>
    <row r="17" spans="1:18" x14ac:dyDescent="0.3">
      <c r="A17" s="12"/>
      <c r="B17" s="354"/>
      <c r="C17" s="15">
        <v>500</v>
      </c>
      <c r="D17" s="20">
        <v>1801316</v>
      </c>
      <c r="E17" s="20">
        <v>388680</v>
      </c>
      <c r="F17" s="20">
        <v>2006473</v>
      </c>
      <c r="G17" s="12"/>
      <c r="H17" s="9"/>
      <c r="I17" s="9"/>
      <c r="J17" s="9"/>
      <c r="K17" s="9"/>
      <c r="L17" s="9"/>
      <c r="O17" s="246"/>
      <c r="P17" s="246"/>
      <c r="Q17" s="246"/>
    </row>
    <row r="18" spans="1:18" x14ac:dyDescent="0.3">
      <c r="A18" s="12"/>
      <c r="B18" s="354" t="s">
        <v>251</v>
      </c>
      <c r="C18" s="15">
        <v>100</v>
      </c>
      <c r="D18" s="20">
        <v>624777</v>
      </c>
      <c r="E18" s="20">
        <v>96053</v>
      </c>
      <c r="F18" s="20">
        <v>664515</v>
      </c>
      <c r="G18" s="12"/>
      <c r="H18" s="9"/>
      <c r="I18" s="9"/>
      <c r="J18" s="9"/>
      <c r="K18" s="9"/>
      <c r="L18" s="9"/>
    </row>
    <row r="19" spans="1:18" x14ac:dyDescent="0.3">
      <c r="A19" s="12"/>
      <c r="B19" s="354"/>
      <c r="C19" s="15">
        <v>200</v>
      </c>
      <c r="D19" s="20">
        <v>993830</v>
      </c>
      <c r="E19" s="20">
        <v>200609</v>
      </c>
      <c r="F19" s="20">
        <v>1089697</v>
      </c>
      <c r="G19" s="12"/>
      <c r="H19" s="9"/>
      <c r="I19" s="9"/>
      <c r="J19" s="9"/>
      <c r="K19" s="9"/>
      <c r="L19" s="9"/>
      <c r="O19" s="246"/>
      <c r="P19" s="246"/>
      <c r="Q19" s="246"/>
    </row>
    <row r="20" spans="1:18" x14ac:dyDescent="0.3">
      <c r="A20" s="12"/>
      <c r="B20" s="354"/>
      <c r="C20" s="15">
        <v>500</v>
      </c>
      <c r="D20" s="20">
        <v>1441053</v>
      </c>
      <c r="E20" s="20">
        <v>310944</v>
      </c>
      <c r="F20" s="20">
        <v>1605179</v>
      </c>
      <c r="G20" s="12"/>
      <c r="H20" s="9"/>
      <c r="I20" s="9"/>
      <c r="J20" s="9"/>
      <c r="K20" s="9"/>
      <c r="L20" s="9"/>
      <c r="O20" s="246"/>
      <c r="P20" s="246"/>
      <c r="Q20" s="246"/>
    </row>
    <row r="21" spans="1:18" x14ac:dyDescent="0.3">
      <c r="A21" s="12"/>
      <c r="B21" s="12"/>
      <c r="C21" s="12"/>
      <c r="D21" s="12"/>
      <c r="E21" s="12"/>
      <c r="F21" s="12"/>
      <c r="G21" s="12"/>
      <c r="H21" s="9"/>
      <c r="I21" s="9"/>
      <c r="J21" s="9"/>
      <c r="K21" s="9"/>
      <c r="L21" s="9"/>
    </row>
    <row r="22" spans="1:18" x14ac:dyDescent="0.3">
      <c r="A22" s="12"/>
      <c r="B22" s="360" t="s">
        <v>258</v>
      </c>
      <c r="C22" s="322" t="s">
        <v>252</v>
      </c>
      <c r="D22" s="322" t="s">
        <v>253</v>
      </c>
      <c r="E22" s="322"/>
      <c r="F22" s="322"/>
      <c r="G22" s="12"/>
      <c r="H22" s="9"/>
      <c r="I22" s="9"/>
      <c r="J22" s="9"/>
      <c r="K22" s="9"/>
      <c r="L22" s="9"/>
    </row>
    <row r="23" spans="1:18" ht="31.2" x14ac:dyDescent="0.3">
      <c r="A23" s="12"/>
      <c r="B23" s="361"/>
      <c r="C23" s="322"/>
      <c r="D23" s="16" t="s">
        <v>247</v>
      </c>
      <c r="E23" s="16" t="s">
        <v>248</v>
      </c>
      <c r="F23" s="16" t="s">
        <v>249</v>
      </c>
      <c r="G23" s="12"/>
      <c r="H23" s="9"/>
      <c r="I23" s="9"/>
      <c r="J23" s="9"/>
      <c r="K23" s="9"/>
      <c r="L23" s="9"/>
    </row>
    <row r="24" spans="1:18" x14ac:dyDescent="0.3">
      <c r="A24" s="12"/>
      <c r="B24" s="359" t="s">
        <v>254</v>
      </c>
      <c r="C24" s="15" t="s">
        <v>255</v>
      </c>
      <c r="D24" s="15">
        <v>616</v>
      </c>
      <c r="E24" s="15">
        <v>45</v>
      </c>
      <c r="F24" s="15">
        <v>661</v>
      </c>
      <c r="G24" s="12"/>
      <c r="H24" s="9"/>
      <c r="I24" s="9"/>
      <c r="J24" s="9"/>
      <c r="K24" s="9"/>
      <c r="L24" s="9"/>
    </row>
    <row r="25" spans="1:18" x14ac:dyDescent="0.3">
      <c r="A25" s="12"/>
      <c r="B25" s="359"/>
      <c r="C25" s="15" t="s">
        <v>256</v>
      </c>
      <c r="D25" s="20">
        <v>6314</v>
      </c>
      <c r="E25" s="20">
        <v>1280</v>
      </c>
      <c r="F25" s="20">
        <v>6868</v>
      </c>
      <c r="G25" s="12"/>
      <c r="H25" s="9"/>
      <c r="I25" s="9"/>
      <c r="J25" s="9"/>
      <c r="K25" s="9"/>
      <c r="L25" s="9"/>
    </row>
    <row r="26" spans="1:18" x14ac:dyDescent="0.3">
      <c r="A26" s="12"/>
      <c r="B26" s="359" t="s">
        <v>257</v>
      </c>
      <c r="C26" s="15" t="s">
        <v>255</v>
      </c>
      <c r="D26" s="15">
        <v>212</v>
      </c>
      <c r="E26" s="15">
        <v>21</v>
      </c>
      <c r="F26" s="15">
        <v>233</v>
      </c>
      <c r="G26" s="12"/>
      <c r="H26" s="9"/>
      <c r="I26" s="9"/>
      <c r="J26" s="9"/>
      <c r="K26" s="9"/>
      <c r="L26" s="9"/>
    </row>
    <row r="27" spans="1:18" x14ac:dyDescent="0.3">
      <c r="A27" s="12"/>
      <c r="B27" s="359"/>
      <c r="C27" s="15" t="s">
        <v>256</v>
      </c>
      <c r="D27" s="20">
        <v>3920</v>
      </c>
      <c r="E27" s="20">
        <v>1005</v>
      </c>
      <c r="F27" s="20">
        <v>4374</v>
      </c>
      <c r="G27" s="12"/>
      <c r="H27" s="9"/>
      <c r="I27" s="9"/>
      <c r="J27" s="9"/>
      <c r="K27" s="9"/>
      <c r="L27" s="9"/>
    </row>
    <row r="28" spans="1:18" x14ac:dyDescent="0.3">
      <c r="A28" s="9"/>
      <c r="B28" s="9"/>
      <c r="C28" s="9"/>
      <c r="D28" s="9"/>
      <c r="E28" s="9"/>
      <c r="F28" s="9"/>
      <c r="G28" s="9"/>
      <c r="H28" s="9"/>
      <c r="I28" s="9"/>
      <c r="J28" s="9"/>
      <c r="K28" s="9"/>
      <c r="L28" s="9"/>
    </row>
    <row r="29" spans="1:18" x14ac:dyDescent="0.3">
      <c r="A29" s="7"/>
      <c r="B29" s="7"/>
      <c r="C29" s="7"/>
      <c r="D29" s="7"/>
      <c r="E29" s="7"/>
      <c r="F29" s="7"/>
      <c r="G29" s="7"/>
      <c r="H29" s="7"/>
      <c r="I29" s="7"/>
      <c r="J29" s="7"/>
      <c r="K29" s="7"/>
      <c r="L29" s="7"/>
    </row>
    <row r="30" spans="1:18" x14ac:dyDescent="0.3">
      <c r="A30" s="6" t="s">
        <v>4</v>
      </c>
      <c r="B30" s="4" t="s">
        <v>259</v>
      </c>
      <c r="C30" s="4"/>
      <c r="D30" s="4"/>
      <c r="E30" s="4"/>
      <c r="F30" s="4"/>
      <c r="G30" s="4"/>
      <c r="H30" s="4"/>
      <c r="I30" s="4"/>
      <c r="J30" s="4"/>
      <c r="K30" s="4"/>
      <c r="L30" s="4"/>
      <c r="M30" s="8"/>
      <c r="N30" s="8"/>
      <c r="O30" s="8"/>
      <c r="P30" s="8"/>
      <c r="Q30" s="8"/>
      <c r="R30" s="8"/>
    </row>
    <row r="31" spans="1:18" x14ac:dyDescent="0.3">
      <c r="A31" s="3"/>
      <c r="B31" s="3"/>
      <c r="C31" s="3"/>
      <c r="D31" s="3"/>
      <c r="E31" s="3"/>
      <c r="F31" s="3"/>
      <c r="G31" s="4"/>
      <c r="H31" s="4"/>
      <c r="I31" s="4"/>
      <c r="J31" s="4"/>
      <c r="K31" s="4"/>
      <c r="L31" s="4"/>
    </row>
    <row r="32" spans="1:18" x14ac:dyDescent="0.3">
      <c r="A32" s="7"/>
      <c r="B32" s="7"/>
      <c r="C32" s="7"/>
      <c r="D32" s="7"/>
      <c r="E32" s="7"/>
      <c r="F32" s="7"/>
      <c r="G32" s="7"/>
      <c r="H32" s="7"/>
      <c r="I32" s="7"/>
      <c r="J32" s="7"/>
      <c r="K32" s="7"/>
      <c r="L32" s="7"/>
      <c r="M32" s="7"/>
    </row>
    <row r="33" spans="1:14" x14ac:dyDescent="0.3">
      <c r="A33" s="7" t="s">
        <v>1</v>
      </c>
      <c r="B33" s="7"/>
      <c r="C33" s="7"/>
      <c r="D33" s="7"/>
      <c r="E33" s="7"/>
      <c r="F33" s="7"/>
      <c r="G33" s="7"/>
      <c r="H33" s="7"/>
      <c r="I33" s="7"/>
      <c r="J33" s="7"/>
      <c r="K33" s="7"/>
      <c r="L33" s="7"/>
      <c r="M33" s="7"/>
      <c r="N33" s="8"/>
    </row>
    <row r="34" spans="1:14" x14ac:dyDescent="0.3">
      <c r="A34" s="7"/>
      <c r="B34" s="289">
        <f>1/100</f>
        <v>0.01</v>
      </c>
      <c r="C34" s="7" t="s">
        <v>628</v>
      </c>
      <c r="D34" s="7"/>
      <c r="E34" s="7"/>
      <c r="F34" s="7"/>
      <c r="G34" s="7"/>
      <c r="H34" s="7"/>
      <c r="I34" s="7"/>
      <c r="J34" s="7"/>
      <c r="K34" s="7"/>
      <c r="L34" s="7"/>
      <c r="M34" s="7"/>
      <c r="N34" s="8"/>
    </row>
    <row r="35" spans="1:14" x14ac:dyDescent="0.3">
      <c r="A35" s="7"/>
      <c r="B35" s="7"/>
      <c r="C35" s="7"/>
      <c r="D35" s="7"/>
      <c r="E35" s="7"/>
      <c r="F35" s="7"/>
      <c r="G35" s="7"/>
      <c r="H35" s="7"/>
      <c r="I35" s="7"/>
      <c r="J35" s="7"/>
      <c r="K35" s="7"/>
      <c r="L35" s="7"/>
      <c r="M35" s="7"/>
      <c r="N35" s="8"/>
    </row>
    <row r="36" spans="1:14" x14ac:dyDescent="0.3">
      <c r="B36" s="290">
        <f>1/250</f>
        <v>4.0000000000000001E-3</v>
      </c>
      <c r="C36" s="1" t="s">
        <v>629</v>
      </c>
      <c r="M36" s="8"/>
      <c r="N36" s="8"/>
    </row>
    <row r="37" spans="1:14" x14ac:dyDescent="0.3">
      <c r="M37" s="8"/>
      <c r="N37" s="8"/>
    </row>
    <row r="38" spans="1:14" x14ac:dyDescent="0.3">
      <c r="A38" s="9" t="s">
        <v>395</v>
      </c>
      <c r="B38" s="9"/>
      <c r="C38" s="9"/>
      <c r="D38" s="9"/>
      <c r="E38" s="9"/>
      <c r="F38" s="9"/>
      <c r="G38" s="9"/>
      <c r="H38" s="9"/>
      <c r="I38" s="9"/>
      <c r="J38" s="9"/>
      <c r="K38" s="9"/>
      <c r="L38" s="9"/>
      <c r="M38" s="8"/>
      <c r="N38" s="8"/>
    </row>
    <row r="39" spans="1:14" x14ac:dyDescent="0.3">
      <c r="A39" s="9"/>
      <c r="B39" s="9"/>
      <c r="C39" s="9"/>
      <c r="D39" s="9"/>
      <c r="E39" s="9"/>
      <c r="F39" s="9"/>
      <c r="G39" s="9"/>
      <c r="H39" s="9"/>
      <c r="I39" s="9"/>
      <c r="J39" s="9"/>
      <c r="K39" s="9"/>
      <c r="L39" s="9"/>
      <c r="M39" s="8"/>
      <c r="N39" s="8"/>
    </row>
    <row r="40" spans="1:14" x14ac:dyDescent="0.3">
      <c r="A40" s="90" t="s">
        <v>389</v>
      </c>
      <c r="B40" s="70"/>
      <c r="C40" s="68"/>
      <c r="D40" s="107">
        <v>1098085000</v>
      </c>
      <c r="E40" s="9"/>
      <c r="F40" s="9"/>
      <c r="G40" s="9"/>
      <c r="H40" s="9"/>
      <c r="I40" s="9"/>
      <c r="J40" s="9"/>
      <c r="K40" s="9"/>
      <c r="L40" s="9"/>
      <c r="M40" s="8"/>
      <c r="N40" s="8"/>
    </row>
    <row r="41" spans="1:14" x14ac:dyDescent="0.3">
      <c r="A41" s="90" t="s">
        <v>390</v>
      </c>
      <c r="B41" s="70"/>
      <c r="C41" s="68"/>
      <c r="D41" s="107">
        <v>132325000</v>
      </c>
      <c r="E41" s="9"/>
      <c r="F41" s="9"/>
      <c r="G41" s="9"/>
      <c r="H41" s="9"/>
      <c r="I41" s="9"/>
      <c r="J41" s="9"/>
      <c r="K41" s="9"/>
      <c r="L41" s="9"/>
      <c r="M41" s="8"/>
      <c r="N41" s="8"/>
    </row>
    <row r="42" spans="1:14" x14ac:dyDescent="0.3">
      <c r="A42" s="9"/>
      <c r="B42" s="9"/>
      <c r="C42" s="9"/>
      <c r="D42" s="9"/>
      <c r="E42" s="9"/>
      <c r="F42" s="9"/>
      <c r="G42" s="9"/>
      <c r="H42" s="9"/>
      <c r="I42" s="9"/>
      <c r="J42" s="9"/>
      <c r="K42" s="9"/>
      <c r="L42" s="9"/>
      <c r="M42" s="8"/>
      <c r="N42" s="8"/>
    </row>
    <row r="44" spans="1:14" x14ac:dyDescent="0.3">
      <c r="A44" s="6" t="s">
        <v>5</v>
      </c>
      <c r="B44" s="4" t="s">
        <v>396</v>
      </c>
      <c r="C44" s="4"/>
      <c r="D44" s="4"/>
      <c r="E44" s="4"/>
      <c r="F44" s="4"/>
      <c r="G44" s="4"/>
      <c r="H44" s="4"/>
      <c r="I44" s="4"/>
      <c r="J44" s="4"/>
      <c r="K44" s="4"/>
      <c r="L44" s="4"/>
    </row>
    <row r="45" spans="1:14" x14ac:dyDescent="0.3">
      <c r="A45" s="3"/>
      <c r="B45" s="3"/>
      <c r="C45" s="3"/>
      <c r="D45" s="3"/>
      <c r="E45" s="3"/>
      <c r="F45" s="3"/>
      <c r="G45" s="4"/>
      <c r="H45" s="4"/>
      <c r="I45" s="4"/>
      <c r="J45" s="4"/>
      <c r="K45" s="4"/>
      <c r="L45" s="4"/>
    </row>
    <row r="46" spans="1:14" x14ac:dyDescent="0.3">
      <c r="A46" s="7"/>
      <c r="B46" s="7"/>
      <c r="C46" s="7"/>
      <c r="D46" s="7"/>
      <c r="E46" s="7"/>
      <c r="F46" s="7"/>
      <c r="G46" s="7"/>
      <c r="H46" s="7"/>
      <c r="I46" s="7"/>
      <c r="J46" s="7"/>
      <c r="K46" s="7"/>
      <c r="L46" s="7"/>
    </row>
    <row r="47" spans="1:14" x14ac:dyDescent="0.3">
      <c r="A47" s="7" t="s">
        <v>1</v>
      </c>
      <c r="B47" s="7"/>
      <c r="C47" s="7"/>
      <c r="D47" s="7"/>
      <c r="E47" s="7"/>
      <c r="F47" s="7"/>
      <c r="G47" s="7"/>
      <c r="H47" s="7"/>
      <c r="I47" s="7"/>
      <c r="J47" s="7"/>
      <c r="K47" s="7"/>
      <c r="L47" s="7"/>
    </row>
    <row r="48" spans="1:14" x14ac:dyDescent="0.3">
      <c r="A48" s="7"/>
      <c r="C48" s="7" t="s">
        <v>681</v>
      </c>
      <c r="E48" s="7"/>
      <c r="F48" s="7"/>
      <c r="G48" s="117"/>
      <c r="H48" s="150"/>
      <c r="I48" s="7"/>
      <c r="J48" s="7"/>
      <c r="K48" s="7"/>
      <c r="L48" s="7"/>
    </row>
    <row r="49" spans="1:13" x14ac:dyDescent="0.3">
      <c r="B49" s="1" t="s">
        <v>630</v>
      </c>
      <c r="D49" s="246">
        <f>F18</f>
        <v>664515</v>
      </c>
      <c r="E49" s="240" t="s">
        <v>631</v>
      </c>
      <c r="F49" s="246">
        <f>F19</f>
        <v>1089697</v>
      </c>
      <c r="G49" s="117"/>
      <c r="H49" s="117"/>
      <c r="M49" s="7"/>
    </row>
    <row r="50" spans="1:13" x14ac:dyDescent="0.3">
      <c r="B50" s="1" t="s">
        <v>632</v>
      </c>
      <c r="D50" s="246">
        <f>F49</f>
        <v>1089697</v>
      </c>
      <c r="E50" s="240" t="s">
        <v>633</v>
      </c>
      <c r="F50" s="246">
        <f>F20</f>
        <v>1605179</v>
      </c>
      <c r="G50" s="243"/>
      <c r="H50" s="150"/>
      <c r="M50" s="7"/>
    </row>
    <row r="51" spans="1:13" x14ac:dyDescent="0.3">
      <c r="G51" s="117"/>
      <c r="H51" s="117"/>
      <c r="M51" s="7"/>
    </row>
    <row r="52" spans="1:13" x14ac:dyDescent="0.3">
      <c r="B52" s="1" t="s">
        <v>634</v>
      </c>
      <c r="D52" s="246">
        <f>(D40+D41)/1000</f>
        <v>1230410</v>
      </c>
      <c r="E52" s="240"/>
      <c r="F52" s="246"/>
      <c r="G52" s="117"/>
      <c r="H52" s="117"/>
    </row>
    <row r="53" spans="1:13" x14ac:dyDescent="0.3">
      <c r="G53" s="117"/>
      <c r="H53" s="117"/>
    </row>
    <row r="54" spans="1:13" x14ac:dyDescent="0.3">
      <c r="B54" s="1" t="s">
        <v>635</v>
      </c>
      <c r="D54" s="246">
        <f>MAX(0,MIN($D$52,F49)-D49)</f>
        <v>425182</v>
      </c>
    </row>
    <row r="55" spans="1:13" x14ac:dyDescent="0.3">
      <c r="B55" s="1" t="s">
        <v>636</v>
      </c>
      <c r="D55" s="246">
        <f>MAX(0,MIN($D$52,F50)-D50)</f>
        <v>140713</v>
      </c>
    </row>
    <row r="57" spans="1:13" x14ac:dyDescent="0.3">
      <c r="A57" s="9" t="s">
        <v>397</v>
      </c>
      <c r="B57" s="9"/>
      <c r="C57" s="9"/>
      <c r="D57" s="9"/>
      <c r="E57" s="9"/>
      <c r="F57" s="9"/>
      <c r="G57" s="9"/>
      <c r="H57" s="9"/>
      <c r="I57" s="9"/>
      <c r="J57" s="9"/>
      <c r="K57" s="9"/>
      <c r="L57" s="9"/>
    </row>
    <row r="58" spans="1:13" x14ac:dyDescent="0.3">
      <c r="A58" s="9"/>
      <c r="B58" s="9"/>
      <c r="C58" s="9"/>
      <c r="D58" s="9"/>
      <c r="E58" s="9"/>
      <c r="F58" s="9"/>
      <c r="G58" s="9"/>
      <c r="H58" s="9"/>
      <c r="I58" s="9"/>
      <c r="J58" s="9"/>
      <c r="K58" s="9"/>
      <c r="L58" s="9"/>
    </row>
    <row r="60" spans="1:13" x14ac:dyDescent="0.3">
      <c r="A60" s="6" t="s">
        <v>0</v>
      </c>
      <c r="B60" s="4" t="s">
        <v>398</v>
      </c>
      <c r="C60" s="4"/>
      <c r="D60" s="4"/>
      <c r="E60" s="4"/>
      <c r="F60" s="4"/>
      <c r="G60" s="4"/>
      <c r="H60" s="4"/>
      <c r="I60" s="4"/>
      <c r="J60" s="4"/>
      <c r="K60" s="4"/>
      <c r="L60" s="4"/>
    </row>
    <row r="61" spans="1:13" x14ac:dyDescent="0.3">
      <c r="A61" s="3"/>
      <c r="B61" s="3"/>
      <c r="C61" s="3"/>
      <c r="D61" s="3"/>
      <c r="E61" s="3"/>
      <c r="F61" s="3"/>
      <c r="G61" s="4"/>
      <c r="H61" s="4"/>
      <c r="I61" s="4"/>
      <c r="J61" s="4"/>
      <c r="K61" s="4"/>
      <c r="L61" s="4"/>
    </row>
    <row r="62" spans="1:13" x14ac:dyDescent="0.3">
      <c r="A62" s="7"/>
      <c r="B62" s="7"/>
      <c r="C62" s="7"/>
      <c r="D62" s="7"/>
      <c r="E62" s="7"/>
      <c r="F62" s="7"/>
      <c r="G62" s="7"/>
      <c r="H62" s="7"/>
      <c r="I62" s="7"/>
      <c r="J62" s="7"/>
      <c r="K62" s="7"/>
      <c r="L62" s="7"/>
    </row>
    <row r="63" spans="1:13" x14ac:dyDescent="0.3">
      <c r="A63" s="7" t="s">
        <v>1</v>
      </c>
      <c r="B63" s="7"/>
      <c r="C63" s="7"/>
      <c r="D63" s="7"/>
      <c r="E63" s="7"/>
      <c r="F63" s="7"/>
      <c r="G63" s="7"/>
      <c r="H63" s="7"/>
      <c r="I63" s="7"/>
      <c r="J63" s="7"/>
      <c r="K63" s="7"/>
      <c r="L63" s="7"/>
    </row>
    <row r="64" spans="1:13" x14ac:dyDescent="0.3">
      <c r="B64" s="7"/>
      <c r="C64" s="7" t="s">
        <v>681</v>
      </c>
      <c r="D64" s="7"/>
    </row>
    <row r="65" spans="1:14" x14ac:dyDescent="0.3">
      <c r="B65" s="7"/>
      <c r="C65" s="7"/>
      <c r="D65" s="7"/>
    </row>
    <row r="66" spans="1:14" x14ac:dyDescent="0.3">
      <c r="C66" s="7" t="s">
        <v>682</v>
      </c>
      <c r="D66" s="7" t="s">
        <v>683</v>
      </c>
      <c r="M66" s="7"/>
      <c r="N66" s="7"/>
    </row>
    <row r="67" spans="1:14" x14ac:dyDescent="0.3">
      <c r="B67" s="1" t="s">
        <v>255</v>
      </c>
      <c r="C67" s="246">
        <f>F24</f>
        <v>661</v>
      </c>
      <c r="D67" s="246">
        <f>F26</f>
        <v>233</v>
      </c>
      <c r="M67" s="7"/>
      <c r="N67" s="7"/>
    </row>
    <row r="68" spans="1:14" x14ac:dyDescent="0.3">
      <c r="B68" s="1" t="s">
        <v>684</v>
      </c>
      <c r="C68" s="246">
        <f>0.85*F25</f>
        <v>5837.8</v>
      </c>
      <c r="D68" s="246">
        <f>0.85*F27</f>
        <v>3717.9</v>
      </c>
      <c r="M68" s="7"/>
      <c r="N68" s="7"/>
    </row>
    <row r="69" spans="1:14" x14ac:dyDescent="0.3">
      <c r="B69" s="1" t="s">
        <v>685</v>
      </c>
      <c r="C69" s="246">
        <f>(SUM(C67:C68)/(1-0.24))-SUM(C67:C68)</f>
        <v>2052.2526315789464</v>
      </c>
      <c r="D69" s="246">
        <f>(SUM(D67:D68)/(1-0.24))-SUM(D67:D68)</f>
        <v>1247.6526315789474</v>
      </c>
    </row>
    <row r="70" spans="1:14" x14ac:dyDescent="0.3">
      <c r="B70" s="1" t="s">
        <v>686</v>
      </c>
      <c r="C70" s="246">
        <f>SUM(C67:C69)</f>
        <v>8551.0526315789466</v>
      </c>
      <c r="D70" s="246">
        <f>SUM(D67:D69)</f>
        <v>5198.5526315789475</v>
      </c>
    </row>
    <row r="72" spans="1:14" x14ac:dyDescent="0.3">
      <c r="A72" s="362" t="s">
        <v>399</v>
      </c>
      <c r="B72" s="362"/>
      <c r="C72" s="362"/>
      <c r="D72" s="362"/>
      <c r="E72" s="362"/>
      <c r="F72" s="362"/>
      <c r="G72" s="362"/>
      <c r="H72" s="362"/>
      <c r="I72" s="362"/>
      <c r="J72" s="362"/>
      <c r="K72" s="362"/>
      <c r="L72" s="9"/>
    </row>
    <row r="73" spans="1:14" x14ac:dyDescent="0.3">
      <c r="A73" s="362"/>
      <c r="B73" s="362"/>
      <c r="C73" s="362"/>
      <c r="D73" s="362"/>
      <c r="E73" s="362"/>
      <c r="F73" s="362"/>
      <c r="G73" s="362"/>
      <c r="H73" s="362"/>
      <c r="I73" s="362"/>
      <c r="J73" s="362"/>
      <c r="K73" s="362"/>
      <c r="L73" s="9"/>
    </row>
    <row r="74" spans="1:14" x14ac:dyDescent="0.3">
      <c r="A74" s="362"/>
      <c r="B74" s="362"/>
      <c r="C74" s="362"/>
      <c r="D74" s="362"/>
      <c r="E74" s="362"/>
      <c r="F74" s="362"/>
      <c r="G74" s="362"/>
      <c r="H74" s="362"/>
      <c r="I74" s="362"/>
      <c r="J74" s="362"/>
      <c r="K74" s="362"/>
      <c r="L74" s="9"/>
    </row>
    <row r="75" spans="1:14" x14ac:dyDescent="0.3">
      <c r="A75" s="362"/>
      <c r="B75" s="362"/>
      <c r="C75" s="362"/>
      <c r="D75" s="362"/>
      <c r="E75" s="362"/>
      <c r="F75" s="362"/>
      <c r="G75" s="362"/>
      <c r="H75" s="362"/>
      <c r="I75" s="362"/>
      <c r="J75" s="362"/>
      <c r="K75" s="362"/>
      <c r="L75" s="9"/>
    </row>
    <row r="77" spans="1:14" x14ac:dyDescent="0.3">
      <c r="A77" s="6" t="s">
        <v>2</v>
      </c>
      <c r="B77" s="4" t="s">
        <v>400</v>
      </c>
      <c r="C77" s="4"/>
      <c r="D77" s="4"/>
      <c r="E77" s="4"/>
      <c r="F77" s="4"/>
      <c r="G77" s="4"/>
      <c r="H77" s="4"/>
      <c r="I77" s="4"/>
      <c r="J77" s="4"/>
      <c r="K77" s="4"/>
      <c r="L77" s="4"/>
    </row>
    <row r="78" spans="1:14" x14ac:dyDescent="0.3">
      <c r="A78" s="3"/>
      <c r="B78" s="3"/>
      <c r="C78" s="3"/>
      <c r="D78" s="3"/>
      <c r="E78" s="3"/>
      <c r="F78" s="3"/>
      <c r="G78" s="4"/>
      <c r="H78" s="4"/>
      <c r="I78" s="4"/>
      <c r="J78" s="4"/>
      <c r="K78" s="4"/>
      <c r="L78" s="4"/>
    </row>
    <row r="79" spans="1:14" x14ac:dyDescent="0.3">
      <c r="A79" s="7"/>
      <c r="B79" s="7"/>
      <c r="C79" s="7"/>
      <c r="D79" s="7"/>
      <c r="E79" s="7"/>
      <c r="F79" s="7"/>
      <c r="G79" s="7"/>
      <c r="H79" s="7"/>
      <c r="I79" s="7"/>
      <c r="J79" s="7"/>
      <c r="K79" s="7"/>
      <c r="L79" s="7"/>
    </row>
    <row r="80" spans="1:14" x14ac:dyDescent="0.3">
      <c r="A80" s="7" t="s">
        <v>1</v>
      </c>
      <c r="B80" s="7"/>
      <c r="C80" s="7"/>
      <c r="D80" s="7"/>
      <c r="E80" s="7"/>
      <c r="F80" s="7"/>
      <c r="G80" s="7"/>
      <c r="H80" s="7"/>
      <c r="I80" s="7"/>
      <c r="J80" s="7"/>
      <c r="K80" s="7"/>
      <c r="L80" s="7"/>
    </row>
    <row r="81" spans="1:13" x14ac:dyDescent="0.3">
      <c r="A81" s="7"/>
      <c r="B81" s="7"/>
      <c r="C81" s="7"/>
      <c r="D81" s="7"/>
      <c r="E81" s="7"/>
      <c r="F81" s="7"/>
      <c r="G81" s="7"/>
      <c r="H81" s="7"/>
      <c r="I81" s="7"/>
      <c r="J81" s="7"/>
      <c r="K81" s="7"/>
      <c r="L81" s="7"/>
    </row>
    <row r="82" spans="1:13" x14ac:dyDescent="0.3">
      <c r="A82" s="7"/>
      <c r="B82" s="7" t="s">
        <v>687</v>
      </c>
      <c r="C82" s="7"/>
      <c r="D82" s="7"/>
      <c r="E82" s="7"/>
      <c r="F82" s="7"/>
      <c r="G82" s="7"/>
      <c r="H82" s="7"/>
      <c r="I82" s="7"/>
      <c r="J82" s="7"/>
      <c r="K82" s="7"/>
      <c r="L82" s="7"/>
    </row>
    <row r="84" spans="1:13" x14ac:dyDescent="0.3">
      <c r="B84" s="1" t="s">
        <v>688</v>
      </c>
    </row>
    <row r="85" spans="1:13" x14ac:dyDescent="0.3">
      <c r="M85" s="7"/>
    </row>
  </sheetData>
  <mergeCells count="12">
    <mergeCell ref="B24:B25"/>
    <mergeCell ref="B26:B27"/>
    <mergeCell ref="B22:B23"/>
    <mergeCell ref="A3:K4"/>
    <mergeCell ref="A72:K75"/>
    <mergeCell ref="B13:B14"/>
    <mergeCell ref="C13:C14"/>
    <mergeCell ref="D13:F13"/>
    <mergeCell ref="B15:B17"/>
    <mergeCell ref="B18:B20"/>
    <mergeCell ref="C22:C23"/>
    <mergeCell ref="D22:F22"/>
  </mergeCells>
  <pageMargins left="0.7" right="0.7" top="0.75" bottom="0.75" header="0.3" footer="0.3"/>
  <pageSetup scale="68"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F994-AFF7-479E-8C49-A70DA8CEC3F4}">
  <dimension ref="A1:R125"/>
  <sheetViews>
    <sheetView zoomScaleNormal="100" workbookViewId="0"/>
  </sheetViews>
  <sheetFormatPr defaultColWidth="8.88671875" defaultRowHeight="15.6" x14ac:dyDescent="0.3"/>
  <cols>
    <col min="1" max="1" width="8.88671875" style="1" customWidth="1"/>
    <col min="2" max="4" width="10.6640625" style="1" customWidth="1"/>
    <col min="5" max="5" width="14.33203125" style="1" customWidth="1"/>
    <col min="6" max="6" width="11.6640625" style="1" customWidth="1"/>
    <col min="7" max="7" width="10.6640625" style="1" customWidth="1"/>
    <col min="8" max="8" width="13" style="1" customWidth="1"/>
    <col min="9" max="10" width="10.6640625" style="1" customWidth="1"/>
    <col min="11" max="16384" width="8.88671875" style="1"/>
  </cols>
  <sheetData>
    <row r="1" spans="1:12" ht="17.399999999999999" x14ac:dyDescent="0.3">
      <c r="A1" s="2" t="s">
        <v>260</v>
      </c>
      <c r="B1" s="4"/>
      <c r="C1" s="9" t="s">
        <v>261</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262</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x14ac:dyDescent="0.3">
      <c r="A5" s="13"/>
      <c r="B5" s="324" t="s">
        <v>37</v>
      </c>
      <c r="C5" s="340" t="s">
        <v>263</v>
      </c>
      <c r="D5" s="340"/>
      <c r="E5" s="340"/>
      <c r="F5" s="340"/>
      <c r="G5" s="340"/>
      <c r="H5" s="340"/>
      <c r="I5" s="340"/>
      <c r="J5" s="340"/>
      <c r="K5" s="10"/>
      <c r="L5" s="10"/>
    </row>
    <row r="6" spans="1:12" s="11" customFormat="1" x14ac:dyDescent="0.3">
      <c r="A6" s="13"/>
      <c r="B6" s="324"/>
      <c r="C6" s="27">
        <v>12</v>
      </c>
      <c r="D6" s="27">
        <v>24</v>
      </c>
      <c r="E6" s="27">
        <v>36</v>
      </c>
      <c r="F6" s="27">
        <v>48</v>
      </c>
      <c r="G6" s="27">
        <v>60</v>
      </c>
      <c r="H6" s="27">
        <v>72</v>
      </c>
      <c r="I6" s="27">
        <v>84</v>
      </c>
      <c r="J6" s="27">
        <v>96</v>
      </c>
      <c r="K6" s="10"/>
      <c r="L6" s="10"/>
    </row>
    <row r="7" spans="1:12" s="11" customFormat="1" x14ac:dyDescent="0.3">
      <c r="A7" s="13"/>
      <c r="B7" s="29">
        <v>2013</v>
      </c>
      <c r="C7" s="29">
        <v>162</v>
      </c>
      <c r="D7" s="29">
        <v>517</v>
      </c>
      <c r="E7" s="29">
        <v>866</v>
      </c>
      <c r="F7" s="55">
        <v>1171</v>
      </c>
      <c r="G7" s="55">
        <v>1402</v>
      </c>
      <c r="H7" s="55">
        <v>1573</v>
      </c>
      <c r="I7" s="55">
        <v>1716</v>
      </c>
      <c r="J7" s="55">
        <v>1824</v>
      </c>
      <c r="K7" s="10"/>
      <c r="L7" s="10"/>
    </row>
    <row r="8" spans="1:12" s="11" customFormat="1" x14ac:dyDescent="0.3">
      <c r="A8" s="13"/>
      <c r="B8" s="29">
        <v>2014</v>
      </c>
      <c r="C8" s="29">
        <v>171</v>
      </c>
      <c r="D8" s="29">
        <v>523</v>
      </c>
      <c r="E8" s="29">
        <v>875</v>
      </c>
      <c r="F8" s="55">
        <v>1142</v>
      </c>
      <c r="G8" s="55">
        <v>1372</v>
      </c>
      <c r="H8" s="55">
        <v>1565</v>
      </c>
      <c r="I8" s="55">
        <v>1712</v>
      </c>
      <c r="J8" s="29"/>
      <c r="K8" s="10"/>
      <c r="L8" s="10"/>
    </row>
    <row r="9" spans="1:12" s="11" customFormat="1" x14ac:dyDescent="0.3">
      <c r="A9" s="13"/>
      <c r="B9" s="29">
        <v>2015</v>
      </c>
      <c r="C9" s="29">
        <v>182</v>
      </c>
      <c r="D9" s="29">
        <v>518</v>
      </c>
      <c r="E9" s="29">
        <v>876</v>
      </c>
      <c r="F9" s="55">
        <v>1169</v>
      </c>
      <c r="G9" s="55">
        <v>1424</v>
      </c>
      <c r="H9" s="55">
        <v>1610</v>
      </c>
      <c r="I9" s="29"/>
      <c r="J9" s="29"/>
      <c r="K9" s="10"/>
      <c r="L9" s="10"/>
    </row>
    <row r="10" spans="1:12" s="11" customFormat="1" x14ac:dyDescent="0.3">
      <c r="A10" s="13"/>
      <c r="B10" s="29">
        <v>2016</v>
      </c>
      <c r="C10" s="29">
        <v>190</v>
      </c>
      <c r="D10" s="29">
        <v>543</v>
      </c>
      <c r="E10" s="29">
        <v>923</v>
      </c>
      <c r="F10" s="55">
        <v>1219</v>
      </c>
      <c r="G10" s="55">
        <v>1460</v>
      </c>
      <c r="H10" s="29"/>
      <c r="I10" s="29"/>
      <c r="J10" s="29"/>
      <c r="K10" s="10"/>
      <c r="L10" s="10"/>
    </row>
    <row r="11" spans="1:12" s="11" customFormat="1" x14ac:dyDescent="0.3">
      <c r="A11" s="13"/>
      <c r="B11" s="29">
        <v>2017</v>
      </c>
      <c r="C11" s="29">
        <v>198</v>
      </c>
      <c r="D11" s="29">
        <v>540</v>
      </c>
      <c r="E11" s="55">
        <v>1082</v>
      </c>
      <c r="F11" s="55">
        <v>1391</v>
      </c>
      <c r="G11" s="29"/>
      <c r="H11" s="29"/>
      <c r="I11" s="29"/>
      <c r="J11" s="29"/>
      <c r="K11" s="10"/>
      <c r="L11" s="10"/>
    </row>
    <row r="12" spans="1:12" s="11" customFormat="1" x14ac:dyDescent="0.3">
      <c r="A12" s="13"/>
      <c r="B12" s="29">
        <v>2018</v>
      </c>
      <c r="C12" s="29">
        <v>205</v>
      </c>
      <c r="D12" s="29">
        <v>560</v>
      </c>
      <c r="E12" s="29">
        <v>968</v>
      </c>
      <c r="F12" s="29"/>
      <c r="G12" s="29"/>
      <c r="H12" s="29"/>
      <c r="I12" s="29"/>
      <c r="J12" s="29"/>
      <c r="K12" s="10"/>
      <c r="L12" s="10"/>
    </row>
    <row r="13" spans="1:12" s="11" customFormat="1" x14ac:dyDescent="0.3">
      <c r="A13" s="13"/>
      <c r="B13" s="29">
        <v>2019</v>
      </c>
      <c r="C13" s="29">
        <v>211</v>
      </c>
      <c r="D13" s="29">
        <v>573</v>
      </c>
      <c r="E13" s="29"/>
      <c r="F13" s="29"/>
      <c r="G13" s="29"/>
      <c r="H13" s="29"/>
      <c r="I13" s="29"/>
      <c r="J13" s="29"/>
      <c r="K13" s="10"/>
      <c r="L13" s="10"/>
    </row>
    <row r="14" spans="1:12" s="11" customFormat="1" x14ac:dyDescent="0.3">
      <c r="A14" s="13"/>
      <c r="B14" s="29">
        <v>2020</v>
      </c>
      <c r="C14" s="29">
        <v>224</v>
      </c>
      <c r="D14" s="29"/>
      <c r="E14" s="29"/>
      <c r="F14" s="29"/>
      <c r="G14" s="29"/>
      <c r="H14" s="29"/>
      <c r="I14" s="29"/>
      <c r="J14" s="29"/>
      <c r="K14" s="10"/>
      <c r="L14" s="10"/>
    </row>
    <row r="15" spans="1:12" s="11" customFormat="1" x14ac:dyDescent="0.3">
      <c r="A15" s="13"/>
      <c r="B15" s="9"/>
      <c r="C15" s="9"/>
      <c r="D15" s="9"/>
      <c r="E15" s="9"/>
      <c r="F15" s="9"/>
      <c r="G15" s="9"/>
      <c r="H15" s="9"/>
      <c r="I15" s="9"/>
      <c r="J15" s="9"/>
      <c r="K15" s="10"/>
      <c r="L15" s="10"/>
    </row>
    <row r="16" spans="1:12" s="11" customFormat="1" ht="31.2" x14ac:dyDescent="0.3">
      <c r="A16" s="13"/>
      <c r="B16" s="14" t="s">
        <v>37</v>
      </c>
      <c r="C16" s="75" t="s">
        <v>270</v>
      </c>
      <c r="D16" s="76" t="s">
        <v>264</v>
      </c>
      <c r="E16" s="76" t="s">
        <v>265</v>
      </c>
      <c r="F16" s="76" t="s">
        <v>266</v>
      </c>
      <c r="G16" s="76" t="s">
        <v>267</v>
      </c>
      <c r="H16" s="76" t="s">
        <v>268</v>
      </c>
      <c r="I16" s="76" t="s">
        <v>269</v>
      </c>
      <c r="J16" s="9"/>
      <c r="K16" s="10"/>
      <c r="L16" s="10"/>
    </row>
    <row r="17" spans="1:18" s="11" customFormat="1" x14ac:dyDescent="0.3">
      <c r="A17" s="13"/>
      <c r="B17" s="29">
        <v>2013</v>
      </c>
      <c r="C17" s="46">
        <v>3.1909999999999998</v>
      </c>
      <c r="D17" s="46">
        <v>1.675</v>
      </c>
      <c r="E17" s="46">
        <v>1.3520000000000001</v>
      </c>
      <c r="F17" s="46">
        <v>1.1970000000000001</v>
      </c>
      <c r="G17" s="46">
        <v>1.1220000000000001</v>
      </c>
      <c r="H17" s="46">
        <v>1.091</v>
      </c>
      <c r="I17" s="46">
        <v>1.0629999999999999</v>
      </c>
      <c r="J17" s="9"/>
      <c r="K17" s="10"/>
      <c r="L17" s="10"/>
    </row>
    <row r="18" spans="1:18" s="11" customFormat="1" x14ac:dyDescent="0.3">
      <c r="A18" s="13"/>
      <c r="B18" s="29">
        <v>2014</v>
      </c>
      <c r="C18" s="46">
        <v>3.0579999999999998</v>
      </c>
      <c r="D18" s="46">
        <v>1.673</v>
      </c>
      <c r="E18" s="46">
        <v>1.3049999999999999</v>
      </c>
      <c r="F18" s="46">
        <v>1.2010000000000001</v>
      </c>
      <c r="G18" s="46">
        <v>1.141</v>
      </c>
      <c r="H18" s="46">
        <v>1.0940000000000001</v>
      </c>
      <c r="I18" s="46"/>
      <c r="J18" s="9"/>
      <c r="K18" s="10"/>
      <c r="L18" s="10"/>
    </row>
    <row r="19" spans="1:18" s="11" customFormat="1" x14ac:dyDescent="0.3">
      <c r="A19" s="13"/>
      <c r="B19" s="29">
        <v>2015</v>
      </c>
      <c r="C19" s="46">
        <v>2.8460000000000001</v>
      </c>
      <c r="D19" s="46">
        <v>1.6910000000000001</v>
      </c>
      <c r="E19" s="46">
        <v>1.3340000000000001</v>
      </c>
      <c r="F19" s="46">
        <v>1.218</v>
      </c>
      <c r="G19" s="46">
        <v>1.131</v>
      </c>
      <c r="H19" s="46"/>
      <c r="I19" s="46"/>
      <c r="J19" s="9"/>
      <c r="K19" s="10"/>
      <c r="L19" s="10"/>
    </row>
    <row r="20" spans="1:18" s="11" customFormat="1" x14ac:dyDescent="0.3">
      <c r="A20" s="13"/>
      <c r="B20" s="29">
        <v>2016</v>
      </c>
      <c r="C20" s="46">
        <v>2.8580000000000001</v>
      </c>
      <c r="D20" s="46">
        <v>1.7</v>
      </c>
      <c r="E20" s="46">
        <v>1.321</v>
      </c>
      <c r="F20" s="46">
        <v>1.198</v>
      </c>
      <c r="G20" s="46"/>
      <c r="H20" s="46"/>
      <c r="I20" s="46"/>
      <c r="J20" s="9"/>
      <c r="K20" s="10"/>
      <c r="L20" s="10"/>
    </row>
    <row r="21" spans="1:18" s="11" customFormat="1" x14ac:dyDescent="0.3">
      <c r="A21" s="13"/>
      <c r="B21" s="29">
        <v>2017</v>
      </c>
      <c r="C21" s="46">
        <v>2.7269999999999999</v>
      </c>
      <c r="D21" s="46">
        <v>2.004</v>
      </c>
      <c r="E21" s="46">
        <v>1.286</v>
      </c>
      <c r="F21" s="46"/>
      <c r="G21" s="46"/>
      <c r="H21" s="46"/>
      <c r="I21" s="46"/>
      <c r="J21" s="9"/>
      <c r="K21" s="10"/>
      <c r="L21" s="10"/>
    </row>
    <row r="22" spans="1:18" s="11" customFormat="1" x14ac:dyDescent="0.3">
      <c r="A22" s="13"/>
      <c r="B22" s="29">
        <v>2018</v>
      </c>
      <c r="C22" s="46">
        <v>2.7320000000000002</v>
      </c>
      <c r="D22" s="46">
        <v>1.7290000000000001</v>
      </c>
      <c r="E22" s="46"/>
      <c r="F22" s="46"/>
      <c r="G22" s="46"/>
      <c r="H22" s="46"/>
      <c r="I22" s="46"/>
      <c r="J22" s="9"/>
      <c r="K22" s="10"/>
      <c r="L22" s="10"/>
    </row>
    <row r="23" spans="1:18" s="11" customFormat="1" x14ac:dyDescent="0.3">
      <c r="A23" s="13"/>
      <c r="B23" s="29">
        <v>2019</v>
      </c>
      <c r="C23" s="46">
        <v>2.7160000000000002</v>
      </c>
      <c r="D23" s="46"/>
      <c r="E23" s="46"/>
      <c r="F23" s="46"/>
      <c r="G23" s="46"/>
      <c r="H23" s="46"/>
      <c r="I23" s="46"/>
      <c r="J23" s="9"/>
      <c r="K23" s="10"/>
      <c r="L23" s="10"/>
    </row>
    <row r="24" spans="1:18" s="11" customFormat="1" x14ac:dyDescent="0.3">
      <c r="A24" s="13"/>
      <c r="B24" s="12"/>
      <c r="C24" s="12"/>
      <c r="D24" s="12"/>
      <c r="E24" s="12"/>
      <c r="F24" s="12"/>
      <c r="G24" s="12"/>
      <c r="H24" s="10"/>
      <c r="I24" s="10"/>
      <c r="J24" s="10"/>
      <c r="K24" s="10"/>
      <c r="L24" s="10"/>
    </row>
    <row r="25" spans="1:18" s="11" customFormat="1" ht="15.6" customHeight="1" x14ac:dyDescent="0.3">
      <c r="A25" s="13" t="s">
        <v>353</v>
      </c>
      <c r="B25" s="13"/>
      <c r="C25" s="13"/>
      <c r="D25" s="13"/>
      <c r="E25" s="108">
        <v>150000</v>
      </c>
      <c r="F25" s="13" t="s">
        <v>352</v>
      </c>
      <c r="G25" s="13"/>
      <c r="H25" s="13"/>
      <c r="I25" s="13"/>
      <c r="J25" s="13"/>
      <c r="K25" s="13"/>
      <c r="L25" s="10"/>
    </row>
    <row r="26" spans="1:18" s="11" customFormat="1" x14ac:dyDescent="0.3">
      <c r="A26" s="13" t="s">
        <v>351</v>
      </c>
      <c r="B26" s="13"/>
      <c r="C26" s="13"/>
      <c r="D26" s="13"/>
      <c r="E26" s="13"/>
      <c r="F26" s="13"/>
      <c r="G26" s="13"/>
      <c r="H26" s="13"/>
      <c r="I26" s="13"/>
      <c r="J26" s="13"/>
      <c r="K26" s="13"/>
      <c r="L26" s="10"/>
    </row>
    <row r="27" spans="1:18" x14ac:dyDescent="0.3">
      <c r="A27" s="9"/>
      <c r="B27" s="9"/>
      <c r="C27" s="9"/>
      <c r="D27" s="9"/>
      <c r="E27" s="9"/>
      <c r="F27" s="9"/>
      <c r="G27" s="9"/>
      <c r="H27" s="9"/>
      <c r="I27" s="9"/>
      <c r="J27" s="9"/>
      <c r="K27" s="9"/>
      <c r="L27" s="9"/>
    </row>
    <row r="28" spans="1:18" x14ac:dyDescent="0.3">
      <c r="A28" s="7"/>
      <c r="B28" s="7"/>
      <c r="C28" s="7"/>
      <c r="D28" s="7"/>
      <c r="E28" s="7"/>
      <c r="F28" s="7"/>
      <c r="G28" s="7"/>
      <c r="H28" s="7"/>
      <c r="I28" s="7"/>
      <c r="J28" s="7"/>
      <c r="K28" s="7"/>
      <c r="L28" s="7"/>
    </row>
    <row r="29" spans="1:18" x14ac:dyDescent="0.3">
      <c r="A29" s="6" t="s">
        <v>4</v>
      </c>
      <c r="B29" s="4" t="s">
        <v>271</v>
      </c>
      <c r="C29" s="4"/>
      <c r="D29" s="4"/>
      <c r="E29" s="4"/>
      <c r="F29" s="4"/>
      <c r="G29" s="4"/>
      <c r="H29" s="4"/>
      <c r="I29" s="4"/>
      <c r="J29" s="4"/>
      <c r="K29" s="4"/>
      <c r="L29" s="4"/>
      <c r="M29" s="8"/>
      <c r="N29" s="8"/>
      <c r="O29" s="8"/>
      <c r="P29" s="8"/>
      <c r="Q29" s="8"/>
      <c r="R29" s="8"/>
    </row>
    <row r="30" spans="1:18" x14ac:dyDescent="0.3">
      <c r="A30" s="3"/>
      <c r="B30" s="3"/>
      <c r="C30" s="3"/>
      <c r="D30" s="3"/>
      <c r="E30" s="3"/>
      <c r="F30" s="3"/>
      <c r="G30" s="4"/>
      <c r="H30" s="4"/>
      <c r="I30" s="4"/>
      <c r="J30" s="4"/>
      <c r="K30" s="4"/>
      <c r="L30" s="4"/>
    </row>
    <row r="31" spans="1:18" x14ac:dyDescent="0.3">
      <c r="A31" s="7"/>
      <c r="B31" s="7"/>
      <c r="C31" s="7"/>
      <c r="D31" s="7"/>
      <c r="E31" s="7"/>
      <c r="F31" s="7"/>
      <c r="G31" s="7"/>
      <c r="H31" s="7"/>
      <c r="I31" s="7"/>
      <c r="J31" s="7"/>
      <c r="K31" s="7"/>
      <c r="L31" s="7"/>
      <c r="M31" s="7"/>
    </row>
    <row r="32" spans="1:18" x14ac:dyDescent="0.3">
      <c r="A32" s="7" t="s">
        <v>1</v>
      </c>
      <c r="B32" s="7"/>
      <c r="C32" s="7"/>
      <c r="D32" s="7"/>
      <c r="E32" s="7"/>
      <c r="F32" s="7"/>
      <c r="G32" s="7"/>
      <c r="H32" s="7"/>
      <c r="I32" s="7"/>
      <c r="J32" s="7"/>
      <c r="K32" s="7"/>
      <c r="L32" s="7"/>
      <c r="M32" s="7"/>
      <c r="N32" s="8"/>
    </row>
    <row r="33" spans="1:14" x14ac:dyDescent="0.3">
      <c r="A33" s="7"/>
      <c r="B33" s="369" t="s">
        <v>454</v>
      </c>
      <c r="C33" s="369"/>
      <c r="D33" s="369"/>
      <c r="E33" s="369"/>
      <c r="F33" s="369"/>
      <c r="G33" s="369"/>
      <c r="H33" s="369"/>
      <c r="I33" s="369"/>
      <c r="J33" s="7"/>
      <c r="K33" s="7"/>
      <c r="L33" s="7"/>
      <c r="M33" s="7"/>
      <c r="N33" s="8"/>
    </row>
    <row r="34" spans="1:14" ht="28.2" x14ac:dyDescent="0.3">
      <c r="A34" s="7"/>
      <c r="B34" s="172" t="s">
        <v>37</v>
      </c>
      <c r="C34" s="176" t="s">
        <v>270</v>
      </c>
      <c r="D34" s="176" t="s">
        <v>264</v>
      </c>
      <c r="E34" s="176" t="s">
        <v>265</v>
      </c>
      <c r="F34" s="176" t="s">
        <v>266</v>
      </c>
      <c r="G34" s="176" t="s">
        <v>267</v>
      </c>
      <c r="H34" s="176" t="s">
        <v>268</v>
      </c>
      <c r="I34" s="176" t="s">
        <v>269</v>
      </c>
      <c r="J34" s="7"/>
      <c r="K34" s="7"/>
      <c r="L34" s="7"/>
      <c r="M34" s="7"/>
      <c r="N34" s="8"/>
    </row>
    <row r="35" spans="1:14" x14ac:dyDescent="0.3">
      <c r="A35" s="7"/>
      <c r="B35" s="159">
        <v>2013</v>
      </c>
      <c r="C35" s="174">
        <f t="shared" ref="C35:C41" si="0">C17</f>
        <v>3.1909999999999998</v>
      </c>
      <c r="D35" s="174">
        <f t="shared" ref="D35:I35" si="1">D17</f>
        <v>1.675</v>
      </c>
      <c r="E35" s="174">
        <f t="shared" si="1"/>
        <v>1.3520000000000001</v>
      </c>
      <c r="F35" s="174">
        <f t="shared" si="1"/>
        <v>1.1970000000000001</v>
      </c>
      <c r="G35" s="174">
        <f t="shared" si="1"/>
        <v>1.1220000000000001</v>
      </c>
      <c r="H35" s="174">
        <f t="shared" si="1"/>
        <v>1.091</v>
      </c>
      <c r="I35" s="174">
        <f t="shared" si="1"/>
        <v>1.0629999999999999</v>
      </c>
      <c r="J35" s="7"/>
      <c r="K35" s="7"/>
      <c r="L35" s="7"/>
      <c r="M35" s="7"/>
      <c r="N35" s="8"/>
    </row>
    <row r="36" spans="1:14" x14ac:dyDescent="0.3">
      <c r="A36" s="7"/>
      <c r="B36" s="159">
        <v>2014</v>
      </c>
      <c r="C36" s="174">
        <f t="shared" si="0"/>
        <v>3.0579999999999998</v>
      </c>
      <c r="D36" s="174">
        <f>D18</f>
        <v>1.673</v>
      </c>
      <c r="E36" s="174">
        <f>E18</f>
        <v>1.3049999999999999</v>
      </c>
      <c r="F36" s="174">
        <f>F18</f>
        <v>1.2010000000000001</v>
      </c>
      <c r="G36" s="174">
        <f>G18</f>
        <v>1.141</v>
      </c>
      <c r="H36" s="174">
        <f>H18</f>
        <v>1.0940000000000001</v>
      </c>
      <c r="I36" s="174"/>
      <c r="J36" s="7"/>
      <c r="K36" s="7"/>
      <c r="L36" s="7"/>
      <c r="M36" s="7"/>
      <c r="N36" s="8"/>
    </row>
    <row r="37" spans="1:14" x14ac:dyDescent="0.3">
      <c r="A37" s="7"/>
      <c r="B37" s="159">
        <v>2015</v>
      </c>
      <c r="C37" s="174">
        <f t="shared" si="0"/>
        <v>2.8460000000000001</v>
      </c>
      <c r="D37" s="174">
        <f>D19</f>
        <v>1.6910000000000001</v>
      </c>
      <c r="E37" s="174">
        <f>E19</f>
        <v>1.3340000000000001</v>
      </c>
      <c r="F37" s="174">
        <f>F19</f>
        <v>1.218</v>
      </c>
      <c r="G37" s="174">
        <f>G19</f>
        <v>1.131</v>
      </c>
      <c r="H37" s="174"/>
      <c r="I37" s="174"/>
      <c r="J37" s="7"/>
      <c r="K37" s="7"/>
      <c r="L37" s="7"/>
      <c r="M37" s="7"/>
      <c r="N37" s="8"/>
    </row>
    <row r="38" spans="1:14" x14ac:dyDescent="0.3">
      <c r="A38" s="7"/>
      <c r="B38" s="159">
        <v>2016</v>
      </c>
      <c r="C38" s="174">
        <f t="shared" si="0"/>
        <v>2.8580000000000001</v>
      </c>
      <c r="D38" s="174">
        <f>D20</f>
        <v>1.7</v>
      </c>
      <c r="E38" s="174">
        <f>E20</f>
        <v>1.321</v>
      </c>
      <c r="F38" s="174">
        <f>F20</f>
        <v>1.198</v>
      </c>
      <c r="G38" s="174"/>
      <c r="H38" s="174"/>
      <c r="I38" s="174"/>
      <c r="J38" s="7"/>
      <c r="K38" s="7"/>
      <c r="L38" s="7"/>
      <c r="M38" s="7"/>
      <c r="N38" s="8"/>
    </row>
    <row r="39" spans="1:14" x14ac:dyDescent="0.3">
      <c r="A39" s="7"/>
      <c r="B39" s="159">
        <v>2017</v>
      </c>
      <c r="C39" s="174">
        <f t="shared" si="0"/>
        <v>2.7269999999999999</v>
      </c>
      <c r="D39" s="188">
        <f>(E11-E25/1000)/D11</f>
        <v>1.7259259259259259</v>
      </c>
      <c r="E39" s="188">
        <f>(F11-E25/1000)/(E11-E25/1000)</f>
        <v>1.3315450643776825</v>
      </c>
      <c r="F39" s="174"/>
      <c r="G39" s="174"/>
      <c r="H39" s="174"/>
      <c r="I39" s="174"/>
      <c r="J39" s="7"/>
      <c r="K39" s="7"/>
      <c r="L39" s="7"/>
      <c r="M39" s="7"/>
      <c r="N39" s="8"/>
    </row>
    <row r="40" spans="1:14" x14ac:dyDescent="0.3">
      <c r="A40" s="7"/>
      <c r="B40" s="159">
        <v>2018</v>
      </c>
      <c r="C40" s="174">
        <f t="shared" si="0"/>
        <v>2.7320000000000002</v>
      </c>
      <c r="D40" s="174">
        <f>D22</f>
        <v>1.7290000000000001</v>
      </c>
      <c r="E40" s="174"/>
      <c r="F40" s="174"/>
      <c r="G40" s="174"/>
      <c r="H40" s="174"/>
      <c r="I40" s="174"/>
      <c r="J40" s="7"/>
      <c r="K40" s="7"/>
      <c r="L40" s="7"/>
      <c r="M40" s="7"/>
      <c r="N40" s="8"/>
    </row>
    <row r="41" spans="1:14" x14ac:dyDescent="0.3">
      <c r="A41" s="7"/>
      <c r="B41" s="159">
        <v>2019</v>
      </c>
      <c r="C41" s="174">
        <f t="shared" si="0"/>
        <v>2.7160000000000002</v>
      </c>
      <c r="D41" s="174"/>
      <c r="E41" s="174"/>
      <c r="F41" s="174"/>
      <c r="G41" s="174"/>
      <c r="H41" s="174"/>
      <c r="I41" s="174"/>
      <c r="J41" s="7"/>
      <c r="K41" s="7"/>
      <c r="L41" s="7"/>
      <c r="M41" s="7"/>
      <c r="N41" s="8"/>
    </row>
    <row r="42" spans="1:14" x14ac:dyDescent="0.3">
      <c r="A42" s="7"/>
      <c r="B42" s="159"/>
      <c r="C42" s="177"/>
      <c r="D42" s="177"/>
      <c r="E42" s="177"/>
      <c r="F42" s="177"/>
      <c r="G42" s="177"/>
      <c r="H42" s="177"/>
      <c r="I42" s="177"/>
      <c r="J42" s="7"/>
      <c r="K42" s="7"/>
      <c r="L42" s="7"/>
      <c r="M42" s="7"/>
      <c r="N42" s="8"/>
    </row>
    <row r="43" spans="1:14" x14ac:dyDescent="0.3">
      <c r="A43" s="7"/>
      <c r="B43" s="179" t="s">
        <v>455</v>
      </c>
      <c r="C43" s="174">
        <f>AVERAGE(C35:C41)</f>
        <v>2.8754285714285714</v>
      </c>
      <c r="D43" s="174">
        <f t="shared" ref="D43:I43" si="2">AVERAGE(D35:D41)</f>
        <v>1.6989876543209874</v>
      </c>
      <c r="E43" s="174">
        <f t="shared" si="2"/>
        <v>1.3287090128755366</v>
      </c>
      <c r="F43" s="174">
        <f t="shared" si="2"/>
        <v>1.2035</v>
      </c>
      <c r="G43" s="174">
        <f t="shared" si="2"/>
        <v>1.1313333333333333</v>
      </c>
      <c r="H43" s="174">
        <f t="shared" si="2"/>
        <v>1.0925</v>
      </c>
      <c r="I43" s="174">
        <f t="shared" si="2"/>
        <v>1.0629999999999999</v>
      </c>
      <c r="J43" s="7"/>
      <c r="K43" s="7"/>
      <c r="L43" s="7"/>
      <c r="M43" s="7"/>
      <c r="N43" s="8"/>
    </row>
    <row r="44" spans="1:14" x14ac:dyDescent="0.3">
      <c r="A44" s="7"/>
      <c r="B44" s="179" t="s">
        <v>456</v>
      </c>
      <c r="C44" s="174">
        <f>AVERAGE(C36:C40)</f>
        <v>2.8441999999999998</v>
      </c>
      <c r="D44" s="174">
        <f>AVERAGE(D35,D37:D39)</f>
        <v>1.6979814814814813</v>
      </c>
      <c r="E44" s="174">
        <f>AVERAGE(E37:E39)</f>
        <v>1.3288483547925609</v>
      </c>
      <c r="F44" s="159"/>
      <c r="G44" s="159"/>
      <c r="H44" s="159"/>
      <c r="I44" s="159"/>
      <c r="J44" s="7"/>
      <c r="K44" s="7"/>
      <c r="L44" s="7"/>
      <c r="M44" s="7"/>
      <c r="N44" s="8"/>
    </row>
    <row r="45" spans="1:14" x14ac:dyDescent="0.3">
      <c r="A45" s="7"/>
      <c r="B45" s="179" t="s">
        <v>457</v>
      </c>
      <c r="C45" s="174">
        <f>SUM(D7:D13)/SUM(C7:C13)</f>
        <v>2.8612585291887793</v>
      </c>
      <c r="D45" s="188">
        <f>(SUM(E7:E12)-E25/1000)/SUM(D7:D12)</f>
        <v>1.6994689159637613</v>
      </c>
      <c r="E45" s="188">
        <f>(SUM(F7:F11)-E25/1000)/(SUM(E7:E11)-E25/1000)</f>
        <v>1.3287119856887299</v>
      </c>
      <c r="F45" s="174">
        <f>SUM(G7:G10)/SUM(F7:F10)</f>
        <v>1.2035737077217614</v>
      </c>
      <c r="G45" s="174">
        <f>SUM(H7:H9)/SUM(G7:G9)</f>
        <v>1.1310147689375893</v>
      </c>
      <c r="H45" s="174">
        <f>SUM(I7:I8)/SUM(H7:H8)</f>
        <v>1.0924155513065648</v>
      </c>
      <c r="I45" s="174"/>
      <c r="J45" s="7"/>
      <c r="K45" s="7"/>
      <c r="L45" s="7"/>
      <c r="M45" s="7"/>
      <c r="N45" s="8"/>
    </row>
    <row r="46" spans="1:14" x14ac:dyDescent="0.3">
      <c r="A46" s="7"/>
      <c r="B46" s="179" t="s">
        <v>458</v>
      </c>
      <c r="C46" s="174">
        <f>AVERAGE(C37:C41)</f>
        <v>2.7758000000000003</v>
      </c>
      <c r="D46" s="174">
        <f>AVERAGE(D36:D40)</f>
        <v>1.7037851851851855</v>
      </c>
      <c r="E46" s="174"/>
      <c r="F46" s="159"/>
      <c r="G46" s="159"/>
      <c r="H46" s="159"/>
      <c r="I46" s="159"/>
      <c r="J46" s="7"/>
      <c r="K46" s="7"/>
      <c r="L46" s="7"/>
      <c r="M46" s="7"/>
      <c r="N46" s="8"/>
    </row>
    <row r="47" spans="1:14" x14ac:dyDescent="0.3">
      <c r="A47" s="7"/>
      <c r="B47" s="180" t="s">
        <v>459</v>
      </c>
      <c r="C47" s="178">
        <f>AVERAGE(C39:C41)</f>
        <v>2.7250000000000001</v>
      </c>
      <c r="D47" s="178">
        <f>AVERAGE(D38:D40)</f>
        <v>1.7183086419753086</v>
      </c>
      <c r="E47" s="178">
        <f>AVERAGE(E37:E39)</f>
        <v>1.3288483547925609</v>
      </c>
      <c r="F47" s="178">
        <f>AVERAGE(F36:F38)</f>
        <v>1.2056666666666667</v>
      </c>
      <c r="G47" s="173"/>
      <c r="H47" s="173"/>
      <c r="I47" s="173"/>
      <c r="J47" s="7"/>
      <c r="K47" s="7"/>
      <c r="L47" s="7"/>
      <c r="M47" s="7"/>
      <c r="N47" s="8"/>
    </row>
    <row r="48" spans="1:14" x14ac:dyDescent="0.3">
      <c r="A48" s="7"/>
      <c r="B48" s="159" t="s">
        <v>433</v>
      </c>
      <c r="C48" s="174">
        <f>C47</f>
        <v>2.7250000000000001</v>
      </c>
      <c r="D48" s="174">
        <f t="shared" ref="D48:F48" si="3">D47</f>
        <v>1.7183086419753086</v>
      </c>
      <c r="E48" s="174">
        <f t="shared" si="3"/>
        <v>1.3288483547925609</v>
      </c>
      <c r="F48" s="174">
        <f t="shared" si="3"/>
        <v>1.2056666666666667</v>
      </c>
      <c r="G48" s="174">
        <f t="shared" ref="G48:H48" si="4">G43</f>
        <v>1.1313333333333333</v>
      </c>
      <c r="H48" s="174">
        <f t="shared" si="4"/>
        <v>1.0925</v>
      </c>
      <c r="I48" s="174">
        <f>I43</f>
        <v>1.0629999999999999</v>
      </c>
      <c r="J48" s="7"/>
      <c r="K48" s="7"/>
      <c r="L48" s="7"/>
      <c r="M48" s="7"/>
      <c r="N48" s="8"/>
    </row>
    <row r="49" spans="1:14" x14ac:dyDescent="0.3">
      <c r="A49" s="7"/>
      <c r="B49" s="7"/>
      <c r="C49" s="7"/>
      <c r="D49" s="7"/>
      <c r="E49" s="7"/>
      <c r="F49" s="7"/>
      <c r="G49" s="7"/>
      <c r="H49" s="7"/>
      <c r="I49" s="7"/>
      <c r="J49" s="7"/>
      <c r="K49" s="7"/>
      <c r="L49" s="7"/>
      <c r="M49" s="7"/>
      <c r="N49" s="8"/>
    </row>
    <row r="50" spans="1:14" x14ac:dyDescent="0.3">
      <c r="A50" s="7"/>
      <c r="B50" s="7" t="s">
        <v>460</v>
      </c>
      <c r="C50" s="7"/>
      <c r="D50" s="7"/>
      <c r="E50" s="7"/>
      <c r="F50" s="7"/>
      <c r="G50" s="7"/>
      <c r="H50" s="7"/>
      <c r="I50" s="7"/>
      <c r="J50" s="7"/>
      <c r="K50" s="7"/>
      <c r="L50" s="7"/>
      <c r="M50" s="7"/>
      <c r="N50" s="8"/>
    </row>
    <row r="51" spans="1:14" x14ac:dyDescent="0.3">
      <c r="M51" s="8"/>
      <c r="N51" s="8"/>
    </row>
    <row r="52" spans="1:14" x14ac:dyDescent="0.3">
      <c r="A52" s="13" t="s">
        <v>211</v>
      </c>
      <c r="B52" s="12"/>
      <c r="C52" s="12"/>
      <c r="D52" s="12"/>
      <c r="E52" s="12"/>
      <c r="F52" s="12"/>
      <c r="G52" s="12"/>
      <c r="H52" s="10"/>
      <c r="I52" s="10"/>
      <c r="J52" s="10"/>
      <c r="K52" s="10"/>
      <c r="L52" s="10"/>
      <c r="M52" s="8"/>
      <c r="N52" s="8"/>
    </row>
    <row r="53" spans="1:14" x14ac:dyDescent="0.3">
      <c r="A53" s="13"/>
      <c r="B53" s="12"/>
      <c r="C53" s="12"/>
      <c r="D53" s="12"/>
      <c r="E53" s="12"/>
      <c r="F53" s="12"/>
      <c r="G53" s="12"/>
      <c r="H53" s="10"/>
      <c r="I53" s="10"/>
      <c r="J53" s="10"/>
      <c r="K53" s="10"/>
      <c r="L53" s="10"/>
      <c r="M53" s="8"/>
      <c r="N53" s="8"/>
    </row>
    <row r="54" spans="1:14" ht="48" customHeight="1" x14ac:dyDescent="0.3">
      <c r="A54" s="13"/>
      <c r="B54" s="16" t="s">
        <v>37</v>
      </c>
      <c r="C54" s="342" t="s">
        <v>272</v>
      </c>
      <c r="D54" s="365"/>
      <c r="E54" s="332"/>
      <c r="F54" s="12"/>
      <c r="G54" s="12"/>
      <c r="H54" s="10"/>
      <c r="I54" s="10"/>
      <c r="J54" s="10"/>
      <c r="K54" s="10"/>
      <c r="L54" s="10"/>
      <c r="M54" s="8"/>
      <c r="N54" s="8"/>
    </row>
    <row r="55" spans="1:14" x14ac:dyDescent="0.3">
      <c r="A55" s="13"/>
      <c r="B55" s="29">
        <v>2013</v>
      </c>
      <c r="C55" s="366">
        <v>1975</v>
      </c>
      <c r="D55" s="367"/>
      <c r="E55" s="368"/>
      <c r="F55" s="12"/>
      <c r="G55" s="12"/>
      <c r="H55" s="10"/>
      <c r="I55" s="10"/>
      <c r="J55" s="10"/>
      <c r="K55" s="10"/>
      <c r="L55" s="10"/>
      <c r="M55" s="8"/>
      <c r="N55" s="8"/>
    </row>
    <row r="56" spans="1:14" x14ac:dyDescent="0.3">
      <c r="A56" s="13"/>
      <c r="B56" s="29">
        <v>2014</v>
      </c>
      <c r="C56" s="366">
        <v>1974</v>
      </c>
      <c r="D56" s="367"/>
      <c r="E56" s="368"/>
      <c r="F56" s="12"/>
      <c r="G56" s="12"/>
      <c r="H56" s="10"/>
      <c r="I56" s="10"/>
      <c r="J56" s="10"/>
      <c r="K56" s="10"/>
      <c r="L56" s="10"/>
      <c r="M56" s="8"/>
      <c r="N56" s="8"/>
    </row>
    <row r="57" spans="1:14" x14ac:dyDescent="0.3">
      <c r="A57" s="13"/>
      <c r="B57" s="29">
        <v>2015</v>
      </c>
      <c r="C57" s="366">
        <v>2032</v>
      </c>
      <c r="D57" s="367"/>
      <c r="E57" s="368"/>
      <c r="F57" s="12"/>
      <c r="G57" s="12"/>
      <c r="H57" s="10"/>
      <c r="I57" s="10"/>
      <c r="J57" s="10"/>
      <c r="K57" s="10"/>
      <c r="L57" s="10"/>
      <c r="M57" s="8"/>
      <c r="N57" s="8"/>
    </row>
    <row r="58" spans="1:14" x14ac:dyDescent="0.3">
      <c r="A58" s="13"/>
      <c r="B58" s="29">
        <v>2016</v>
      </c>
      <c r="C58" s="366">
        <v>2078</v>
      </c>
      <c r="D58" s="367"/>
      <c r="E58" s="368"/>
      <c r="F58" s="12"/>
      <c r="G58" s="12"/>
      <c r="H58" s="10"/>
      <c r="I58" s="10"/>
      <c r="J58" s="10"/>
      <c r="K58" s="10"/>
      <c r="L58" s="10"/>
      <c r="M58" s="8"/>
      <c r="N58" s="8"/>
    </row>
    <row r="59" spans="1:14" x14ac:dyDescent="0.3">
      <c r="A59" s="13"/>
      <c r="B59" s="29">
        <v>2017</v>
      </c>
      <c r="C59" s="366">
        <v>2234</v>
      </c>
      <c r="D59" s="367"/>
      <c r="E59" s="368"/>
      <c r="F59" s="12"/>
      <c r="G59" s="12"/>
      <c r="H59" s="10"/>
      <c r="I59" s="10"/>
      <c r="J59" s="10"/>
      <c r="K59" s="10"/>
      <c r="L59" s="10"/>
      <c r="M59" s="8"/>
      <c r="N59" s="8"/>
    </row>
    <row r="60" spans="1:14" x14ac:dyDescent="0.3">
      <c r="A60" s="13"/>
      <c r="B60" s="29">
        <v>2018</v>
      </c>
      <c r="C60" s="366">
        <v>2216</v>
      </c>
      <c r="D60" s="367"/>
      <c r="E60" s="368"/>
      <c r="F60" s="12"/>
      <c r="G60" s="12"/>
      <c r="H60" s="10"/>
      <c r="I60" s="10"/>
      <c r="J60" s="10"/>
      <c r="K60" s="10"/>
      <c r="L60" s="10"/>
      <c r="M60" s="8"/>
      <c r="N60" s="8"/>
    </row>
    <row r="61" spans="1:14" x14ac:dyDescent="0.3">
      <c r="A61" s="13"/>
      <c r="B61" s="29">
        <v>2019</v>
      </c>
      <c r="C61" s="366">
        <v>2261</v>
      </c>
      <c r="D61" s="367"/>
      <c r="E61" s="368"/>
      <c r="F61" s="12"/>
      <c r="G61" s="12"/>
      <c r="H61" s="10"/>
      <c r="I61" s="10"/>
      <c r="J61" s="10"/>
      <c r="K61" s="10"/>
      <c r="L61" s="10"/>
      <c r="M61" s="8"/>
      <c r="N61" s="8"/>
    </row>
    <row r="62" spans="1:14" x14ac:dyDescent="0.3">
      <c r="A62" s="13"/>
      <c r="B62" s="29">
        <v>2020</v>
      </c>
      <c r="C62" s="366">
        <v>2295</v>
      </c>
      <c r="D62" s="367"/>
      <c r="E62" s="368"/>
      <c r="F62" s="12"/>
      <c r="G62" s="12"/>
      <c r="H62" s="10"/>
      <c r="I62" s="10"/>
      <c r="J62" s="10"/>
      <c r="K62" s="10"/>
      <c r="L62" s="10"/>
      <c r="M62" s="8"/>
      <c r="N62" s="8"/>
    </row>
    <row r="63" spans="1:14" x14ac:dyDescent="0.3">
      <c r="A63" s="13"/>
      <c r="B63" s="27" t="s">
        <v>31</v>
      </c>
      <c r="C63" s="370">
        <v>17065</v>
      </c>
      <c r="D63" s="371"/>
      <c r="E63" s="372"/>
      <c r="F63" s="12"/>
      <c r="G63" s="12"/>
      <c r="H63" s="10"/>
      <c r="I63" s="10"/>
      <c r="J63" s="10"/>
      <c r="K63" s="10"/>
      <c r="L63" s="10"/>
      <c r="M63" s="8"/>
      <c r="N63" s="8"/>
    </row>
    <row r="64" spans="1:14" x14ac:dyDescent="0.3">
      <c r="A64" s="13"/>
      <c r="B64" s="12"/>
      <c r="C64" s="12"/>
      <c r="D64" s="12"/>
      <c r="E64" s="12"/>
      <c r="F64" s="12"/>
      <c r="G64" s="12"/>
      <c r="H64" s="10"/>
      <c r="I64" s="10"/>
      <c r="J64" s="10"/>
      <c r="K64" s="10"/>
      <c r="L64" s="10"/>
      <c r="M64" s="8"/>
      <c r="N64" s="8"/>
    </row>
    <row r="66" spans="1:12" x14ac:dyDescent="0.3">
      <c r="A66" s="6" t="s">
        <v>5</v>
      </c>
      <c r="B66" s="4" t="s">
        <v>273</v>
      </c>
      <c r="C66" s="4"/>
      <c r="D66" s="4"/>
      <c r="E66" s="4"/>
      <c r="F66" s="4"/>
      <c r="G66" s="4"/>
      <c r="H66" s="4"/>
      <c r="I66" s="4"/>
      <c r="J66" s="4"/>
      <c r="K66" s="4"/>
      <c r="L66" s="4"/>
    </row>
    <row r="67" spans="1:12" x14ac:dyDescent="0.3">
      <c r="A67" s="3"/>
      <c r="B67" s="3"/>
      <c r="C67" s="3"/>
      <c r="D67" s="3"/>
      <c r="E67" s="3"/>
      <c r="F67" s="3"/>
      <c r="G67" s="4"/>
      <c r="H67" s="4"/>
      <c r="I67" s="4"/>
      <c r="J67" s="4"/>
      <c r="K67" s="4"/>
      <c r="L67" s="4"/>
    </row>
    <row r="68" spans="1:12" x14ac:dyDescent="0.3">
      <c r="A68" s="7"/>
      <c r="B68" s="7"/>
      <c r="C68" s="7"/>
      <c r="D68" s="7"/>
      <c r="E68" s="7"/>
      <c r="F68" s="7"/>
      <c r="G68" s="7"/>
      <c r="H68" s="7"/>
      <c r="I68" s="7"/>
      <c r="J68" s="7"/>
      <c r="K68" s="7"/>
      <c r="L68" s="7"/>
    </row>
    <row r="69" spans="1:12" x14ac:dyDescent="0.3">
      <c r="A69" s="7" t="s">
        <v>1</v>
      </c>
      <c r="B69" s="7"/>
      <c r="C69" s="7"/>
      <c r="D69" s="7"/>
      <c r="E69" s="7"/>
      <c r="F69" s="7"/>
      <c r="G69" s="7"/>
      <c r="H69" s="7"/>
      <c r="I69" s="7"/>
      <c r="J69" s="7"/>
      <c r="K69" s="7"/>
      <c r="L69" s="7"/>
    </row>
    <row r="70" spans="1:12" x14ac:dyDescent="0.3">
      <c r="A70" s="7"/>
      <c r="B70" s="159"/>
      <c r="C70" s="159"/>
      <c r="D70" s="159"/>
      <c r="E70" s="364" t="s">
        <v>466</v>
      </c>
      <c r="F70" s="364"/>
      <c r="G70" s="364" t="s">
        <v>461</v>
      </c>
      <c r="H70" s="364"/>
      <c r="I70" s="159"/>
      <c r="J70" s="7"/>
      <c r="K70" s="7"/>
      <c r="L70" s="7"/>
    </row>
    <row r="71" spans="1:12" ht="69.599999999999994" x14ac:dyDescent="0.3">
      <c r="A71" s="7"/>
      <c r="B71" s="172" t="s">
        <v>37</v>
      </c>
      <c r="C71" s="172" t="s">
        <v>462</v>
      </c>
      <c r="D71" s="173" t="s">
        <v>463</v>
      </c>
      <c r="E71" s="176" t="s">
        <v>268</v>
      </c>
      <c r="F71" s="176" t="s">
        <v>269</v>
      </c>
      <c r="G71" s="173">
        <v>96</v>
      </c>
      <c r="H71" s="172" t="s">
        <v>464</v>
      </c>
      <c r="I71" s="172" t="s">
        <v>465</v>
      </c>
      <c r="J71" s="7"/>
      <c r="K71" s="7"/>
      <c r="L71" s="7"/>
    </row>
    <row r="72" spans="1:12" x14ac:dyDescent="0.3">
      <c r="A72" s="7"/>
      <c r="B72" s="159">
        <f>B7</f>
        <v>2013</v>
      </c>
      <c r="C72" s="181">
        <f>J7</f>
        <v>1824</v>
      </c>
      <c r="D72" s="159">
        <v>96</v>
      </c>
      <c r="E72" s="159"/>
      <c r="F72" s="159"/>
      <c r="G72" s="181">
        <f>C72</f>
        <v>1824</v>
      </c>
      <c r="H72" s="181">
        <f>C55</f>
        <v>1975</v>
      </c>
      <c r="I72" s="174">
        <f>H72/G72</f>
        <v>1.0827850877192982</v>
      </c>
      <c r="J72" s="7"/>
      <c r="K72" s="7"/>
      <c r="L72" s="7"/>
    </row>
    <row r="73" spans="1:12" x14ac:dyDescent="0.3">
      <c r="A73" s="7"/>
      <c r="B73" s="159">
        <f t="shared" ref="B73:B74" si="5">B8</f>
        <v>2014</v>
      </c>
      <c r="C73" s="181">
        <f>I8</f>
        <v>1712</v>
      </c>
      <c r="D73" s="159">
        <v>84</v>
      </c>
      <c r="E73" s="159"/>
      <c r="F73" s="174">
        <f>F74</f>
        <v>1.0629999999999999</v>
      </c>
      <c r="G73" s="181">
        <f>C73*F73</f>
        <v>1819.856</v>
      </c>
      <c r="H73" s="181">
        <f>C56</f>
        <v>1974</v>
      </c>
      <c r="I73" s="174">
        <f>H73/G73</f>
        <v>1.0847012071284761</v>
      </c>
      <c r="J73" s="7"/>
      <c r="K73" s="7"/>
      <c r="L73" s="7"/>
    </row>
    <row r="74" spans="1:12" x14ac:dyDescent="0.3">
      <c r="A74" s="7"/>
      <c r="B74" s="159">
        <f t="shared" si="5"/>
        <v>2015</v>
      </c>
      <c r="C74" s="181">
        <f>H9</f>
        <v>1610</v>
      </c>
      <c r="D74" s="159">
        <v>72</v>
      </c>
      <c r="E74" s="174">
        <f>H48</f>
        <v>1.0925</v>
      </c>
      <c r="F74" s="174">
        <f>I48</f>
        <v>1.0629999999999999</v>
      </c>
      <c r="G74" s="181">
        <f>C74*E74*F74</f>
        <v>1869.737275</v>
      </c>
      <c r="H74" s="181">
        <f>C57</f>
        <v>2032</v>
      </c>
      <c r="I74" s="174">
        <f>H74/G74</f>
        <v>1.0867837033414227</v>
      </c>
      <c r="J74" s="7"/>
      <c r="K74" s="7"/>
      <c r="L74" s="7"/>
    </row>
    <row r="76" spans="1:12" x14ac:dyDescent="0.3">
      <c r="A76" s="13" t="s">
        <v>274</v>
      </c>
      <c r="B76" s="12"/>
      <c r="C76" s="12"/>
      <c r="D76" s="12"/>
      <c r="E76" s="12"/>
      <c r="F76" s="12"/>
      <c r="G76" s="12"/>
      <c r="H76" s="10"/>
      <c r="I76" s="10"/>
      <c r="J76" s="10"/>
      <c r="K76" s="10"/>
      <c r="L76" s="10"/>
    </row>
    <row r="77" spans="1:12" x14ac:dyDescent="0.3">
      <c r="A77" s="13"/>
      <c r="B77" s="12"/>
      <c r="C77" s="12"/>
      <c r="D77" s="12"/>
      <c r="E77" s="12"/>
      <c r="F77" s="12"/>
      <c r="G77" s="12"/>
      <c r="H77" s="10"/>
      <c r="I77" s="10"/>
      <c r="J77" s="10"/>
      <c r="K77" s="10"/>
      <c r="L77" s="10"/>
    </row>
    <row r="79" spans="1:12" x14ac:dyDescent="0.3">
      <c r="A79" s="6" t="s">
        <v>0</v>
      </c>
      <c r="B79" s="4" t="s">
        <v>275</v>
      </c>
      <c r="C79" s="4"/>
      <c r="D79" s="4"/>
      <c r="E79" s="4"/>
      <c r="F79" s="4"/>
      <c r="G79" s="4"/>
      <c r="H79" s="4"/>
      <c r="I79" s="4"/>
      <c r="J79" s="4"/>
      <c r="K79" s="4"/>
      <c r="L79" s="4"/>
    </row>
    <row r="80" spans="1:12" x14ac:dyDescent="0.3">
      <c r="A80" s="3"/>
      <c r="B80" s="3"/>
      <c r="C80" s="3"/>
      <c r="D80" s="3"/>
      <c r="E80" s="3"/>
      <c r="F80" s="3"/>
      <c r="G80" s="4"/>
      <c r="H80" s="4"/>
      <c r="I80" s="4"/>
      <c r="J80" s="4"/>
      <c r="K80" s="4"/>
      <c r="L80" s="4"/>
    </row>
    <row r="81" spans="1:12" x14ac:dyDescent="0.3">
      <c r="A81" s="7"/>
      <c r="B81" s="7"/>
      <c r="C81" s="7"/>
      <c r="D81" s="7"/>
      <c r="E81" s="7"/>
      <c r="F81" s="7"/>
      <c r="G81" s="7"/>
      <c r="H81" s="7"/>
      <c r="I81" s="7"/>
      <c r="J81" s="7"/>
      <c r="K81" s="7"/>
      <c r="L81" s="7"/>
    </row>
    <row r="82" spans="1:12" x14ac:dyDescent="0.3">
      <c r="A82" s="7" t="s">
        <v>1</v>
      </c>
      <c r="B82" s="7"/>
      <c r="C82" s="7"/>
      <c r="D82" s="7"/>
      <c r="E82" s="7"/>
      <c r="F82" s="7"/>
      <c r="G82" s="7"/>
      <c r="H82" s="7"/>
      <c r="I82" s="7"/>
      <c r="J82" s="7"/>
      <c r="K82" s="7"/>
      <c r="L82" s="7"/>
    </row>
    <row r="83" spans="1:12" ht="55.8" x14ac:dyDescent="0.3">
      <c r="A83" s="7"/>
      <c r="B83" s="172" t="s">
        <v>37</v>
      </c>
      <c r="C83" s="172" t="s">
        <v>462</v>
      </c>
      <c r="D83" s="172" t="s">
        <v>467</v>
      </c>
      <c r="E83" s="172" t="s">
        <v>468</v>
      </c>
      <c r="F83" s="172" t="s">
        <v>49</v>
      </c>
      <c r="G83" s="7"/>
      <c r="H83" s="7"/>
      <c r="I83" s="7"/>
      <c r="J83" s="7"/>
      <c r="K83" s="7"/>
      <c r="L83" s="7"/>
    </row>
    <row r="84" spans="1:12" x14ac:dyDescent="0.3">
      <c r="A84" s="7"/>
      <c r="B84" s="159">
        <f t="shared" ref="B84:B89" si="6">B85-1</f>
        <v>2013</v>
      </c>
      <c r="C84" s="181">
        <f>J7</f>
        <v>1824</v>
      </c>
      <c r="D84" s="181">
        <f>C84</f>
        <v>1824</v>
      </c>
      <c r="E84" s="174">
        <v>1.0720000000000001</v>
      </c>
      <c r="F84" s="181">
        <f>D84*E84</f>
        <v>1955.3280000000002</v>
      </c>
      <c r="G84" s="7"/>
      <c r="H84" s="7"/>
      <c r="I84" s="7"/>
      <c r="J84" s="7"/>
      <c r="K84" s="7"/>
      <c r="L84" s="7"/>
    </row>
    <row r="85" spans="1:12" x14ac:dyDescent="0.3">
      <c r="A85" s="7"/>
      <c r="B85" s="159">
        <f t="shared" si="6"/>
        <v>2014</v>
      </c>
      <c r="C85" s="181">
        <f>I8</f>
        <v>1712</v>
      </c>
      <c r="D85" s="181">
        <f t="shared" ref="D85:D91" si="7">C85</f>
        <v>1712</v>
      </c>
      <c r="E85" s="174">
        <f>E84*I48</f>
        <v>1.1395360000000001</v>
      </c>
      <c r="F85" s="181">
        <f t="shared" ref="F85:F91" si="8">D85*E85</f>
        <v>1950.8856320000002</v>
      </c>
      <c r="G85" s="7"/>
      <c r="H85" s="7"/>
      <c r="I85" s="7"/>
      <c r="J85" s="7"/>
      <c r="K85" s="7"/>
      <c r="L85" s="7"/>
    </row>
    <row r="86" spans="1:12" x14ac:dyDescent="0.3">
      <c r="A86" s="7"/>
      <c r="B86" s="159">
        <f t="shared" si="6"/>
        <v>2015</v>
      </c>
      <c r="C86" s="181">
        <f>H9</f>
        <v>1610</v>
      </c>
      <c r="D86" s="181">
        <f t="shared" si="7"/>
        <v>1610</v>
      </c>
      <c r="E86" s="174">
        <f>E85*H48</f>
        <v>1.2449430800000001</v>
      </c>
      <c r="F86" s="181">
        <f t="shared" si="8"/>
        <v>2004.3583588000001</v>
      </c>
      <c r="G86" s="7"/>
      <c r="H86" s="7"/>
      <c r="I86" s="7"/>
      <c r="J86" s="7"/>
      <c r="K86" s="7"/>
      <c r="L86" s="7"/>
    </row>
    <row r="87" spans="1:12" x14ac:dyDescent="0.3">
      <c r="A87" s="7"/>
      <c r="B87" s="159">
        <f t="shared" si="6"/>
        <v>2016</v>
      </c>
      <c r="C87" s="181">
        <f>G10</f>
        <v>1460</v>
      </c>
      <c r="D87" s="181">
        <f t="shared" si="7"/>
        <v>1460</v>
      </c>
      <c r="E87" s="174">
        <f>E86*G48</f>
        <v>1.4084456045066667</v>
      </c>
      <c r="F87" s="181">
        <f t="shared" si="8"/>
        <v>2056.3305825797333</v>
      </c>
      <c r="G87" s="7"/>
      <c r="H87" s="7"/>
      <c r="I87" s="7"/>
      <c r="J87" s="7"/>
      <c r="K87" s="7"/>
      <c r="L87" s="7"/>
    </row>
    <row r="88" spans="1:12" x14ac:dyDescent="0.3">
      <c r="A88" s="7"/>
      <c r="B88" s="159">
        <f t="shared" si="6"/>
        <v>2017</v>
      </c>
      <c r="C88" s="181">
        <f>F11</f>
        <v>1391</v>
      </c>
      <c r="D88" s="182">
        <f>C88-E25/1000</f>
        <v>1241</v>
      </c>
      <c r="E88" s="174">
        <f>E87*F48</f>
        <v>1.6981159171668712</v>
      </c>
      <c r="F88" s="182">
        <f>D88*E88+E25/1000</f>
        <v>2257.3618532040873</v>
      </c>
      <c r="G88" s="7"/>
      <c r="H88" s="7"/>
      <c r="I88" s="7"/>
      <c r="J88" s="7"/>
      <c r="K88" s="7"/>
      <c r="L88" s="7"/>
    </row>
    <row r="89" spans="1:12" x14ac:dyDescent="0.3">
      <c r="A89" s="7"/>
      <c r="B89" s="159">
        <f t="shared" si="6"/>
        <v>2018</v>
      </c>
      <c r="C89" s="181">
        <f>E12</f>
        <v>968</v>
      </c>
      <c r="D89" s="181">
        <f t="shared" si="7"/>
        <v>968</v>
      </c>
      <c r="E89" s="174">
        <f>E88*E48</f>
        <v>2.2565385427742575</v>
      </c>
      <c r="F89" s="181">
        <f t="shared" si="8"/>
        <v>2184.3293094054811</v>
      </c>
      <c r="G89" s="7"/>
      <c r="H89" s="7"/>
      <c r="I89" s="7"/>
      <c r="J89" s="7"/>
      <c r="K89" s="7"/>
      <c r="L89" s="7"/>
    </row>
    <row r="90" spans="1:12" x14ac:dyDescent="0.3">
      <c r="A90" s="7"/>
      <c r="B90" s="159">
        <f>B91-1</f>
        <v>2019</v>
      </c>
      <c r="C90" s="181">
        <f>D13</f>
        <v>573</v>
      </c>
      <c r="D90" s="181">
        <f t="shared" si="7"/>
        <v>573</v>
      </c>
      <c r="E90" s="174">
        <f>E89*D48</f>
        <v>3.8774296789993761</v>
      </c>
      <c r="F90" s="181">
        <f t="shared" si="8"/>
        <v>2221.7672060666423</v>
      </c>
      <c r="G90" s="7"/>
      <c r="H90" s="7"/>
      <c r="I90" s="7"/>
      <c r="J90" s="7"/>
      <c r="K90" s="7"/>
      <c r="L90" s="7"/>
    </row>
    <row r="91" spans="1:12" x14ac:dyDescent="0.3">
      <c r="B91" s="173">
        <v>2020</v>
      </c>
      <c r="C91" s="183">
        <f>C14</f>
        <v>224</v>
      </c>
      <c r="D91" s="183">
        <f t="shared" si="7"/>
        <v>224</v>
      </c>
      <c r="E91" s="178">
        <f>E90*C48</f>
        <v>10.5659958752733</v>
      </c>
      <c r="F91" s="183">
        <f t="shared" si="8"/>
        <v>2366.7830760612192</v>
      </c>
    </row>
    <row r="92" spans="1:12" x14ac:dyDescent="0.3">
      <c r="B92" s="159" t="s">
        <v>31</v>
      </c>
      <c r="C92" s="181">
        <f>SUM(C84:C91)</f>
        <v>9762</v>
      </c>
      <c r="D92" s="181">
        <f>SUM(D84:D91)</f>
        <v>9612</v>
      </c>
      <c r="E92" s="184"/>
      <c r="F92" s="181">
        <f t="shared" ref="F92" si="9">SUM(F84:F91)</f>
        <v>16997.144018117164</v>
      </c>
    </row>
    <row r="94" spans="1:12" x14ac:dyDescent="0.3">
      <c r="A94" s="13" t="s">
        <v>276</v>
      </c>
      <c r="B94" s="12"/>
      <c r="C94" s="12"/>
      <c r="D94" s="12"/>
      <c r="E94" s="12"/>
      <c r="F94" s="12"/>
      <c r="G94" s="12"/>
      <c r="H94" s="10"/>
      <c r="I94" s="10"/>
      <c r="J94" s="10"/>
      <c r="K94" s="10"/>
      <c r="L94" s="10"/>
    </row>
    <row r="95" spans="1:12" x14ac:dyDescent="0.3">
      <c r="A95" s="13"/>
      <c r="B95" s="12"/>
      <c r="C95" s="12"/>
      <c r="D95" s="12"/>
      <c r="E95" s="12"/>
      <c r="F95" s="12"/>
      <c r="G95" s="12"/>
      <c r="H95" s="10"/>
      <c r="I95" s="10"/>
      <c r="J95" s="10"/>
      <c r="K95" s="10"/>
      <c r="L95" s="10"/>
    </row>
    <row r="96" spans="1:12" x14ac:dyDescent="0.3">
      <c r="A96" s="13" t="s">
        <v>277</v>
      </c>
      <c r="B96" s="12"/>
      <c r="C96" s="12"/>
      <c r="D96" s="12"/>
      <c r="E96" s="12"/>
      <c r="F96" s="12"/>
      <c r="G96" s="12"/>
      <c r="H96" s="10"/>
      <c r="I96" s="10"/>
      <c r="J96" s="10"/>
      <c r="K96" s="10"/>
      <c r="L96" s="10"/>
    </row>
    <row r="97" spans="1:13" x14ac:dyDescent="0.3">
      <c r="A97" s="13"/>
      <c r="B97" s="12" t="s">
        <v>278</v>
      </c>
      <c r="C97" s="12"/>
      <c r="D97" s="12"/>
      <c r="E97" s="12"/>
      <c r="F97" s="12"/>
      <c r="G97" s="12"/>
      <c r="H97" s="10"/>
      <c r="I97" s="10"/>
      <c r="J97" s="10"/>
      <c r="K97" s="10"/>
      <c r="L97" s="10"/>
    </row>
    <row r="98" spans="1:13" x14ac:dyDescent="0.3">
      <c r="A98" s="13" t="s">
        <v>354</v>
      </c>
      <c r="B98" s="12"/>
      <c r="C98" s="12"/>
      <c r="D98" s="12"/>
      <c r="E98" s="12"/>
      <c r="F98" s="109">
        <v>14660000</v>
      </c>
      <c r="G98" s="12"/>
      <c r="H98" s="10"/>
      <c r="I98" s="10"/>
      <c r="J98" s="10"/>
      <c r="K98" s="10"/>
      <c r="L98" s="10"/>
    </row>
    <row r="99" spans="1:13" x14ac:dyDescent="0.3">
      <c r="A99" s="13" t="s">
        <v>355</v>
      </c>
      <c r="B99" s="12"/>
      <c r="C99" s="12"/>
      <c r="D99" s="12"/>
      <c r="E99" s="12"/>
      <c r="F99" s="12"/>
      <c r="G99" s="12"/>
      <c r="H99" s="10"/>
      <c r="I99" s="10"/>
      <c r="J99" s="89">
        <v>0.08</v>
      </c>
      <c r="K99" s="10"/>
      <c r="L99" s="10"/>
    </row>
    <row r="100" spans="1:13" x14ac:dyDescent="0.3">
      <c r="A100" s="13"/>
      <c r="B100" s="12"/>
      <c r="C100" s="12"/>
      <c r="D100" s="12"/>
      <c r="E100" s="12"/>
      <c r="F100" s="12"/>
      <c r="G100" s="12"/>
      <c r="H100" s="10"/>
      <c r="I100" s="10"/>
      <c r="J100" s="10"/>
      <c r="K100" s="10"/>
      <c r="L100" s="10"/>
    </row>
    <row r="102" spans="1:13" x14ac:dyDescent="0.3">
      <c r="A102" s="6" t="s">
        <v>2</v>
      </c>
      <c r="B102" s="4" t="s">
        <v>279</v>
      </c>
      <c r="C102" s="4"/>
      <c r="D102" s="4"/>
      <c r="E102" s="4"/>
      <c r="F102" s="4"/>
      <c r="G102" s="4"/>
      <c r="H102" s="4"/>
      <c r="I102" s="4"/>
      <c r="J102" s="4"/>
      <c r="K102" s="4"/>
      <c r="L102" s="4"/>
    </row>
    <row r="103" spans="1:13" x14ac:dyDescent="0.3">
      <c r="A103" s="3"/>
      <c r="B103" s="3"/>
      <c r="C103" s="3"/>
      <c r="D103" s="3"/>
      <c r="E103" s="3"/>
      <c r="F103" s="3"/>
      <c r="G103" s="4"/>
      <c r="H103" s="4"/>
      <c r="I103" s="4"/>
      <c r="J103" s="4"/>
      <c r="K103" s="4"/>
      <c r="L103" s="4"/>
    </row>
    <row r="104" spans="1:13" x14ac:dyDescent="0.3">
      <c r="A104" s="7"/>
      <c r="B104" s="7"/>
      <c r="C104" s="7"/>
      <c r="D104" s="7"/>
      <c r="E104" s="7"/>
      <c r="F104" s="7"/>
      <c r="G104" s="7"/>
      <c r="H104" s="7"/>
      <c r="I104" s="7"/>
      <c r="J104" s="7"/>
      <c r="K104" s="7"/>
      <c r="L104" s="7"/>
    </row>
    <row r="105" spans="1:13" x14ac:dyDescent="0.3">
      <c r="A105" s="7" t="s">
        <v>1</v>
      </c>
      <c r="B105" s="7"/>
      <c r="C105" s="7"/>
      <c r="D105" s="7"/>
      <c r="E105" s="7"/>
      <c r="F105" s="7"/>
      <c r="G105" s="7"/>
      <c r="H105" s="7"/>
      <c r="I105" s="7"/>
      <c r="J105" s="7"/>
      <c r="K105" s="7"/>
      <c r="L105" s="7"/>
    </row>
    <row r="106" spans="1:13" x14ac:dyDescent="0.3">
      <c r="A106" s="7"/>
      <c r="B106" s="185" t="s">
        <v>469</v>
      </c>
      <c r="C106" s="186">
        <f>F98/1000-C92</f>
        <v>4898</v>
      </c>
      <c r="D106" s="115"/>
      <c r="E106" s="7"/>
      <c r="F106" s="7"/>
      <c r="G106" s="7"/>
      <c r="H106" s="7"/>
      <c r="I106" s="7"/>
      <c r="J106" s="7"/>
      <c r="K106" s="7"/>
      <c r="L106" s="7"/>
    </row>
    <row r="107" spans="1:13" x14ac:dyDescent="0.3">
      <c r="A107" s="7"/>
      <c r="B107" s="185" t="s">
        <v>470</v>
      </c>
      <c r="C107" s="186">
        <f>C63-F98/1000</f>
        <v>2405</v>
      </c>
      <c r="D107" s="115"/>
      <c r="E107" s="7"/>
      <c r="F107" s="7"/>
      <c r="G107" s="7"/>
      <c r="H107" s="7"/>
      <c r="I107" s="7"/>
      <c r="J107" s="7"/>
      <c r="K107" s="7"/>
      <c r="L107" s="7"/>
    </row>
    <row r="108" spans="1:13" x14ac:dyDescent="0.3">
      <c r="B108" s="187"/>
      <c r="C108" s="187"/>
      <c r="D108" s="117"/>
    </row>
    <row r="109" spans="1:13" x14ac:dyDescent="0.3">
      <c r="B109" s="185" t="s">
        <v>471</v>
      </c>
      <c r="C109" s="187" t="s">
        <v>472</v>
      </c>
      <c r="D109" s="117"/>
    </row>
    <row r="110" spans="1:13" x14ac:dyDescent="0.3">
      <c r="B110" s="187"/>
      <c r="C110" s="186">
        <f>(J99*C107)+(J99*0.5*C106)</f>
        <v>388.32000000000005</v>
      </c>
      <c r="D110" s="117"/>
      <c r="M110" s="7"/>
    </row>
    <row r="112" spans="1:13" x14ac:dyDescent="0.3">
      <c r="A112" s="6" t="s">
        <v>3</v>
      </c>
      <c r="B112" s="4" t="s">
        <v>280</v>
      </c>
      <c r="C112" s="4"/>
      <c r="D112" s="4"/>
      <c r="E112" s="4"/>
      <c r="F112" s="4"/>
      <c r="G112" s="4"/>
      <c r="H112" s="4"/>
      <c r="I112" s="4"/>
      <c r="J112" s="4"/>
      <c r="K112" s="4"/>
      <c r="L112" s="4"/>
    </row>
    <row r="113" spans="1:12" x14ac:dyDescent="0.3">
      <c r="A113" s="3"/>
      <c r="B113" s="3"/>
      <c r="C113" s="3"/>
      <c r="D113" s="3"/>
      <c r="E113" s="3"/>
      <c r="F113" s="3"/>
      <c r="G113" s="4"/>
      <c r="H113" s="4"/>
      <c r="I113" s="4"/>
      <c r="J113" s="4"/>
      <c r="K113" s="4"/>
      <c r="L113" s="4"/>
    </row>
    <row r="114" spans="1:12" x14ac:dyDescent="0.3">
      <c r="A114" s="7"/>
      <c r="B114" s="7"/>
      <c r="C114" s="7"/>
      <c r="D114" s="7"/>
      <c r="E114" s="7"/>
      <c r="F114" s="7"/>
      <c r="G114" s="7"/>
      <c r="H114" s="7"/>
      <c r="I114" s="7"/>
      <c r="J114" s="7"/>
      <c r="K114" s="7"/>
      <c r="L114" s="7"/>
    </row>
    <row r="115" spans="1:12" x14ac:dyDescent="0.3">
      <c r="A115" s="7" t="s">
        <v>1</v>
      </c>
      <c r="B115" s="7"/>
      <c r="C115" s="7"/>
      <c r="D115" s="7"/>
      <c r="E115" s="7"/>
      <c r="F115" s="7"/>
      <c r="G115" s="7"/>
      <c r="H115" s="7"/>
      <c r="I115" s="7"/>
      <c r="J115" s="7"/>
      <c r="K115" s="7"/>
      <c r="L115" s="7"/>
    </row>
    <row r="116" spans="1:12" x14ac:dyDescent="0.3">
      <c r="A116" s="7"/>
      <c r="B116" s="7" t="s">
        <v>473</v>
      </c>
      <c r="C116" s="7"/>
      <c r="D116" s="7"/>
      <c r="E116" s="7"/>
      <c r="F116" s="7"/>
      <c r="G116" s="7"/>
      <c r="H116" s="7"/>
      <c r="I116" s="7"/>
      <c r="J116" s="7"/>
      <c r="K116" s="7"/>
      <c r="L116" s="7"/>
    </row>
    <row r="117" spans="1:12" x14ac:dyDescent="0.3">
      <c r="A117" s="7"/>
      <c r="B117" s="7"/>
      <c r="C117" s="7"/>
      <c r="D117" s="7"/>
      <c r="E117" s="7"/>
      <c r="F117" s="7"/>
      <c r="G117" s="7"/>
      <c r="H117" s="7"/>
      <c r="I117" s="7"/>
      <c r="J117" s="7"/>
      <c r="K117" s="7"/>
      <c r="L117" s="7"/>
    </row>
    <row r="118" spans="1:12" x14ac:dyDescent="0.3">
      <c r="B118" s="1" t="s">
        <v>474</v>
      </c>
    </row>
    <row r="120" spans="1:12" x14ac:dyDescent="0.3">
      <c r="A120" s="6" t="s">
        <v>6</v>
      </c>
      <c r="B120" s="4" t="s">
        <v>281</v>
      </c>
      <c r="C120" s="4"/>
      <c r="D120" s="4"/>
      <c r="E120" s="4"/>
      <c r="F120" s="4"/>
      <c r="G120" s="4"/>
      <c r="H120" s="4"/>
      <c r="I120" s="4"/>
      <c r="J120" s="4"/>
      <c r="K120" s="4"/>
      <c r="L120" s="4"/>
    </row>
    <row r="121" spans="1:12" x14ac:dyDescent="0.3">
      <c r="A121" s="3"/>
      <c r="B121" s="3"/>
      <c r="C121" s="3"/>
      <c r="D121" s="3"/>
      <c r="E121" s="3"/>
      <c r="F121" s="3"/>
      <c r="G121" s="4"/>
      <c r="H121" s="4"/>
      <c r="I121" s="4"/>
      <c r="J121" s="4"/>
      <c r="K121" s="4"/>
      <c r="L121" s="4"/>
    </row>
    <row r="122" spans="1:12" x14ac:dyDescent="0.3">
      <c r="A122" s="7"/>
      <c r="B122" s="7"/>
      <c r="C122" s="7"/>
      <c r="D122" s="7"/>
      <c r="E122" s="7"/>
      <c r="F122" s="7"/>
      <c r="G122" s="7"/>
      <c r="H122" s="7"/>
      <c r="I122" s="7"/>
      <c r="J122" s="7"/>
      <c r="K122" s="7"/>
      <c r="L122" s="7"/>
    </row>
    <row r="123" spans="1:12" x14ac:dyDescent="0.3">
      <c r="A123" s="7" t="s">
        <v>1</v>
      </c>
      <c r="B123" s="7"/>
      <c r="C123" s="7"/>
      <c r="D123" s="7"/>
      <c r="E123" s="7"/>
      <c r="F123" s="7"/>
      <c r="G123" s="7"/>
      <c r="H123" s="7"/>
      <c r="I123" s="7"/>
      <c r="J123" s="7"/>
      <c r="K123" s="7"/>
      <c r="L123" s="7"/>
    </row>
    <row r="124" spans="1:12" x14ac:dyDescent="0.3">
      <c r="A124" s="7"/>
      <c r="B124" s="7" t="s">
        <v>475</v>
      </c>
      <c r="C124" s="7"/>
      <c r="D124" s="7"/>
      <c r="E124" s="7"/>
      <c r="F124" s="7"/>
      <c r="G124" s="7"/>
      <c r="H124" s="7"/>
      <c r="I124" s="7"/>
      <c r="J124" s="7"/>
      <c r="K124" s="7"/>
      <c r="L124" s="7"/>
    </row>
    <row r="125" spans="1:12" x14ac:dyDescent="0.3">
      <c r="A125" s="7"/>
      <c r="B125" s="7"/>
      <c r="C125" s="7"/>
      <c r="D125" s="7"/>
      <c r="E125" s="7"/>
      <c r="F125" s="7"/>
      <c r="G125" s="7"/>
      <c r="H125" s="7"/>
      <c r="I125" s="7"/>
      <c r="J125" s="7"/>
      <c r="K125" s="7"/>
      <c r="L125" s="7"/>
    </row>
  </sheetData>
  <mergeCells count="15">
    <mergeCell ref="E70:F70"/>
    <mergeCell ref="G70:H70"/>
    <mergeCell ref="B5:B6"/>
    <mergeCell ref="C5:J5"/>
    <mergeCell ref="C54:E54"/>
    <mergeCell ref="C55:E55"/>
    <mergeCell ref="C62:E62"/>
    <mergeCell ref="B33:I33"/>
    <mergeCell ref="C63:E63"/>
    <mergeCell ref="C56:E56"/>
    <mergeCell ref="C57:E57"/>
    <mergeCell ref="C58:E58"/>
    <mergeCell ref="C59:E59"/>
    <mergeCell ref="C60:E60"/>
    <mergeCell ref="C61:E61"/>
  </mergeCells>
  <pageMargins left="0.7" right="0.7" top="0.75" bottom="0.75" header="0.3" footer="0.3"/>
  <pageSetup scale="73"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8535-A207-4396-8DEB-239C90B4F550}">
  <dimension ref="A1:R79"/>
  <sheetViews>
    <sheetView zoomScaleNormal="100" workbookViewId="0"/>
  </sheetViews>
  <sheetFormatPr defaultColWidth="8.88671875" defaultRowHeight="15.6" x14ac:dyDescent="0.3"/>
  <cols>
    <col min="1" max="1" width="8.88671875" style="1" customWidth="1"/>
    <col min="2" max="2" width="12.6640625" style="1" customWidth="1"/>
    <col min="3" max="5" width="15.6640625" style="1" customWidth="1"/>
    <col min="6" max="6" width="8.88671875" style="1" customWidth="1"/>
    <col min="7" max="7" width="8.88671875" style="1"/>
    <col min="8" max="8" width="18.21875" style="1" customWidth="1"/>
    <col min="9" max="9" width="19" style="1" customWidth="1"/>
    <col min="10" max="16384" width="8.88671875" style="1"/>
  </cols>
  <sheetData>
    <row r="1" spans="1:12" ht="17.399999999999999" x14ac:dyDescent="0.3">
      <c r="A1" s="2" t="s">
        <v>282</v>
      </c>
      <c r="B1" s="4"/>
      <c r="C1" s="9" t="s">
        <v>12</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283</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ht="31.2" x14ac:dyDescent="0.3">
      <c r="A5" s="13"/>
      <c r="B5" s="76" t="s">
        <v>284</v>
      </c>
      <c r="C5" s="16" t="s">
        <v>285</v>
      </c>
      <c r="D5" s="76" t="s">
        <v>286</v>
      </c>
      <c r="E5" s="76" t="s">
        <v>287</v>
      </c>
      <c r="F5" s="12"/>
      <c r="G5" s="12"/>
      <c r="H5" s="10"/>
      <c r="I5" s="10"/>
      <c r="J5" s="10"/>
      <c r="K5" s="10"/>
      <c r="L5" s="10"/>
    </row>
    <row r="6" spans="1:12" s="11" customFormat="1" x14ac:dyDescent="0.3">
      <c r="A6" s="13"/>
      <c r="B6" s="29">
        <v>1</v>
      </c>
      <c r="C6" s="77" t="s">
        <v>289</v>
      </c>
      <c r="D6" s="29">
        <v>3</v>
      </c>
      <c r="E6" s="29">
        <v>1</v>
      </c>
      <c r="F6" s="12"/>
      <c r="G6" s="12"/>
      <c r="H6" s="10"/>
      <c r="I6" s="10"/>
      <c r="J6" s="10"/>
      <c r="K6" s="10"/>
      <c r="L6" s="10"/>
    </row>
    <row r="7" spans="1:12" s="11" customFormat="1" x14ac:dyDescent="0.3">
      <c r="A7" s="13"/>
      <c r="B7" s="29">
        <v>2</v>
      </c>
      <c r="C7" s="77" t="s">
        <v>290</v>
      </c>
      <c r="D7" s="29" t="s">
        <v>288</v>
      </c>
      <c r="E7" s="29">
        <v>2</v>
      </c>
      <c r="F7" s="12"/>
      <c r="G7" s="12"/>
      <c r="H7" s="10"/>
      <c r="I7" s="10"/>
      <c r="J7" s="10"/>
      <c r="K7" s="10"/>
      <c r="L7" s="10"/>
    </row>
    <row r="8" spans="1:12" s="11" customFormat="1" x14ac:dyDescent="0.3">
      <c r="A8" s="13"/>
      <c r="B8" s="29">
        <v>3</v>
      </c>
      <c r="C8" s="77" t="s">
        <v>291</v>
      </c>
      <c r="D8" s="29">
        <v>2</v>
      </c>
      <c r="E8" s="29">
        <v>1</v>
      </c>
      <c r="F8" s="12"/>
      <c r="G8" s="12"/>
      <c r="H8" s="10"/>
      <c r="I8" s="10"/>
      <c r="J8" s="10"/>
      <c r="K8" s="10"/>
      <c r="L8" s="10"/>
    </row>
    <row r="9" spans="1:12" s="11" customFormat="1" x14ac:dyDescent="0.3">
      <c r="A9" s="12"/>
      <c r="B9" s="12"/>
      <c r="C9" s="12"/>
      <c r="D9" s="12"/>
      <c r="E9" s="12"/>
      <c r="F9" s="12"/>
      <c r="G9" s="12"/>
      <c r="H9" s="10"/>
      <c r="I9" s="10"/>
      <c r="J9" s="10"/>
      <c r="K9" s="10"/>
      <c r="L9" s="10"/>
    </row>
    <row r="10" spans="1:12" s="11" customFormat="1" x14ac:dyDescent="0.3">
      <c r="A10" s="12" t="s">
        <v>292</v>
      </c>
      <c r="B10" s="12"/>
      <c r="C10" s="12"/>
      <c r="D10" s="12"/>
      <c r="E10" s="12"/>
      <c r="F10" s="12"/>
      <c r="G10" s="12"/>
      <c r="H10" s="10"/>
      <c r="I10" s="10"/>
      <c r="J10" s="10"/>
      <c r="K10" s="10"/>
      <c r="L10" s="10"/>
    </row>
    <row r="11" spans="1:12" s="11" customFormat="1" x14ac:dyDescent="0.3">
      <c r="A11" s="13" t="s">
        <v>293</v>
      </c>
      <c r="B11" s="12"/>
      <c r="C11" s="12"/>
      <c r="D11" s="12"/>
      <c r="E11" s="12"/>
      <c r="F11" s="12"/>
      <c r="G11" s="12"/>
      <c r="H11" s="10"/>
      <c r="I11" s="10"/>
      <c r="J11" s="10"/>
      <c r="K11" s="10"/>
      <c r="L11" s="10"/>
    </row>
    <row r="12" spans="1:12" s="11" customFormat="1" x14ac:dyDescent="0.3">
      <c r="A12" s="12" t="s">
        <v>294</v>
      </c>
      <c r="B12" s="12"/>
      <c r="C12" s="12"/>
      <c r="D12" s="12"/>
      <c r="E12" s="12"/>
      <c r="F12" s="12"/>
      <c r="G12" s="12"/>
      <c r="H12" s="10"/>
      <c r="I12" s="10"/>
      <c r="J12" s="10"/>
      <c r="K12" s="10"/>
      <c r="L12" s="10"/>
    </row>
    <row r="13" spans="1:12" s="11" customFormat="1" x14ac:dyDescent="0.3">
      <c r="A13" s="12" t="s">
        <v>295</v>
      </c>
      <c r="B13" s="12"/>
      <c r="C13" s="12"/>
      <c r="D13" s="12"/>
      <c r="E13" s="12"/>
      <c r="F13" s="12"/>
      <c r="G13" s="12"/>
      <c r="H13" s="10"/>
      <c r="I13" s="10"/>
      <c r="J13" s="10"/>
      <c r="K13" s="10"/>
      <c r="L13" s="10"/>
    </row>
    <row r="14" spans="1:12" x14ac:dyDescent="0.3">
      <c r="A14" s="12"/>
      <c r="B14" s="12"/>
      <c r="C14" s="12"/>
      <c r="D14" s="12"/>
      <c r="E14" s="12"/>
      <c r="F14" s="12"/>
      <c r="G14" s="12"/>
      <c r="H14" s="9"/>
      <c r="I14" s="9"/>
      <c r="J14" s="9"/>
      <c r="K14" s="9"/>
      <c r="L14" s="9"/>
    </row>
    <row r="15" spans="1:12" x14ac:dyDescent="0.3">
      <c r="A15" s="12" t="s">
        <v>296</v>
      </c>
      <c r="B15" s="12"/>
      <c r="C15" s="12"/>
      <c r="D15" s="12"/>
      <c r="E15" s="12"/>
      <c r="F15" s="12"/>
      <c r="G15" s="12"/>
      <c r="H15" s="9"/>
      <c r="I15" s="9"/>
      <c r="J15" s="9"/>
      <c r="K15" s="9"/>
      <c r="L15" s="9"/>
    </row>
    <row r="16" spans="1:12" x14ac:dyDescent="0.3">
      <c r="A16" s="9"/>
      <c r="B16" s="9"/>
      <c r="C16" s="9"/>
      <c r="D16" s="9"/>
      <c r="E16" s="9"/>
      <c r="F16" s="9"/>
      <c r="G16" s="9"/>
      <c r="H16" s="9"/>
      <c r="I16" s="9"/>
      <c r="J16" s="9"/>
      <c r="K16" s="9"/>
      <c r="L16" s="9"/>
    </row>
    <row r="17" spans="1:12" ht="31.2" x14ac:dyDescent="0.3">
      <c r="A17" s="64"/>
      <c r="B17" s="14" t="s">
        <v>297</v>
      </c>
      <c r="C17" s="27" t="s">
        <v>298</v>
      </c>
      <c r="D17" s="9"/>
      <c r="E17" s="9"/>
      <c r="F17" s="9"/>
      <c r="G17" s="9"/>
      <c r="H17" s="9"/>
      <c r="I17" s="9"/>
      <c r="J17" s="9"/>
      <c r="K17" s="9"/>
      <c r="L17" s="9"/>
    </row>
    <row r="18" spans="1:12" x14ac:dyDescent="0.3">
      <c r="A18" s="64"/>
      <c r="B18" s="29" t="s">
        <v>299</v>
      </c>
      <c r="C18" s="29">
        <v>780</v>
      </c>
      <c r="D18" s="9"/>
      <c r="E18" s="9"/>
      <c r="F18" s="9"/>
      <c r="G18" s="9"/>
      <c r="H18" s="9"/>
      <c r="I18" s="9"/>
      <c r="J18" s="9"/>
      <c r="K18" s="9"/>
      <c r="L18" s="9"/>
    </row>
    <row r="19" spans="1:12" x14ac:dyDescent="0.3">
      <c r="A19" s="64"/>
      <c r="B19" s="29" t="s">
        <v>300</v>
      </c>
      <c r="C19" s="29">
        <v>795</v>
      </c>
      <c r="D19" s="9"/>
      <c r="E19" s="9"/>
      <c r="F19" s="9"/>
      <c r="G19" s="9"/>
      <c r="H19" s="9"/>
      <c r="I19" s="9"/>
      <c r="J19" s="9"/>
      <c r="K19" s="9"/>
      <c r="L19" s="9"/>
    </row>
    <row r="20" spans="1:12" x14ac:dyDescent="0.3">
      <c r="A20" s="64"/>
      <c r="B20" s="29" t="s">
        <v>301</v>
      </c>
      <c r="C20" s="29">
        <v>805</v>
      </c>
      <c r="D20" s="9"/>
      <c r="E20" s="9"/>
      <c r="F20" s="9"/>
      <c r="G20" s="9"/>
      <c r="H20" s="9"/>
      <c r="I20" s="9"/>
      <c r="J20" s="9"/>
      <c r="K20" s="9"/>
      <c r="L20" s="9"/>
    </row>
    <row r="21" spans="1:12" x14ac:dyDescent="0.3">
      <c r="A21" s="64"/>
      <c r="B21" s="9"/>
      <c r="C21" s="9"/>
      <c r="D21" s="9"/>
      <c r="E21" s="9"/>
      <c r="F21" s="9"/>
      <c r="G21" s="9"/>
      <c r="H21" s="9"/>
      <c r="I21" s="9"/>
      <c r="J21" s="9"/>
      <c r="K21" s="9"/>
      <c r="L21" s="9"/>
    </row>
    <row r="22" spans="1:12" x14ac:dyDescent="0.3">
      <c r="A22" s="64"/>
      <c r="B22" s="360" t="s">
        <v>297</v>
      </c>
      <c r="C22" s="340" t="s">
        <v>302</v>
      </c>
      <c r="D22" s="340"/>
      <c r="E22" s="340"/>
      <c r="F22" s="9"/>
      <c r="G22" s="9"/>
      <c r="H22" s="9"/>
      <c r="I22" s="9"/>
      <c r="J22" s="9"/>
      <c r="K22" s="9"/>
      <c r="L22" s="9"/>
    </row>
    <row r="23" spans="1:12" x14ac:dyDescent="0.3">
      <c r="A23" s="64"/>
      <c r="B23" s="361"/>
      <c r="C23" s="27" t="s">
        <v>303</v>
      </c>
      <c r="D23" s="27" t="s">
        <v>304</v>
      </c>
      <c r="E23" s="27" t="s">
        <v>305</v>
      </c>
      <c r="F23" s="9"/>
      <c r="G23" s="9"/>
      <c r="H23" s="9"/>
      <c r="I23" s="9"/>
      <c r="J23" s="9"/>
      <c r="K23" s="9"/>
      <c r="L23" s="9"/>
    </row>
    <row r="24" spans="1:12" x14ac:dyDescent="0.3">
      <c r="A24" s="64"/>
      <c r="B24" s="29" t="s">
        <v>299</v>
      </c>
      <c r="C24" s="29">
        <v>1</v>
      </c>
      <c r="D24" s="29">
        <v>1.25</v>
      </c>
      <c r="E24" s="29">
        <v>0.97</v>
      </c>
      <c r="F24" s="9"/>
      <c r="G24" s="9"/>
      <c r="H24" s="9"/>
      <c r="I24" s="9"/>
      <c r="J24" s="9"/>
      <c r="K24" s="9"/>
      <c r="L24" s="9"/>
    </row>
    <row r="25" spans="1:12" x14ac:dyDescent="0.3">
      <c r="A25" s="64"/>
      <c r="B25" s="29" t="s">
        <v>300</v>
      </c>
      <c r="C25" s="29">
        <v>1</v>
      </c>
      <c r="D25" s="29">
        <v>1.22</v>
      </c>
      <c r="E25" s="29">
        <v>0.95</v>
      </c>
      <c r="F25" s="9"/>
      <c r="G25" s="9"/>
      <c r="H25" s="9"/>
      <c r="I25" s="9"/>
      <c r="J25" s="9"/>
      <c r="K25" s="9"/>
      <c r="L25" s="9"/>
    </row>
    <row r="26" spans="1:12" x14ac:dyDescent="0.3">
      <c r="A26" s="64"/>
      <c r="B26" s="29" t="s">
        <v>301</v>
      </c>
      <c r="C26" s="29">
        <v>1</v>
      </c>
      <c r="D26" s="29">
        <v>1.3</v>
      </c>
      <c r="E26" s="29">
        <v>0.94</v>
      </c>
      <c r="F26" s="9"/>
      <c r="G26" s="9"/>
      <c r="H26" s="9"/>
      <c r="I26" s="9"/>
      <c r="J26" s="9"/>
      <c r="K26" s="9"/>
      <c r="L26" s="9"/>
    </row>
    <row r="27" spans="1:12" x14ac:dyDescent="0.3">
      <c r="A27" s="64"/>
      <c r="B27" s="9"/>
      <c r="C27" s="9"/>
      <c r="D27" s="9"/>
      <c r="E27" s="9"/>
      <c r="F27" s="9"/>
      <c r="G27" s="9"/>
      <c r="H27" s="9"/>
      <c r="I27" s="9"/>
      <c r="J27" s="9"/>
      <c r="K27" s="9"/>
      <c r="L27" s="9"/>
    </row>
    <row r="28" spans="1:12" x14ac:dyDescent="0.3">
      <c r="A28" s="64"/>
      <c r="B28" s="360" t="s">
        <v>297</v>
      </c>
      <c r="C28" s="340" t="s">
        <v>306</v>
      </c>
      <c r="D28" s="340"/>
      <c r="E28" s="9"/>
      <c r="F28" s="9"/>
      <c r="G28" s="9"/>
      <c r="H28" s="9"/>
      <c r="I28" s="9"/>
      <c r="J28" s="9"/>
      <c r="K28" s="9"/>
      <c r="L28" s="9"/>
    </row>
    <row r="29" spans="1:12" x14ac:dyDescent="0.3">
      <c r="A29" s="64"/>
      <c r="B29" s="361"/>
      <c r="C29" s="27" t="s">
        <v>307</v>
      </c>
      <c r="D29" s="27" t="s">
        <v>308</v>
      </c>
      <c r="E29" s="9"/>
      <c r="F29" s="9"/>
      <c r="G29" s="9"/>
      <c r="H29" s="9"/>
      <c r="I29" s="9"/>
      <c r="J29" s="9"/>
      <c r="K29" s="9"/>
      <c r="L29" s="9"/>
    </row>
    <row r="30" spans="1:12" x14ac:dyDescent="0.3">
      <c r="A30" s="64"/>
      <c r="B30" s="29" t="s">
        <v>299</v>
      </c>
      <c r="C30" s="29">
        <v>1.1499999999999999</v>
      </c>
      <c r="D30" s="29">
        <v>1</v>
      </c>
      <c r="E30" s="9"/>
      <c r="F30" s="9"/>
      <c r="G30" s="9"/>
      <c r="H30" s="9"/>
      <c r="I30" s="9"/>
      <c r="J30" s="9"/>
      <c r="K30" s="9"/>
      <c r="L30" s="9"/>
    </row>
    <row r="31" spans="1:12" x14ac:dyDescent="0.3">
      <c r="A31" s="64"/>
      <c r="B31" s="29" t="s">
        <v>300</v>
      </c>
      <c r="C31" s="29">
        <v>1.1200000000000001</v>
      </c>
      <c r="D31" s="29">
        <v>1</v>
      </c>
      <c r="E31" s="9"/>
      <c r="F31" s="9"/>
      <c r="G31" s="9"/>
      <c r="H31" s="9"/>
      <c r="I31" s="9"/>
      <c r="J31" s="9"/>
      <c r="K31" s="9"/>
      <c r="L31" s="9"/>
    </row>
    <row r="32" spans="1:12" x14ac:dyDescent="0.3">
      <c r="A32" s="64"/>
      <c r="B32" s="29" t="s">
        <v>301</v>
      </c>
      <c r="C32" s="29">
        <v>1.18</v>
      </c>
      <c r="D32" s="29">
        <v>1</v>
      </c>
      <c r="E32" s="9"/>
      <c r="F32" s="9"/>
      <c r="G32" s="9"/>
      <c r="H32" s="9"/>
      <c r="I32" s="9"/>
      <c r="J32" s="9"/>
      <c r="K32" s="9"/>
      <c r="L32" s="9"/>
    </row>
    <row r="33" spans="1:18" x14ac:dyDescent="0.3">
      <c r="A33" s="9"/>
      <c r="B33" s="9"/>
      <c r="C33" s="9"/>
      <c r="D33" s="9"/>
      <c r="E33" s="9"/>
      <c r="F33" s="9"/>
      <c r="G33" s="9"/>
      <c r="H33" s="9"/>
      <c r="I33" s="9"/>
      <c r="J33" s="9"/>
      <c r="K33" s="9"/>
      <c r="L33" s="9"/>
    </row>
    <row r="34" spans="1:18" x14ac:dyDescent="0.3">
      <c r="A34" s="9" t="s">
        <v>309</v>
      </c>
      <c r="B34" s="9"/>
      <c r="C34" s="9"/>
      <c r="D34" s="9"/>
      <c r="E34" s="9"/>
      <c r="F34" s="9"/>
      <c r="G34" s="9"/>
      <c r="H34" s="9"/>
      <c r="I34" s="9"/>
      <c r="J34" s="9"/>
      <c r="K34" s="9"/>
      <c r="L34" s="9"/>
    </row>
    <row r="35" spans="1:18" x14ac:dyDescent="0.3">
      <c r="A35" s="9"/>
      <c r="B35" s="9"/>
      <c r="C35" s="9"/>
      <c r="D35" s="9"/>
      <c r="E35" s="9"/>
      <c r="F35" s="9"/>
      <c r="G35" s="9"/>
      <c r="H35" s="9"/>
      <c r="I35" s="9"/>
      <c r="J35" s="9"/>
      <c r="K35" s="9"/>
      <c r="L35" s="9"/>
    </row>
    <row r="36" spans="1:18" x14ac:dyDescent="0.3">
      <c r="A36" s="7"/>
      <c r="B36" s="7"/>
      <c r="C36" s="7"/>
      <c r="D36" s="7"/>
      <c r="E36" s="7"/>
      <c r="F36" s="7"/>
      <c r="G36" s="7"/>
      <c r="H36" s="7"/>
      <c r="I36" s="7"/>
      <c r="J36" s="7"/>
      <c r="K36" s="7"/>
      <c r="L36" s="7"/>
    </row>
    <row r="37" spans="1:18" x14ac:dyDescent="0.3">
      <c r="A37" s="6" t="s">
        <v>4</v>
      </c>
      <c r="B37" s="4" t="s">
        <v>310</v>
      </c>
      <c r="C37" s="4"/>
      <c r="D37" s="4"/>
      <c r="E37" s="4"/>
      <c r="F37" s="4"/>
      <c r="G37" s="4"/>
      <c r="H37" s="4"/>
      <c r="I37" s="4"/>
      <c r="J37" s="4"/>
      <c r="K37" s="4"/>
      <c r="L37" s="4"/>
      <c r="M37" s="8"/>
      <c r="N37" s="8"/>
      <c r="O37" s="8"/>
      <c r="P37" s="8"/>
      <c r="Q37" s="8"/>
      <c r="R37" s="8"/>
    </row>
    <row r="38" spans="1:18" x14ac:dyDescent="0.3">
      <c r="A38" s="3"/>
      <c r="B38" s="3"/>
      <c r="C38" s="3"/>
      <c r="D38" s="3"/>
      <c r="E38" s="3"/>
      <c r="F38" s="3"/>
      <c r="G38" s="4"/>
      <c r="H38" s="4"/>
      <c r="I38" s="4"/>
      <c r="J38" s="4"/>
      <c r="K38" s="4"/>
      <c r="L38" s="4"/>
    </row>
    <row r="39" spans="1:18" x14ac:dyDescent="0.3">
      <c r="A39" s="7"/>
      <c r="B39" s="7"/>
      <c r="C39" s="7"/>
      <c r="D39" s="7"/>
      <c r="E39" s="7"/>
      <c r="F39" s="7"/>
      <c r="G39" s="7"/>
      <c r="H39" s="7"/>
      <c r="I39" s="7"/>
      <c r="J39" s="7"/>
      <c r="K39" s="7"/>
      <c r="L39" s="7"/>
      <c r="M39" s="7"/>
    </row>
    <row r="40" spans="1:18" x14ac:dyDescent="0.3">
      <c r="A40" s="7" t="s">
        <v>1</v>
      </c>
      <c r="B40" s="7"/>
      <c r="C40" s="7"/>
      <c r="D40" s="7"/>
      <c r="E40" s="7"/>
      <c r="F40" s="7"/>
      <c r="G40" s="7"/>
      <c r="H40" s="7"/>
      <c r="I40" s="7"/>
      <c r="J40" s="7"/>
      <c r="K40" s="7"/>
      <c r="L40" s="7"/>
      <c r="M40" s="7"/>
      <c r="N40" s="8"/>
    </row>
    <row r="41" spans="1:18" ht="31.2" x14ac:dyDescent="0.3">
      <c r="A41" s="7"/>
      <c r="B41" s="189" t="s">
        <v>637</v>
      </c>
      <c r="C41" s="189" t="s">
        <v>286</v>
      </c>
      <c r="D41" s="190" t="s">
        <v>638</v>
      </c>
      <c r="E41" s="189" t="s">
        <v>287</v>
      </c>
      <c r="F41" s="190" t="s">
        <v>639</v>
      </c>
      <c r="G41" s="190" t="s">
        <v>298</v>
      </c>
      <c r="H41" s="190" t="s">
        <v>640</v>
      </c>
      <c r="I41" s="295" t="s">
        <v>641</v>
      </c>
      <c r="J41" s="7"/>
      <c r="K41" s="7"/>
      <c r="L41" s="7"/>
      <c r="M41" s="7"/>
      <c r="N41" s="8"/>
    </row>
    <row r="42" spans="1:18" x14ac:dyDescent="0.3">
      <c r="A42"/>
      <c r="B42" s="240">
        <v>1</v>
      </c>
      <c r="C42" s="240">
        <v>3</v>
      </c>
      <c r="D42" s="291">
        <f>E26</f>
        <v>0.94</v>
      </c>
      <c r="E42" s="240">
        <v>1</v>
      </c>
      <c r="F42" s="291">
        <f>C32</f>
        <v>1.18</v>
      </c>
      <c r="G42" s="240">
        <f>$C$20</f>
        <v>805</v>
      </c>
      <c r="H42" s="259">
        <v>1</v>
      </c>
      <c r="I42" s="226">
        <f>G42*F42*D42*H42</f>
        <v>892.90599999999995</v>
      </c>
      <c r="J42" s="7"/>
      <c r="K42" s="7"/>
      <c r="L42" s="7"/>
      <c r="M42" s="7"/>
      <c r="N42" s="8"/>
    </row>
    <row r="43" spans="1:18" x14ac:dyDescent="0.3">
      <c r="A43"/>
      <c r="B43" s="240">
        <v>2</v>
      </c>
      <c r="C43" s="240">
        <v>2</v>
      </c>
      <c r="D43" s="291">
        <f>D26</f>
        <v>1.3</v>
      </c>
      <c r="E43" s="240">
        <v>2</v>
      </c>
      <c r="F43" s="291">
        <f>D32</f>
        <v>1</v>
      </c>
      <c r="G43" s="240">
        <f>$C$20</f>
        <v>805</v>
      </c>
      <c r="H43" s="259">
        <f>5/12</f>
        <v>0.41666666666666669</v>
      </c>
      <c r="I43" s="226">
        <f t="shared" ref="I43:I45" si="0">G43*F43*D43*H43</f>
        <v>436.04166666666669</v>
      </c>
      <c r="J43" s="7"/>
      <c r="K43" s="7"/>
      <c r="L43" s="7"/>
      <c r="M43" s="7"/>
      <c r="N43" s="8"/>
    </row>
    <row r="44" spans="1:18" x14ac:dyDescent="0.3">
      <c r="A44"/>
      <c r="B44" s="240">
        <v>2</v>
      </c>
      <c r="C44" s="240">
        <v>1</v>
      </c>
      <c r="D44" s="291">
        <f>C26</f>
        <v>1</v>
      </c>
      <c r="E44" s="240">
        <v>2</v>
      </c>
      <c r="F44" s="291">
        <f>D32</f>
        <v>1</v>
      </c>
      <c r="G44" s="240">
        <f>$C$20</f>
        <v>805</v>
      </c>
      <c r="H44" s="259">
        <f>1-H43</f>
        <v>0.58333333333333326</v>
      </c>
      <c r="I44" s="226">
        <f t="shared" si="0"/>
        <v>469.58333333333326</v>
      </c>
      <c r="J44" s="7"/>
      <c r="K44" s="7"/>
      <c r="L44" s="7"/>
      <c r="M44" s="7"/>
      <c r="N44" s="8"/>
    </row>
    <row r="45" spans="1:18" x14ac:dyDescent="0.3">
      <c r="A45"/>
      <c r="B45" s="189">
        <v>3</v>
      </c>
      <c r="C45" s="189">
        <v>2</v>
      </c>
      <c r="D45" s="292">
        <f>D26</f>
        <v>1.3</v>
      </c>
      <c r="E45" s="189">
        <v>1</v>
      </c>
      <c r="F45" s="292">
        <f>C32</f>
        <v>1.18</v>
      </c>
      <c r="G45" s="189">
        <f>$C$20</f>
        <v>805</v>
      </c>
      <c r="H45" s="293">
        <v>1</v>
      </c>
      <c r="I45" s="294">
        <f t="shared" si="0"/>
        <v>1234.8700000000001</v>
      </c>
      <c r="J45" s="7"/>
      <c r="K45" s="7"/>
      <c r="L45" s="7"/>
      <c r="M45" s="7"/>
      <c r="N45" s="8"/>
    </row>
    <row r="46" spans="1:18" x14ac:dyDescent="0.3">
      <c r="A46"/>
      <c r="B46" s="240" t="s">
        <v>31</v>
      </c>
      <c r="C46" s="240"/>
      <c r="D46" s="240"/>
      <c r="E46" s="240"/>
      <c r="F46" s="240"/>
      <c r="G46" s="240"/>
      <c r="H46"/>
      <c r="I46" s="226">
        <f>SUM(I42:I45)</f>
        <v>3033.4009999999998</v>
      </c>
      <c r="J46" s="7"/>
      <c r="K46" s="7"/>
      <c r="L46" s="7"/>
      <c r="M46" s="7"/>
      <c r="N46" s="8"/>
    </row>
    <row r="48" spans="1:18" x14ac:dyDescent="0.3">
      <c r="A48" s="6" t="s">
        <v>5</v>
      </c>
      <c r="B48" s="4" t="s">
        <v>311</v>
      </c>
      <c r="C48" s="4"/>
      <c r="D48" s="4"/>
      <c r="E48" s="4"/>
      <c r="F48" s="4"/>
      <c r="G48" s="4"/>
      <c r="H48" s="4"/>
      <c r="I48" s="4"/>
      <c r="J48" s="4"/>
      <c r="K48" s="4"/>
      <c r="L48" s="4"/>
    </row>
    <row r="49" spans="1:13" x14ac:dyDescent="0.3">
      <c r="A49" s="3"/>
      <c r="B49" s="3"/>
      <c r="C49" s="3"/>
      <c r="D49" s="3"/>
      <c r="E49" s="3"/>
      <c r="F49" s="3"/>
      <c r="G49" s="4"/>
      <c r="H49" s="4"/>
      <c r="I49" s="4"/>
      <c r="J49" s="4"/>
      <c r="K49" s="4"/>
      <c r="L49" s="4"/>
    </row>
    <row r="50" spans="1:13" x14ac:dyDescent="0.3">
      <c r="A50" s="7"/>
      <c r="B50" s="7"/>
      <c r="C50" s="7"/>
      <c r="D50" s="7"/>
      <c r="E50" s="7"/>
      <c r="F50" s="7"/>
      <c r="G50" s="7"/>
      <c r="H50" s="7"/>
      <c r="I50" s="7"/>
      <c r="J50" s="7"/>
      <c r="K50" s="7"/>
      <c r="L50" s="7"/>
    </row>
    <row r="51" spans="1:13" x14ac:dyDescent="0.3">
      <c r="A51" s="7" t="s">
        <v>1</v>
      </c>
      <c r="B51" s="7"/>
      <c r="C51" s="7"/>
      <c r="D51" s="7"/>
      <c r="E51" s="7"/>
      <c r="F51" s="7"/>
      <c r="G51" s="7"/>
      <c r="H51" s="7"/>
      <c r="I51" s="7"/>
      <c r="J51" s="7"/>
      <c r="K51" s="7"/>
      <c r="L51" s="7"/>
    </row>
    <row r="52" spans="1:13" ht="31.2" x14ac:dyDescent="0.3">
      <c r="A52" s="7"/>
      <c r="B52" s="189" t="s">
        <v>637</v>
      </c>
      <c r="C52" s="189" t="s">
        <v>286</v>
      </c>
      <c r="D52" s="190" t="s">
        <v>638</v>
      </c>
      <c r="E52" s="190" t="s">
        <v>287</v>
      </c>
      <c r="F52" s="190" t="s">
        <v>639</v>
      </c>
      <c r="G52" s="190" t="s">
        <v>298</v>
      </c>
      <c r="H52" s="295" t="s">
        <v>641</v>
      </c>
      <c r="I52" s="7"/>
      <c r="J52" s="7"/>
      <c r="K52" s="7"/>
      <c r="L52" s="7"/>
    </row>
    <row r="53" spans="1:13" x14ac:dyDescent="0.3">
      <c r="A53" s="7"/>
      <c r="B53" s="240">
        <v>1</v>
      </c>
      <c r="C53" s="240">
        <v>3</v>
      </c>
      <c r="D53" s="291">
        <f>E24</f>
        <v>0.97</v>
      </c>
      <c r="E53" s="240">
        <v>1</v>
      </c>
      <c r="F53" s="291">
        <f>C30</f>
        <v>1.1499999999999999</v>
      </c>
      <c r="G53" s="240">
        <f>$C$18</f>
        <v>780</v>
      </c>
      <c r="H53" s="226">
        <f>G53*F53*D53</f>
        <v>870.08999999999992</v>
      </c>
      <c r="I53" s="7"/>
      <c r="J53" s="7"/>
      <c r="K53" s="7"/>
      <c r="L53" s="7"/>
    </row>
    <row r="54" spans="1:13" x14ac:dyDescent="0.3">
      <c r="B54" s="240">
        <v>2</v>
      </c>
      <c r="C54" s="240">
        <v>1</v>
      </c>
      <c r="D54" s="291">
        <f>C24</f>
        <v>1</v>
      </c>
      <c r="E54" s="240">
        <v>2</v>
      </c>
      <c r="F54" s="291">
        <f>D30</f>
        <v>1</v>
      </c>
      <c r="G54" s="240">
        <f>$C$18</f>
        <v>780</v>
      </c>
      <c r="H54" s="226">
        <f t="shared" ref="H54:H55" si="1">G54*F54*D54</f>
        <v>780</v>
      </c>
      <c r="M54" s="7"/>
    </row>
    <row r="55" spans="1:13" x14ac:dyDescent="0.3">
      <c r="B55" s="189">
        <v>3</v>
      </c>
      <c r="C55" s="189">
        <v>2</v>
      </c>
      <c r="D55" s="292">
        <f>D24</f>
        <v>1.25</v>
      </c>
      <c r="E55" s="189">
        <v>1</v>
      </c>
      <c r="F55" s="292">
        <f>C30</f>
        <v>1.1499999999999999</v>
      </c>
      <c r="G55" s="189">
        <f>$C$18</f>
        <v>780</v>
      </c>
      <c r="H55" s="294">
        <f t="shared" si="1"/>
        <v>1121.2499999999998</v>
      </c>
      <c r="M55" s="7"/>
    </row>
    <row r="56" spans="1:13" x14ac:dyDescent="0.3">
      <c r="B56" s="240" t="s">
        <v>31</v>
      </c>
      <c r="C56" s="240"/>
      <c r="D56" s="240"/>
      <c r="E56" s="240"/>
      <c r="F56" s="240"/>
      <c r="G56" s="240"/>
      <c r="H56" s="226">
        <f>SUM(H53:H55)</f>
        <v>2771.3399999999997</v>
      </c>
    </row>
    <row r="58" spans="1:13" x14ac:dyDescent="0.3">
      <c r="A58" s="6" t="s">
        <v>0</v>
      </c>
      <c r="B58" s="4" t="s">
        <v>312</v>
      </c>
      <c r="C58" s="4"/>
      <c r="D58" s="4"/>
      <c r="E58" s="4"/>
      <c r="F58" s="4"/>
      <c r="G58" s="4"/>
      <c r="H58" s="4"/>
      <c r="I58" s="4"/>
      <c r="J58" s="4"/>
      <c r="K58" s="4"/>
      <c r="L58" s="4"/>
    </row>
    <row r="59" spans="1:13" x14ac:dyDescent="0.3">
      <c r="A59" s="3"/>
      <c r="B59" s="3"/>
      <c r="C59" s="3"/>
      <c r="D59" s="3"/>
      <c r="E59" s="3"/>
      <c r="F59" s="3"/>
      <c r="G59" s="4"/>
      <c r="H59" s="4"/>
      <c r="I59" s="4"/>
      <c r="J59" s="4"/>
      <c r="K59" s="4"/>
      <c r="L59" s="4"/>
    </row>
    <row r="60" spans="1:13" x14ac:dyDescent="0.3">
      <c r="A60" s="7"/>
      <c r="B60" s="7"/>
      <c r="C60" s="7"/>
      <c r="D60" s="7"/>
      <c r="E60" s="7"/>
      <c r="F60" s="7"/>
      <c r="G60" s="7"/>
      <c r="H60" s="7"/>
      <c r="I60" s="7"/>
      <c r="J60" s="7"/>
      <c r="K60" s="7"/>
      <c r="L60" s="7"/>
    </row>
    <row r="61" spans="1:13" x14ac:dyDescent="0.3">
      <c r="A61" s="7" t="s">
        <v>1</v>
      </c>
      <c r="B61" s="7"/>
      <c r="C61" s="7"/>
      <c r="D61" s="7"/>
      <c r="E61" s="7"/>
      <c r="F61" s="7"/>
      <c r="G61" s="7"/>
      <c r="H61" s="7"/>
      <c r="I61" s="7"/>
      <c r="J61" s="7"/>
      <c r="K61" s="7"/>
      <c r="L61" s="7"/>
    </row>
    <row r="62" spans="1:13" ht="31.2" x14ac:dyDescent="0.3">
      <c r="A62" s="7"/>
      <c r="B62" s="189" t="s">
        <v>637</v>
      </c>
      <c r="C62" s="189" t="s">
        <v>286</v>
      </c>
      <c r="D62" s="190" t="s">
        <v>638</v>
      </c>
      <c r="E62" s="190" t="s">
        <v>287</v>
      </c>
      <c r="F62" s="190" t="s">
        <v>639</v>
      </c>
      <c r="G62" s="190" t="s">
        <v>298</v>
      </c>
      <c r="H62" s="295" t="s">
        <v>641</v>
      </c>
      <c r="I62" s="7"/>
      <c r="J62" s="7"/>
      <c r="K62" s="7"/>
      <c r="L62" s="7"/>
    </row>
    <row r="63" spans="1:13" x14ac:dyDescent="0.3">
      <c r="B63" s="240">
        <v>1</v>
      </c>
      <c r="C63" s="240">
        <v>3</v>
      </c>
      <c r="D63" s="291">
        <f>E25</f>
        <v>0.95</v>
      </c>
      <c r="E63" s="240">
        <v>1</v>
      </c>
      <c r="F63" s="291">
        <f>C31</f>
        <v>1.1200000000000001</v>
      </c>
      <c r="G63" s="240">
        <f>$C$19</f>
        <v>795</v>
      </c>
      <c r="H63" s="226">
        <f>G63*F63*D63</f>
        <v>845.88</v>
      </c>
    </row>
    <row r="64" spans="1:13" x14ac:dyDescent="0.3">
      <c r="B64" s="240">
        <v>2</v>
      </c>
      <c r="C64" s="240">
        <v>1</v>
      </c>
      <c r="D64" s="291">
        <f>C25</f>
        <v>1</v>
      </c>
      <c r="E64" s="240">
        <v>2</v>
      </c>
      <c r="F64" s="291">
        <f>D31</f>
        <v>1</v>
      </c>
      <c r="G64" s="240">
        <f>$C$19</f>
        <v>795</v>
      </c>
      <c r="H64" s="226">
        <f t="shared" ref="H64:H65" si="2">G64*F64*D64</f>
        <v>795</v>
      </c>
    </row>
    <row r="65" spans="1:14" x14ac:dyDescent="0.3">
      <c r="B65" s="189">
        <v>3</v>
      </c>
      <c r="C65" s="189">
        <v>2</v>
      </c>
      <c r="D65" s="292">
        <f>D25</f>
        <v>1.22</v>
      </c>
      <c r="E65" s="189">
        <v>1</v>
      </c>
      <c r="F65" s="292">
        <f>C31</f>
        <v>1.1200000000000001</v>
      </c>
      <c r="G65" s="189">
        <f>$C$19</f>
        <v>795</v>
      </c>
      <c r="H65" s="294">
        <f t="shared" si="2"/>
        <v>1086.288</v>
      </c>
      <c r="M65" s="7"/>
      <c r="N65" s="7"/>
    </row>
    <row r="66" spans="1:14" x14ac:dyDescent="0.3">
      <c r="B66" s="240" t="s">
        <v>31</v>
      </c>
      <c r="C66" s="240"/>
      <c r="D66" s="240"/>
      <c r="E66" s="240"/>
      <c r="F66" s="240"/>
      <c r="G66" s="240"/>
      <c r="H66" s="226">
        <f>SUM(H63:H65)</f>
        <v>2727.1680000000001</v>
      </c>
      <c r="M66" s="7"/>
      <c r="N66" s="7"/>
    </row>
    <row r="68" spans="1:14" x14ac:dyDescent="0.3">
      <c r="A68" s="6" t="s">
        <v>2</v>
      </c>
      <c r="B68" s="4" t="s">
        <v>313</v>
      </c>
      <c r="C68" s="4"/>
      <c r="D68" s="4"/>
      <c r="E68" s="4"/>
      <c r="F68" s="4"/>
      <c r="G68" s="4"/>
      <c r="H68" s="4"/>
      <c r="I68" s="4"/>
      <c r="J68" s="4"/>
      <c r="K68" s="4"/>
      <c r="L68" s="4"/>
    </row>
    <row r="69" spans="1:14" x14ac:dyDescent="0.3">
      <c r="A69" s="3"/>
      <c r="B69" s="3"/>
      <c r="C69" s="3"/>
      <c r="D69" s="3"/>
      <c r="E69" s="3"/>
      <c r="F69" s="3"/>
      <c r="G69" s="4"/>
      <c r="H69" s="4"/>
      <c r="I69" s="4"/>
      <c r="J69" s="4"/>
      <c r="K69" s="4"/>
      <c r="L69" s="4"/>
    </row>
    <row r="70" spans="1:14" x14ac:dyDescent="0.3">
      <c r="A70" s="7"/>
      <c r="B70" s="7"/>
      <c r="C70" s="7"/>
      <c r="D70" s="7"/>
      <c r="E70" s="7"/>
      <c r="F70" s="7"/>
      <c r="G70" s="7"/>
      <c r="H70" s="7"/>
      <c r="I70" s="7"/>
      <c r="J70" s="7"/>
      <c r="K70" s="7"/>
      <c r="L70" s="7"/>
    </row>
    <row r="71" spans="1:14" x14ac:dyDescent="0.3">
      <c r="A71" s="7" t="s">
        <v>1</v>
      </c>
      <c r="B71" s="7"/>
      <c r="C71" s="7"/>
      <c r="D71" s="7"/>
      <c r="E71" s="7"/>
      <c r="F71" s="7"/>
      <c r="G71" s="7"/>
      <c r="H71" s="7"/>
      <c r="I71" s="7"/>
      <c r="J71" s="7"/>
      <c r="K71" s="7"/>
      <c r="L71" s="7"/>
    </row>
    <row r="72" spans="1:14" x14ac:dyDescent="0.3">
      <c r="A72" s="7"/>
      <c r="B72" s="296" t="s">
        <v>643</v>
      </c>
      <c r="C72" s="7"/>
      <c r="D72" s="7"/>
      <c r="E72" s="7"/>
      <c r="F72" s="7"/>
      <c r="G72" s="7"/>
      <c r="H72" s="7"/>
      <c r="I72" s="278">
        <f>H66/H56-1</f>
        <v>-1.5938859901708069E-2</v>
      </c>
      <c r="K72" s="7"/>
      <c r="L72" s="7"/>
    </row>
    <row r="74" spans="1:14" x14ac:dyDescent="0.3">
      <c r="A74" s="6" t="s">
        <v>3</v>
      </c>
      <c r="B74" s="4" t="s">
        <v>314</v>
      </c>
      <c r="C74" s="4"/>
      <c r="D74" s="4"/>
      <c r="E74" s="4"/>
      <c r="F74" s="4"/>
      <c r="G74" s="4"/>
      <c r="H74" s="4"/>
      <c r="I74" s="4"/>
      <c r="J74" s="4"/>
      <c r="K74" s="4"/>
      <c r="L74" s="4"/>
    </row>
    <row r="75" spans="1:14" x14ac:dyDescent="0.3">
      <c r="A75" s="3"/>
      <c r="B75" s="3"/>
      <c r="C75" s="3"/>
      <c r="D75" s="3"/>
      <c r="E75" s="3"/>
      <c r="F75" s="3"/>
      <c r="G75" s="4"/>
      <c r="H75" s="4"/>
      <c r="I75" s="4"/>
      <c r="J75" s="4"/>
      <c r="K75" s="4"/>
      <c r="L75" s="4"/>
    </row>
    <row r="76" spans="1:14" x14ac:dyDescent="0.3">
      <c r="A76" s="7"/>
      <c r="B76" s="7"/>
      <c r="C76" s="7"/>
      <c r="D76" s="7"/>
      <c r="E76" s="7"/>
      <c r="F76" s="7"/>
      <c r="G76" s="7"/>
      <c r="H76" s="7"/>
      <c r="I76" s="7"/>
      <c r="J76" s="7"/>
      <c r="K76" s="7"/>
      <c r="L76" s="7"/>
    </row>
    <row r="77" spans="1:14" x14ac:dyDescent="0.3">
      <c r="A77" s="7" t="s">
        <v>1</v>
      </c>
      <c r="B77" s="7"/>
      <c r="C77" s="7"/>
      <c r="D77" s="7"/>
      <c r="E77" s="7"/>
      <c r="F77" s="7"/>
      <c r="G77" s="7"/>
      <c r="H77" s="7"/>
      <c r="I77" s="7"/>
      <c r="J77" s="7"/>
      <c r="K77" s="7"/>
      <c r="L77" s="7"/>
    </row>
    <row r="78" spans="1:14" x14ac:dyDescent="0.3">
      <c r="A78" s="7"/>
      <c r="B78" s="7" t="s">
        <v>642</v>
      </c>
      <c r="C78" s="7"/>
      <c r="D78" s="7"/>
      <c r="E78" s="7"/>
      <c r="F78" s="7"/>
      <c r="G78" s="7"/>
      <c r="H78" s="7"/>
      <c r="I78" s="7"/>
      <c r="J78" s="7"/>
      <c r="K78" s="7"/>
      <c r="L78" s="7"/>
    </row>
    <row r="79" spans="1:14" x14ac:dyDescent="0.3">
      <c r="B79" s="7"/>
      <c r="C79" s="7"/>
      <c r="D79" s="7"/>
      <c r="E79" s="7"/>
      <c r="F79" s="7"/>
      <c r="G79" s="7"/>
      <c r="H79" s="7"/>
      <c r="I79" s="7"/>
      <c r="J79" s="7"/>
      <c r="K79" s="7"/>
      <c r="L79" s="7"/>
    </row>
  </sheetData>
  <mergeCells count="4">
    <mergeCell ref="B22:B23"/>
    <mergeCell ref="C22:E22"/>
    <mergeCell ref="B28:B29"/>
    <mergeCell ref="C28:D28"/>
  </mergeCells>
  <pageMargins left="0.7" right="0.7" top="0.75" bottom="0.75" header="0.3" footer="0.3"/>
  <pageSetup scale="6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C0CFA-0263-4D06-9CF2-2B0004AD7D10}">
  <dimension ref="A1:R83"/>
  <sheetViews>
    <sheetView zoomScaleNormal="100" workbookViewId="0"/>
  </sheetViews>
  <sheetFormatPr defaultColWidth="8.88671875" defaultRowHeight="15.6" x14ac:dyDescent="0.3"/>
  <cols>
    <col min="1" max="1" width="8.88671875" style="1" customWidth="1"/>
    <col min="2" max="2" width="15.6640625" style="1" customWidth="1"/>
    <col min="3" max="3" width="19.109375" style="1" customWidth="1"/>
    <col min="4" max="5" width="15.6640625" style="1" customWidth="1"/>
    <col min="6" max="6" width="14.5546875" style="1" customWidth="1"/>
    <col min="7" max="7" width="16.109375" style="1" customWidth="1"/>
    <col min="8" max="8" width="8.88671875" style="1" customWidth="1"/>
    <col min="9" max="16384" width="8.88671875" style="1"/>
  </cols>
  <sheetData>
    <row r="1" spans="1:12" ht="17.399999999999999" x14ac:dyDescent="0.3">
      <c r="A1" s="2" t="s">
        <v>20</v>
      </c>
      <c r="B1" s="4"/>
      <c r="C1" s="9" t="s">
        <v>21</v>
      </c>
      <c r="D1" s="4"/>
      <c r="E1" s="4"/>
      <c r="F1" s="4"/>
      <c r="G1" s="4"/>
      <c r="H1" s="4"/>
      <c r="I1" s="4"/>
      <c r="J1" s="4"/>
      <c r="K1" s="4"/>
      <c r="L1" s="3"/>
    </row>
    <row r="2" spans="1:12" x14ac:dyDescent="0.3">
      <c r="A2" s="4"/>
      <c r="B2" s="4"/>
      <c r="C2" s="4"/>
      <c r="D2" s="4"/>
      <c r="E2" s="4"/>
      <c r="F2" s="4"/>
      <c r="G2" s="4"/>
      <c r="H2" s="4"/>
      <c r="I2" s="4"/>
      <c r="J2" s="4"/>
      <c r="K2" s="4"/>
      <c r="L2" s="3"/>
    </row>
    <row r="4" spans="1:12" x14ac:dyDescent="0.3">
      <c r="A4" s="5" t="s">
        <v>9</v>
      </c>
      <c r="B4" s="3"/>
      <c r="C4" s="3"/>
      <c r="D4" s="3"/>
      <c r="E4" s="3"/>
      <c r="F4" s="3"/>
      <c r="G4" s="3"/>
      <c r="H4" s="3"/>
      <c r="I4" s="3"/>
      <c r="J4" s="3"/>
      <c r="K4" s="3"/>
      <c r="L4" s="3"/>
    </row>
    <row r="5" spans="1:12" x14ac:dyDescent="0.3">
      <c r="A5" s="7"/>
      <c r="B5" s="7"/>
      <c r="C5" s="7"/>
      <c r="D5" s="7"/>
      <c r="E5" s="7"/>
      <c r="F5" s="7"/>
      <c r="G5" s="7"/>
      <c r="H5" s="7"/>
      <c r="I5" s="7"/>
      <c r="J5" s="7"/>
      <c r="K5" s="7"/>
      <c r="L5" s="7"/>
    </row>
    <row r="6" spans="1:12" x14ac:dyDescent="0.3">
      <c r="A6" s="5" t="s">
        <v>22</v>
      </c>
      <c r="B6" s="3"/>
      <c r="C6" s="3"/>
      <c r="D6" s="3"/>
      <c r="E6" s="3"/>
      <c r="F6" s="3"/>
      <c r="G6" s="3"/>
      <c r="H6" s="3"/>
      <c r="I6" s="3"/>
      <c r="J6" s="3"/>
      <c r="K6" s="3"/>
      <c r="L6" s="3"/>
    </row>
    <row r="7" spans="1:12" x14ac:dyDescent="0.3">
      <c r="A7" s="7"/>
      <c r="B7" s="7"/>
      <c r="C7" s="7"/>
      <c r="D7" s="7"/>
      <c r="E7" s="7"/>
      <c r="F7" s="7"/>
      <c r="G7" s="7"/>
      <c r="H7" s="7"/>
      <c r="I7" s="7"/>
      <c r="J7" s="7"/>
      <c r="K7" s="7"/>
      <c r="L7" s="7"/>
    </row>
    <row r="8" spans="1:12" x14ac:dyDescent="0.3">
      <c r="A8" s="5" t="s">
        <v>23</v>
      </c>
      <c r="B8" s="3"/>
      <c r="C8" s="3"/>
      <c r="D8" s="3"/>
      <c r="E8" s="3"/>
      <c r="F8" s="3"/>
      <c r="G8" s="3"/>
      <c r="H8" s="3"/>
      <c r="I8" s="3"/>
      <c r="J8" s="3"/>
      <c r="K8" s="3"/>
      <c r="L8" s="3"/>
    </row>
    <row r="9" spans="1:12" x14ac:dyDescent="0.3">
      <c r="A9" s="7"/>
      <c r="B9" s="7"/>
      <c r="C9" s="7"/>
      <c r="D9" s="7"/>
      <c r="E9" s="7"/>
      <c r="F9" s="7"/>
      <c r="G9" s="7"/>
      <c r="H9" s="7"/>
      <c r="I9" s="7"/>
      <c r="J9" s="7"/>
      <c r="K9" s="7"/>
      <c r="L9" s="7"/>
    </row>
    <row r="10" spans="1:12" x14ac:dyDescent="0.3">
      <c r="A10" s="5" t="s">
        <v>24</v>
      </c>
      <c r="B10" s="3"/>
      <c r="C10" s="3"/>
      <c r="D10" s="3"/>
      <c r="E10" s="3"/>
      <c r="F10" s="3"/>
      <c r="G10" s="3"/>
      <c r="H10" s="3"/>
      <c r="I10" s="3"/>
      <c r="J10" s="3"/>
      <c r="K10" s="3"/>
      <c r="L10" s="3"/>
    </row>
    <row r="11" spans="1:12" x14ac:dyDescent="0.3">
      <c r="A11" s="7"/>
      <c r="B11" s="7"/>
      <c r="C11" s="7"/>
      <c r="D11" s="7"/>
      <c r="E11" s="7"/>
      <c r="F11" s="7"/>
      <c r="G11" s="7"/>
      <c r="H11" s="7"/>
      <c r="I11" s="7"/>
      <c r="J11" s="7"/>
      <c r="K11" s="7"/>
      <c r="L11" s="7"/>
    </row>
    <row r="12" spans="1:12" x14ac:dyDescent="0.3">
      <c r="A12" s="5" t="s">
        <v>25</v>
      </c>
      <c r="B12" s="3"/>
      <c r="C12" s="3"/>
      <c r="D12" s="3"/>
      <c r="E12" s="3"/>
      <c r="F12" s="3"/>
      <c r="G12" s="3"/>
      <c r="H12" s="3"/>
      <c r="I12" s="3"/>
      <c r="J12" s="3"/>
      <c r="K12" s="3"/>
      <c r="L12" s="3"/>
    </row>
    <row r="13" spans="1:12" x14ac:dyDescent="0.3">
      <c r="A13" s="7"/>
      <c r="B13" s="7"/>
      <c r="C13" s="7"/>
      <c r="D13" s="7"/>
      <c r="E13" s="7"/>
      <c r="F13" s="7"/>
      <c r="G13" s="7"/>
      <c r="H13" s="7"/>
      <c r="I13" s="7"/>
      <c r="J13" s="7"/>
      <c r="K13" s="7"/>
      <c r="L13" s="7"/>
    </row>
    <row r="14" spans="1:12" x14ac:dyDescent="0.3">
      <c r="A14" s="12" t="s">
        <v>26</v>
      </c>
      <c r="B14" s="12"/>
      <c r="C14" s="12"/>
      <c r="D14" s="12"/>
      <c r="E14" s="12"/>
      <c r="F14" s="12"/>
      <c r="G14" s="12"/>
      <c r="H14" s="12"/>
      <c r="I14" s="12"/>
      <c r="J14" s="12"/>
      <c r="K14" s="4"/>
      <c r="L14" s="3"/>
    </row>
    <row r="15" spans="1:12" x14ac:dyDescent="0.3">
      <c r="A15" s="13"/>
      <c r="B15" s="12"/>
      <c r="C15" s="12"/>
      <c r="D15" s="12"/>
      <c r="E15" s="12"/>
      <c r="F15" s="12"/>
      <c r="G15" s="12"/>
      <c r="H15" s="10"/>
      <c r="I15" s="10"/>
      <c r="J15" s="10"/>
      <c r="K15" s="10"/>
      <c r="L15" s="10"/>
    </row>
    <row r="16" spans="1:12" x14ac:dyDescent="0.3">
      <c r="A16" s="13"/>
      <c r="B16" s="18"/>
      <c r="C16" s="18"/>
      <c r="D16" s="322" t="s">
        <v>29</v>
      </c>
      <c r="E16" s="322" t="s">
        <v>30</v>
      </c>
      <c r="F16" s="12"/>
      <c r="G16" s="12"/>
      <c r="H16" s="10"/>
      <c r="I16" s="10"/>
      <c r="J16" s="10"/>
      <c r="K16" s="10"/>
      <c r="L16" s="10"/>
    </row>
    <row r="17" spans="1:18" x14ac:dyDescent="0.3">
      <c r="A17" s="13"/>
      <c r="B17" s="19" t="s">
        <v>27</v>
      </c>
      <c r="C17" s="19" t="s">
        <v>28</v>
      </c>
      <c r="D17" s="322"/>
      <c r="E17" s="322"/>
      <c r="F17" s="10"/>
      <c r="G17" s="12"/>
      <c r="H17" s="10"/>
      <c r="I17" s="10"/>
      <c r="J17" s="10"/>
      <c r="K17" s="10"/>
      <c r="L17" s="10"/>
    </row>
    <row r="18" spans="1:18" x14ac:dyDescent="0.3">
      <c r="A18" s="13"/>
      <c r="B18" s="17">
        <v>2013</v>
      </c>
      <c r="C18" s="20">
        <v>12603</v>
      </c>
      <c r="D18" s="20">
        <v>12974000</v>
      </c>
      <c r="E18" s="15">
        <v>1.042</v>
      </c>
      <c r="F18" s="12"/>
      <c r="G18" s="12"/>
      <c r="H18" s="10"/>
      <c r="I18" s="10"/>
      <c r="J18" s="10"/>
      <c r="K18" s="10"/>
      <c r="L18" s="10"/>
    </row>
    <row r="19" spans="1:18" x14ac:dyDescent="0.3">
      <c r="A19" s="13"/>
      <c r="B19" s="15">
        <v>2014</v>
      </c>
      <c r="C19" s="20">
        <v>13190</v>
      </c>
      <c r="D19" s="20">
        <v>13846250</v>
      </c>
      <c r="E19" s="15">
        <v>1.087</v>
      </c>
      <c r="F19" s="12"/>
      <c r="G19" s="12"/>
      <c r="H19" s="10"/>
      <c r="I19" s="10"/>
      <c r="J19" s="10"/>
      <c r="K19" s="10"/>
      <c r="L19" s="10"/>
    </row>
    <row r="20" spans="1:18" x14ac:dyDescent="0.3">
      <c r="A20" s="12"/>
      <c r="B20" s="15">
        <v>2015</v>
      </c>
      <c r="C20" s="20">
        <v>13631</v>
      </c>
      <c r="D20" s="20">
        <v>14074250</v>
      </c>
      <c r="E20" s="15">
        <v>1.149</v>
      </c>
      <c r="F20" s="12"/>
      <c r="G20" s="12"/>
      <c r="H20" s="10"/>
      <c r="I20" s="10"/>
      <c r="J20" s="10"/>
      <c r="K20" s="10"/>
      <c r="L20" s="10"/>
    </row>
    <row r="21" spans="1:18" x14ac:dyDescent="0.3">
      <c r="A21" s="12"/>
      <c r="B21" s="15">
        <v>2016</v>
      </c>
      <c r="C21" s="20">
        <v>13988</v>
      </c>
      <c r="D21" s="20">
        <v>13332300</v>
      </c>
      <c r="E21" s="15">
        <v>1.2350000000000001</v>
      </c>
      <c r="F21" s="12"/>
      <c r="G21" s="12"/>
      <c r="H21" s="10"/>
      <c r="I21" s="10"/>
      <c r="J21" s="10"/>
      <c r="K21" s="10"/>
      <c r="L21" s="10"/>
    </row>
    <row r="22" spans="1:18" x14ac:dyDescent="0.3">
      <c r="A22" s="13"/>
      <c r="B22" s="15">
        <v>2017</v>
      </c>
      <c r="C22" s="20">
        <v>15364</v>
      </c>
      <c r="D22" s="20">
        <v>14057100</v>
      </c>
      <c r="E22" s="15">
        <v>1.351</v>
      </c>
      <c r="F22" s="12"/>
      <c r="G22" s="12"/>
      <c r="H22" s="10"/>
      <c r="I22" s="10"/>
      <c r="J22" s="10"/>
      <c r="K22" s="10"/>
      <c r="L22" s="10"/>
    </row>
    <row r="23" spans="1:18" x14ac:dyDescent="0.3">
      <c r="A23" s="12"/>
      <c r="B23" s="15">
        <v>2018</v>
      </c>
      <c r="C23" s="20">
        <v>15949</v>
      </c>
      <c r="D23" s="20">
        <v>13586400</v>
      </c>
      <c r="E23" s="15">
        <v>1.5149999999999999</v>
      </c>
      <c r="F23" s="12"/>
      <c r="G23" s="12"/>
      <c r="H23" s="10"/>
      <c r="I23" s="10"/>
      <c r="J23" s="10"/>
      <c r="K23" s="10"/>
      <c r="L23" s="10"/>
    </row>
    <row r="24" spans="1:18" x14ac:dyDescent="0.3">
      <c r="A24" s="12"/>
      <c r="B24" s="15">
        <v>2019</v>
      </c>
      <c r="C24" s="20">
        <v>16270</v>
      </c>
      <c r="D24" s="20">
        <v>12601600</v>
      </c>
      <c r="E24" s="15">
        <v>1.754</v>
      </c>
      <c r="F24" s="12"/>
      <c r="G24" s="12"/>
      <c r="H24" s="10"/>
      <c r="I24" s="10"/>
      <c r="J24" s="10"/>
      <c r="K24" s="10"/>
      <c r="L24" s="10"/>
    </row>
    <row r="25" spans="1:18" x14ac:dyDescent="0.3">
      <c r="A25" s="12"/>
      <c r="B25" s="15">
        <v>2020</v>
      </c>
      <c r="C25" s="20">
        <v>16468</v>
      </c>
      <c r="D25" s="20">
        <v>10118900</v>
      </c>
      <c r="E25" s="15">
        <v>2.1280000000000001</v>
      </c>
      <c r="F25" s="12"/>
      <c r="G25" s="12"/>
      <c r="H25" s="9"/>
      <c r="I25" s="9"/>
      <c r="J25" s="9"/>
      <c r="K25" s="9"/>
      <c r="L25" s="9"/>
    </row>
    <row r="26" spans="1:18" x14ac:dyDescent="0.3">
      <c r="A26" s="12"/>
      <c r="B26" s="14" t="s">
        <v>31</v>
      </c>
      <c r="C26" s="21">
        <v>117464</v>
      </c>
      <c r="D26" s="21">
        <v>104590800</v>
      </c>
      <c r="E26" s="14"/>
      <c r="F26" s="12"/>
      <c r="G26" s="12"/>
      <c r="H26" s="9"/>
      <c r="I26" s="9"/>
      <c r="J26" s="9"/>
      <c r="K26" s="9"/>
      <c r="L26" s="9"/>
    </row>
    <row r="27" spans="1:18" x14ac:dyDescent="0.3">
      <c r="A27" s="9"/>
      <c r="B27" s="9"/>
      <c r="C27" s="9"/>
      <c r="D27" s="9"/>
      <c r="E27" s="9"/>
      <c r="F27" s="9"/>
      <c r="G27" s="9"/>
      <c r="H27" s="9"/>
      <c r="I27" s="9"/>
      <c r="J27" s="9"/>
      <c r="K27" s="9"/>
      <c r="L27" s="9"/>
    </row>
    <row r="28" spans="1:18" x14ac:dyDescent="0.3">
      <c r="A28" s="9"/>
      <c r="B28" s="90" t="s">
        <v>375</v>
      </c>
      <c r="C28" s="68"/>
      <c r="D28" s="89">
        <v>0.03</v>
      </c>
      <c r="E28" s="9"/>
      <c r="F28" s="9"/>
      <c r="G28" s="9"/>
      <c r="H28" s="9"/>
      <c r="I28" s="9"/>
      <c r="J28" s="9"/>
      <c r="K28" s="9"/>
      <c r="L28" s="9"/>
    </row>
    <row r="29" spans="1:18" x14ac:dyDescent="0.3">
      <c r="A29" s="9"/>
      <c r="B29" s="9"/>
      <c r="C29" s="9"/>
      <c r="D29" s="22"/>
      <c r="E29" s="9"/>
      <c r="F29" s="9"/>
      <c r="G29" s="9"/>
      <c r="H29" s="9"/>
      <c r="I29" s="9"/>
      <c r="J29" s="9"/>
      <c r="K29" s="9"/>
      <c r="L29" s="9"/>
    </row>
    <row r="30" spans="1:18" x14ac:dyDescent="0.3">
      <c r="A30" s="7"/>
      <c r="B30" s="7"/>
      <c r="C30" s="7"/>
      <c r="D30" s="7"/>
      <c r="E30" s="7"/>
      <c r="F30" s="7"/>
      <c r="G30" s="7"/>
      <c r="H30" s="7"/>
      <c r="I30" s="7"/>
      <c r="J30" s="7"/>
      <c r="K30" s="7"/>
      <c r="L30" s="7"/>
    </row>
    <row r="31" spans="1:18" x14ac:dyDescent="0.3">
      <c r="A31" s="6" t="s">
        <v>6</v>
      </c>
      <c r="B31" s="4" t="s">
        <v>32</v>
      </c>
      <c r="C31" s="4"/>
      <c r="D31" s="4"/>
      <c r="E31" s="4"/>
      <c r="F31" s="4"/>
      <c r="G31" s="4"/>
      <c r="H31" s="4"/>
      <c r="I31" s="4"/>
      <c r="J31" s="4"/>
      <c r="K31" s="4"/>
      <c r="L31" s="4"/>
      <c r="M31" s="8"/>
      <c r="N31" s="8"/>
      <c r="O31" s="8"/>
      <c r="P31" s="8"/>
      <c r="Q31" s="8"/>
      <c r="R31" s="8"/>
    </row>
    <row r="32" spans="1:18" x14ac:dyDescent="0.3">
      <c r="A32" s="3"/>
      <c r="B32" s="3"/>
      <c r="C32" s="3"/>
      <c r="D32" s="3"/>
      <c r="E32" s="3"/>
      <c r="F32" s="3"/>
      <c r="G32" s="4"/>
      <c r="H32" s="4"/>
      <c r="I32" s="4"/>
      <c r="J32" s="4"/>
      <c r="K32" s="4"/>
      <c r="L32" s="4"/>
    </row>
    <row r="33" spans="1:14" x14ac:dyDescent="0.3">
      <c r="A33" s="7"/>
      <c r="B33" s="7"/>
      <c r="C33" s="7"/>
      <c r="D33" s="7"/>
      <c r="E33" s="7"/>
      <c r="F33" s="7"/>
      <c r="G33" s="7"/>
      <c r="H33" s="7"/>
      <c r="I33" s="7"/>
      <c r="J33" s="7"/>
      <c r="K33" s="7"/>
      <c r="L33" s="7"/>
      <c r="M33" s="7"/>
    </row>
    <row r="34" spans="1:14" x14ac:dyDescent="0.3">
      <c r="A34" s="7" t="s">
        <v>1</v>
      </c>
      <c r="B34" s="7"/>
      <c r="C34" s="7"/>
      <c r="D34" s="7"/>
      <c r="E34" s="7"/>
      <c r="F34" s="7"/>
      <c r="G34" s="7"/>
      <c r="H34" s="7"/>
      <c r="I34" s="7"/>
      <c r="J34" s="7"/>
      <c r="K34" s="7"/>
      <c r="L34" s="7"/>
      <c r="M34" s="7"/>
      <c r="N34" s="8"/>
    </row>
    <row r="35" spans="1:14" ht="62.4" x14ac:dyDescent="0.3">
      <c r="A35" s="7"/>
      <c r="B35" s="122" t="s">
        <v>424</v>
      </c>
      <c r="C35" s="122" t="s">
        <v>425</v>
      </c>
      <c r="D35" s="122" t="s">
        <v>426</v>
      </c>
      <c r="E35" s="122" t="s">
        <v>427</v>
      </c>
      <c r="F35" s="122" t="s">
        <v>434</v>
      </c>
      <c r="G35" s="122" t="s">
        <v>428</v>
      </c>
      <c r="H35" s="115"/>
      <c r="I35" s="115"/>
      <c r="J35" s="7"/>
      <c r="K35" s="7"/>
      <c r="L35" s="7"/>
      <c r="M35" s="7"/>
      <c r="N35" s="8"/>
    </row>
    <row r="36" spans="1:14" x14ac:dyDescent="0.3">
      <c r="A36" s="7"/>
      <c r="B36" s="116">
        <f t="shared" ref="B36:B41" si="0">B37-1</f>
        <v>2013</v>
      </c>
      <c r="C36" s="138">
        <f t="shared" ref="C36:C43" si="1">D18*E18</f>
        <v>13518908</v>
      </c>
      <c r="D36" s="139">
        <f t="shared" ref="D36:D43" si="2">(1+$D$28)^($B$43-B36)</f>
        <v>1.22987386542487</v>
      </c>
      <c r="E36" s="140">
        <f t="shared" ref="E36:E43" si="3">C36*D36/C18</f>
        <v>1319.2534823679441</v>
      </c>
      <c r="F36" s="141">
        <f>$E$50/D36</f>
        <v>1103.6070758059652</v>
      </c>
      <c r="G36" s="142">
        <f t="shared" ref="G36:G43" si="4">C18*F36</f>
        <v>13908759.97638258</v>
      </c>
      <c r="H36" s="115"/>
      <c r="I36" s="115"/>
      <c r="J36" s="7"/>
      <c r="K36" s="7"/>
      <c r="L36" s="7"/>
      <c r="M36" s="7"/>
      <c r="N36" s="8"/>
    </row>
    <row r="37" spans="1:14" x14ac:dyDescent="0.3">
      <c r="A37" s="7"/>
      <c r="B37" s="116">
        <f t="shared" si="0"/>
        <v>2014</v>
      </c>
      <c r="C37" s="138">
        <f t="shared" si="1"/>
        <v>15050873.75</v>
      </c>
      <c r="D37" s="139">
        <f t="shared" si="2"/>
        <v>1.1940522965289999</v>
      </c>
      <c r="E37" s="140">
        <f t="shared" si="3"/>
        <v>1362.5117790716861</v>
      </c>
      <c r="F37" s="141">
        <f t="shared" ref="F37:F43" si="5">$E$50/D37</f>
        <v>1136.7152880801441</v>
      </c>
      <c r="G37" s="142">
        <f t="shared" si="4"/>
        <v>14993274.649777101</v>
      </c>
      <c r="H37" s="115"/>
      <c r="I37" s="115"/>
      <c r="J37" s="7"/>
      <c r="K37" s="7"/>
      <c r="L37" s="7"/>
      <c r="M37" s="7"/>
      <c r="N37" s="8"/>
    </row>
    <row r="38" spans="1:14" x14ac:dyDescent="0.3">
      <c r="A38" s="7"/>
      <c r="B38" s="116">
        <f t="shared" si="0"/>
        <v>2015</v>
      </c>
      <c r="C38" s="138">
        <f t="shared" si="1"/>
        <v>16171313.25</v>
      </c>
      <c r="D38" s="139">
        <f t="shared" si="2"/>
        <v>1.1592740742999998</v>
      </c>
      <c r="E38" s="140">
        <f t="shared" si="3"/>
        <v>1375.3198003161228</v>
      </c>
      <c r="F38" s="141">
        <f t="shared" si="5"/>
        <v>1170.8167467225485</v>
      </c>
      <c r="G38" s="142">
        <f t="shared" si="4"/>
        <v>15959403.074575059</v>
      </c>
      <c r="H38" s="115"/>
      <c r="I38" s="115"/>
      <c r="J38" s="7"/>
      <c r="K38" s="7"/>
      <c r="L38" s="7"/>
      <c r="M38" s="7"/>
      <c r="N38" s="8"/>
    </row>
    <row r="39" spans="1:14" x14ac:dyDescent="0.3">
      <c r="A39" s="7"/>
      <c r="B39" s="116">
        <f t="shared" si="0"/>
        <v>2016</v>
      </c>
      <c r="C39" s="138">
        <f t="shared" si="1"/>
        <v>16465390.500000002</v>
      </c>
      <c r="D39" s="139">
        <f t="shared" si="2"/>
        <v>1.1255088099999999</v>
      </c>
      <c r="E39" s="140">
        <f t="shared" si="3"/>
        <v>1324.8457297569562</v>
      </c>
      <c r="F39" s="141">
        <f t="shared" si="5"/>
        <v>1205.9412491242249</v>
      </c>
      <c r="G39" s="142">
        <f t="shared" si="4"/>
        <v>16868706.192749657</v>
      </c>
      <c r="H39" s="115"/>
      <c r="I39" s="115"/>
      <c r="J39" s="7"/>
      <c r="K39" s="7"/>
      <c r="L39" s="7"/>
      <c r="M39" s="7"/>
      <c r="N39" s="8"/>
    </row>
    <row r="40" spans="1:14" x14ac:dyDescent="0.3">
      <c r="A40" s="7"/>
      <c r="B40" s="116">
        <f t="shared" si="0"/>
        <v>2017</v>
      </c>
      <c r="C40" s="138">
        <f t="shared" si="1"/>
        <v>18991142.100000001</v>
      </c>
      <c r="D40" s="139">
        <f t="shared" si="2"/>
        <v>1.092727</v>
      </c>
      <c r="E40" s="140">
        <f t="shared" si="3"/>
        <v>1350.6986288405819</v>
      </c>
      <c r="F40" s="141">
        <f t="shared" si="5"/>
        <v>1242.1194865979517</v>
      </c>
      <c r="G40" s="142">
        <f t="shared" si="4"/>
        <v>19083923.79209093</v>
      </c>
      <c r="H40" s="115"/>
      <c r="I40" s="115"/>
      <c r="J40" s="7"/>
      <c r="K40" s="7"/>
      <c r="L40" s="7"/>
      <c r="M40" s="7"/>
      <c r="N40" s="8"/>
    </row>
    <row r="41" spans="1:14" x14ac:dyDescent="0.3">
      <c r="A41" s="7"/>
      <c r="B41" s="116">
        <f t="shared" si="0"/>
        <v>2018</v>
      </c>
      <c r="C41" s="138">
        <f t="shared" si="1"/>
        <v>20583396</v>
      </c>
      <c r="D41" s="139">
        <f t="shared" si="2"/>
        <v>1.0609</v>
      </c>
      <c r="E41" s="140">
        <f t="shared" si="3"/>
        <v>1369.1720368925951</v>
      </c>
      <c r="F41" s="141">
        <f t="shared" si="5"/>
        <v>1279.3830711958901</v>
      </c>
      <c r="G41" s="142">
        <f t="shared" si="4"/>
        <v>20404880.602503251</v>
      </c>
      <c r="H41" s="115"/>
      <c r="I41" s="115"/>
      <c r="J41" s="7"/>
      <c r="K41" s="7"/>
      <c r="L41" s="7"/>
      <c r="M41" s="7"/>
      <c r="N41" s="8"/>
    </row>
    <row r="42" spans="1:14" x14ac:dyDescent="0.3">
      <c r="A42" s="7"/>
      <c r="B42" s="116">
        <f>B43-1</f>
        <v>2019</v>
      </c>
      <c r="C42" s="138">
        <f t="shared" si="1"/>
        <v>22103206.399999999</v>
      </c>
      <c r="D42" s="139">
        <f t="shared" si="2"/>
        <v>1.03</v>
      </c>
      <c r="E42" s="140">
        <f t="shared" si="3"/>
        <v>1399.2810443761525</v>
      </c>
      <c r="F42" s="141">
        <f t="shared" si="5"/>
        <v>1317.7645633317668</v>
      </c>
      <c r="G42" s="142">
        <f t="shared" si="4"/>
        <v>21440029.445407845</v>
      </c>
      <c r="H42" s="115"/>
      <c r="I42" s="115"/>
      <c r="J42" s="7"/>
      <c r="K42" s="7"/>
      <c r="L42" s="7"/>
      <c r="M42" s="7"/>
      <c r="N42" s="8"/>
    </row>
    <row r="43" spans="1:14" x14ac:dyDescent="0.3">
      <c r="A43" s="7"/>
      <c r="B43" s="113">
        <v>2020</v>
      </c>
      <c r="C43" s="143">
        <f t="shared" si="1"/>
        <v>21533019.200000003</v>
      </c>
      <c r="D43" s="144">
        <f t="shared" si="2"/>
        <v>1</v>
      </c>
      <c r="E43" s="145">
        <f t="shared" si="3"/>
        <v>1307.5673548700511</v>
      </c>
      <c r="F43" s="146">
        <f t="shared" si="5"/>
        <v>1357.2975002317198</v>
      </c>
      <c r="G43" s="147">
        <f t="shared" si="4"/>
        <v>22351975.233815961</v>
      </c>
      <c r="H43" s="115"/>
      <c r="I43" s="115"/>
      <c r="J43" s="7"/>
      <c r="K43" s="7"/>
      <c r="L43" s="7"/>
      <c r="M43" s="7"/>
      <c r="N43" s="8"/>
    </row>
    <row r="44" spans="1:14" x14ac:dyDescent="0.3">
      <c r="A44" s="7"/>
      <c r="B44" s="116" t="s">
        <v>31</v>
      </c>
      <c r="C44" s="138">
        <f>SUM(C36:C43)</f>
        <v>144417249.19999999</v>
      </c>
      <c r="D44" s="115"/>
      <c r="E44" s="141"/>
      <c r="F44" s="141"/>
      <c r="G44" s="142">
        <f>SUM(G36:G43)</f>
        <v>145010952.96730241</v>
      </c>
      <c r="H44" s="115"/>
      <c r="I44" s="115"/>
      <c r="J44" s="7"/>
      <c r="K44" s="7"/>
      <c r="L44" s="7"/>
      <c r="M44" s="7"/>
      <c r="N44" s="8"/>
    </row>
    <row r="45" spans="1:14" x14ac:dyDescent="0.3">
      <c r="A45" s="7"/>
      <c r="B45" s="148"/>
      <c r="C45" s="148"/>
      <c r="D45" s="148"/>
      <c r="E45" s="148"/>
      <c r="F45" s="148"/>
      <c r="G45" s="148"/>
      <c r="H45" s="148"/>
      <c r="I45" s="115"/>
      <c r="J45" s="7"/>
      <c r="K45" s="7"/>
      <c r="L45" s="7"/>
      <c r="M45" s="7"/>
      <c r="N45" s="8"/>
    </row>
    <row r="46" spans="1:14" x14ac:dyDescent="0.3">
      <c r="A46" s="7"/>
      <c r="B46" s="148"/>
      <c r="C46" s="117"/>
      <c r="D46" s="149" t="s">
        <v>429</v>
      </c>
      <c r="E46" s="150"/>
      <c r="F46" s="117"/>
      <c r="G46" s="117"/>
      <c r="H46" s="115"/>
      <c r="I46" s="115"/>
      <c r="J46" s="7"/>
      <c r="K46" s="7"/>
      <c r="L46" s="7"/>
      <c r="M46" s="7"/>
      <c r="N46" s="8"/>
    </row>
    <row r="47" spans="1:14" x14ac:dyDescent="0.3">
      <c r="A47" s="7"/>
      <c r="B47" s="148"/>
      <c r="C47" s="117"/>
      <c r="D47" s="149" t="s">
        <v>430</v>
      </c>
      <c r="E47" s="140">
        <f>AVERAGE(E36:E42)</f>
        <v>1357.2975002317198</v>
      </c>
      <c r="F47" s="117"/>
      <c r="G47" s="117"/>
      <c r="H47" s="115"/>
      <c r="I47" s="115"/>
      <c r="J47" s="7"/>
      <c r="K47" s="7"/>
      <c r="L47" s="7"/>
      <c r="M47" s="7"/>
      <c r="N47" s="8"/>
    </row>
    <row r="48" spans="1:14" x14ac:dyDescent="0.3">
      <c r="A48" s="7"/>
      <c r="B48" s="148"/>
      <c r="C48" s="117"/>
      <c r="D48" s="149" t="s">
        <v>431</v>
      </c>
      <c r="E48" s="140">
        <f>AVERAGE(E37:E41)</f>
        <v>1356.5095949755885</v>
      </c>
      <c r="F48" s="117"/>
      <c r="G48"/>
      <c r="H48"/>
      <c r="I48"/>
      <c r="J48"/>
      <c r="K48" s="7"/>
      <c r="L48" s="7"/>
      <c r="M48" s="7"/>
      <c r="N48" s="8"/>
    </row>
    <row r="49" spans="1:14" x14ac:dyDescent="0.3">
      <c r="A49" s="7"/>
      <c r="B49" s="148"/>
      <c r="C49" s="117"/>
      <c r="D49" s="149" t="s">
        <v>432</v>
      </c>
      <c r="E49" s="140">
        <f>AVERAGE(E39:E43)</f>
        <v>1350.3129589472676</v>
      </c>
      <c r="F49" s="117"/>
      <c r="G49"/>
      <c r="H49"/>
      <c r="I49"/>
      <c r="J49"/>
      <c r="K49" s="7"/>
      <c r="L49" s="7"/>
      <c r="M49" s="7"/>
      <c r="N49" s="8"/>
    </row>
    <row r="50" spans="1:14" x14ac:dyDescent="0.3">
      <c r="A50" s="7"/>
      <c r="B50" s="148"/>
      <c r="C50" s="117"/>
      <c r="D50" s="149" t="s">
        <v>433</v>
      </c>
      <c r="E50" s="140">
        <f>E47</f>
        <v>1357.2975002317198</v>
      </c>
      <c r="F50" s="117"/>
      <c r="G50"/>
      <c r="H50"/>
      <c r="I50"/>
      <c r="J50"/>
      <c r="K50" s="7"/>
      <c r="L50" s="7"/>
      <c r="M50" s="7"/>
      <c r="N50" s="8"/>
    </row>
    <row r="51" spans="1:14" x14ac:dyDescent="0.3">
      <c r="M51" s="8"/>
      <c r="N51" s="8"/>
    </row>
    <row r="52" spans="1:14" x14ac:dyDescent="0.3">
      <c r="A52" s="6" t="s">
        <v>7</v>
      </c>
      <c r="B52" s="323" t="s">
        <v>145</v>
      </c>
      <c r="C52" s="323"/>
      <c r="D52" s="323"/>
      <c r="E52" s="323"/>
      <c r="F52" s="323"/>
      <c r="G52" s="323"/>
      <c r="H52" s="323"/>
      <c r="I52" s="323"/>
      <c r="J52" s="323"/>
      <c r="K52" s="323"/>
      <c r="L52" s="323"/>
    </row>
    <row r="53" spans="1:14" x14ac:dyDescent="0.3">
      <c r="A53" s="6"/>
      <c r="B53" s="323"/>
      <c r="C53" s="323"/>
      <c r="D53" s="323"/>
      <c r="E53" s="323"/>
      <c r="F53" s="323"/>
      <c r="G53" s="323"/>
      <c r="H53" s="323"/>
      <c r="I53" s="323"/>
      <c r="J53" s="323"/>
      <c r="K53" s="323"/>
      <c r="L53" s="323"/>
    </row>
    <row r="54" spans="1:14" x14ac:dyDescent="0.3">
      <c r="A54" s="3"/>
      <c r="B54" s="3"/>
      <c r="C54" s="3"/>
      <c r="D54" s="3"/>
      <c r="E54" s="3"/>
      <c r="F54" s="3"/>
      <c r="G54" s="4"/>
      <c r="H54" s="4"/>
      <c r="I54" s="4"/>
      <c r="J54" s="4"/>
      <c r="K54" s="4"/>
      <c r="L54" s="4"/>
    </row>
    <row r="55" spans="1:14" x14ac:dyDescent="0.3">
      <c r="A55" s="7"/>
      <c r="B55" s="7"/>
      <c r="C55" s="7"/>
      <c r="D55" s="7"/>
      <c r="E55" s="7"/>
      <c r="F55" s="7"/>
      <c r="G55" s="7"/>
      <c r="H55" s="7"/>
      <c r="I55" s="7"/>
      <c r="J55" s="7"/>
      <c r="K55" s="7"/>
      <c r="L55" s="7"/>
    </row>
    <row r="56" spans="1:14" x14ac:dyDescent="0.3">
      <c r="A56" s="7" t="s">
        <v>1</v>
      </c>
      <c r="B56" s="7"/>
      <c r="C56" s="7"/>
      <c r="D56" s="7"/>
      <c r="E56" s="7"/>
      <c r="F56" s="7"/>
      <c r="G56" s="7"/>
      <c r="H56" s="7"/>
      <c r="I56" s="7"/>
      <c r="J56" s="7"/>
      <c r="K56" s="7"/>
      <c r="L56" s="7"/>
    </row>
    <row r="57" spans="1:14" ht="31.2" x14ac:dyDescent="0.3">
      <c r="A57" s="7"/>
      <c r="B57" s="122" t="s">
        <v>27</v>
      </c>
      <c r="C57" s="122" t="s">
        <v>435</v>
      </c>
      <c r="D57" s="122" t="s">
        <v>436</v>
      </c>
      <c r="E57" s="122" t="s">
        <v>437</v>
      </c>
      <c r="F57" s="7"/>
      <c r="G57" s="7"/>
      <c r="H57" s="7"/>
      <c r="I57" s="7"/>
      <c r="J57" s="7"/>
      <c r="K57" s="7"/>
      <c r="L57" s="7"/>
    </row>
    <row r="58" spans="1:14" x14ac:dyDescent="0.3">
      <c r="A58" s="7"/>
      <c r="B58" s="116">
        <f t="shared" ref="B58:B63" si="6">B59-1</f>
        <v>2013</v>
      </c>
      <c r="C58" s="151">
        <f>1-(1/E18)</f>
        <v>4.0307101727447225E-2</v>
      </c>
      <c r="D58" s="133">
        <f t="shared" ref="D58:D65" si="7">C58*G36</f>
        <v>560621.80327069911</v>
      </c>
      <c r="E58" s="133">
        <f>D58+D18</f>
        <v>13534621.803270699</v>
      </c>
      <c r="F58" s="7"/>
      <c r="G58" s="7"/>
      <c r="H58" s="7"/>
      <c r="I58" s="7"/>
      <c r="J58" s="7"/>
      <c r="K58" s="7"/>
      <c r="L58" s="7"/>
    </row>
    <row r="59" spans="1:14" x14ac:dyDescent="0.3">
      <c r="B59" s="116">
        <f t="shared" si="6"/>
        <v>2014</v>
      </c>
      <c r="C59" s="151">
        <f t="shared" ref="C59:C65" si="8">1-(1/E19)</f>
        <v>8.0036798528058894E-2</v>
      </c>
      <c r="D59" s="133">
        <f t="shared" si="7"/>
        <v>1200013.7024200626</v>
      </c>
      <c r="E59" s="133">
        <f t="shared" ref="E59:E65" si="9">D59+D19</f>
        <v>15046263.702420063</v>
      </c>
      <c r="M59" s="7"/>
    </row>
    <row r="60" spans="1:14" x14ac:dyDescent="0.3">
      <c r="B60" s="116">
        <f t="shared" si="6"/>
        <v>2015</v>
      </c>
      <c r="C60" s="151">
        <f t="shared" si="8"/>
        <v>0.1296779808529156</v>
      </c>
      <c r="D60" s="133">
        <f t="shared" si="7"/>
        <v>2069583.1663287068</v>
      </c>
      <c r="E60" s="133">
        <f t="shared" si="9"/>
        <v>16143833.166328706</v>
      </c>
      <c r="M60" s="7"/>
    </row>
    <row r="61" spans="1:14" x14ac:dyDescent="0.3">
      <c r="B61" s="116">
        <f t="shared" si="6"/>
        <v>2016</v>
      </c>
      <c r="C61" s="151">
        <f t="shared" si="8"/>
        <v>0.19028340080971662</v>
      </c>
      <c r="D61" s="133">
        <f t="shared" si="7"/>
        <v>3209834.7816163315</v>
      </c>
      <c r="E61" s="133">
        <f t="shared" si="9"/>
        <v>16542134.781616332</v>
      </c>
      <c r="M61" s="7"/>
    </row>
    <row r="62" spans="1:14" x14ac:dyDescent="0.3">
      <c r="B62" s="116">
        <f t="shared" si="6"/>
        <v>2017</v>
      </c>
      <c r="C62" s="151">
        <f t="shared" si="8"/>
        <v>0.25980754996299038</v>
      </c>
      <c r="D62" s="133">
        <f t="shared" si="7"/>
        <v>4958147.4841035651</v>
      </c>
      <c r="E62" s="133">
        <f t="shared" si="9"/>
        <v>19015247.484103564</v>
      </c>
    </row>
    <row r="63" spans="1:14" x14ac:dyDescent="0.3">
      <c r="B63" s="116">
        <f t="shared" si="6"/>
        <v>2018</v>
      </c>
      <c r="C63" s="151">
        <f t="shared" si="8"/>
        <v>0.33993399339933994</v>
      </c>
      <c r="D63" s="133">
        <f t="shared" si="7"/>
        <v>6936312.5480456594</v>
      </c>
      <c r="E63" s="133">
        <f t="shared" si="9"/>
        <v>20522712.548045658</v>
      </c>
    </row>
    <row r="64" spans="1:14" x14ac:dyDescent="0.3">
      <c r="B64" s="116">
        <f>B65-1</f>
        <v>2019</v>
      </c>
      <c r="C64" s="151">
        <f t="shared" si="8"/>
        <v>0.4298745724059293</v>
      </c>
      <c r="D64" s="133">
        <f t="shared" si="7"/>
        <v>9216523.4902152307</v>
      </c>
      <c r="E64" s="133">
        <f t="shared" si="9"/>
        <v>21818123.490215231</v>
      </c>
    </row>
    <row r="65" spans="1:14" x14ac:dyDescent="0.3">
      <c r="B65" s="113">
        <v>2020</v>
      </c>
      <c r="C65" s="152">
        <f t="shared" si="8"/>
        <v>0.53007518796992481</v>
      </c>
      <c r="D65" s="153">
        <f t="shared" si="7"/>
        <v>11848227.4735641</v>
      </c>
      <c r="E65" s="153">
        <f t="shared" si="9"/>
        <v>21967127.4735641</v>
      </c>
    </row>
    <row r="66" spans="1:14" x14ac:dyDescent="0.3">
      <c r="B66" s="116" t="s">
        <v>31</v>
      </c>
      <c r="C66" s="133"/>
      <c r="D66" s="133">
        <f t="shared" ref="D66:E66" si="10">SUM(D58:D65)</f>
        <v>39999264.449564353</v>
      </c>
      <c r="E66" s="133">
        <f t="shared" si="10"/>
        <v>144590064.44956434</v>
      </c>
    </row>
    <row r="68" spans="1:14" x14ac:dyDescent="0.3">
      <c r="A68" s="6" t="s">
        <v>8</v>
      </c>
      <c r="B68" s="4" t="s">
        <v>33</v>
      </c>
      <c r="C68" s="4"/>
      <c r="D68" s="4"/>
      <c r="E68" s="4"/>
      <c r="F68" s="4"/>
      <c r="G68" s="4"/>
      <c r="H68" s="4"/>
      <c r="I68" s="4"/>
      <c r="J68" s="4"/>
      <c r="K68" s="4"/>
      <c r="L68" s="4"/>
    </row>
    <row r="69" spans="1:14" x14ac:dyDescent="0.3">
      <c r="A69" s="3"/>
      <c r="B69" s="3"/>
      <c r="C69" s="3"/>
      <c r="D69" s="3"/>
      <c r="E69" s="3"/>
      <c r="F69" s="3"/>
      <c r="G69" s="4"/>
      <c r="H69" s="4"/>
      <c r="I69" s="4"/>
      <c r="J69" s="4"/>
      <c r="K69" s="4"/>
      <c r="L69" s="4"/>
    </row>
    <row r="70" spans="1:14" x14ac:dyDescent="0.3">
      <c r="A70" s="7"/>
      <c r="B70" s="7"/>
      <c r="C70" s="7"/>
      <c r="D70" s="7"/>
      <c r="E70" s="7"/>
      <c r="F70" s="7"/>
      <c r="G70" s="7"/>
      <c r="H70" s="7"/>
      <c r="I70" s="7"/>
      <c r="J70" s="7"/>
      <c r="K70" s="7"/>
      <c r="L70" s="7"/>
    </row>
    <row r="71" spans="1:14" x14ac:dyDescent="0.3">
      <c r="A71" s="7" t="s">
        <v>1</v>
      </c>
      <c r="B71" s="7"/>
      <c r="C71" s="7"/>
      <c r="D71" s="7"/>
      <c r="E71" s="7"/>
      <c r="F71" s="7"/>
      <c r="G71" s="7"/>
      <c r="H71" s="7"/>
      <c r="I71" s="7"/>
      <c r="J71" s="7"/>
      <c r="K71" s="7"/>
      <c r="L71" s="7"/>
    </row>
    <row r="72" spans="1:14" ht="46.8" x14ac:dyDescent="0.3">
      <c r="A72" s="7"/>
      <c r="B72" s="122" t="s">
        <v>27</v>
      </c>
      <c r="C72" s="122" t="s">
        <v>438</v>
      </c>
      <c r="D72" s="122" t="s">
        <v>136</v>
      </c>
      <c r="E72" s="122" t="s">
        <v>439</v>
      </c>
      <c r="F72" s="7"/>
      <c r="G72" s="7"/>
      <c r="H72" s="7"/>
      <c r="I72" s="7"/>
      <c r="J72" s="7"/>
      <c r="K72" s="7"/>
      <c r="L72" s="7"/>
    </row>
    <row r="73" spans="1:14" x14ac:dyDescent="0.3">
      <c r="A73" s="7"/>
      <c r="B73" s="116">
        <f t="shared" ref="B73:B78" si="11">B74-1</f>
        <v>2013</v>
      </c>
      <c r="C73" s="133">
        <f>G36-D58</f>
        <v>13348138.17311188</v>
      </c>
      <c r="D73" s="133">
        <f>D18-C73</f>
        <v>-374138.1731118802</v>
      </c>
      <c r="E73" s="156">
        <f>D73/C73</f>
        <v>-2.8029240352451083E-2</v>
      </c>
      <c r="F73" s="7"/>
      <c r="G73" s="7"/>
      <c r="H73" s="7"/>
      <c r="I73" s="7"/>
      <c r="J73" s="7"/>
      <c r="K73" s="7"/>
      <c r="L73" s="7"/>
    </row>
    <row r="74" spans="1:14" x14ac:dyDescent="0.3">
      <c r="B74" s="116">
        <f t="shared" si="11"/>
        <v>2014</v>
      </c>
      <c r="C74" s="133">
        <f t="shared" ref="C74:C80" si="12">G37-D59</f>
        <v>13793260.947357038</v>
      </c>
      <c r="D74" s="133">
        <f t="shared" ref="D74:D80" si="13">D19-C74</f>
        <v>52989.052642961964</v>
      </c>
      <c r="E74" s="156">
        <f t="shared" ref="E74:E81" si="14">D74/C74</f>
        <v>3.8416624498875539E-3</v>
      </c>
    </row>
    <row r="75" spans="1:14" x14ac:dyDescent="0.3">
      <c r="B75" s="116">
        <f t="shared" si="11"/>
        <v>2015</v>
      </c>
      <c r="C75" s="133">
        <f t="shared" si="12"/>
        <v>13889819.908246353</v>
      </c>
      <c r="D75" s="133">
        <f t="shared" si="13"/>
        <v>184430.09175364673</v>
      </c>
      <c r="E75" s="156">
        <f t="shared" si="14"/>
        <v>1.3278076531730337E-2</v>
      </c>
    </row>
    <row r="76" spans="1:14" x14ac:dyDescent="0.3">
      <c r="B76" s="116">
        <f t="shared" si="11"/>
        <v>2016</v>
      </c>
      <c r="C76" s="133">
        <f t="shared" si="12"/>
        <v>13658871.411133325</v>
      </c>
      <c r="D76" s="133">
        <f t="shared" si="13"/>
        <v>-326571.41113332473</v>
      </c>
      <c r="E76" s="156">
        <f t="shared" si="14"/>
        <v>-2.3909106492293126E-2</v>
      </c>
      <c r="M76" s="7"/>
      <c r="N76" s="7"/>
    </row>
    <row r="77" spans="1:14" x14ac:dyDescent="0.3">
      <c r="B77" s="116">
        <f t="shared" si="11"/>
        <v>2017</v>
      </c>
      <c r="C77" s="133">
        <f t="shared" si="12"/>
        <v>14125776.307987366</v>
      </c>
      <c r="D77" s="133">
        <f t="shared" si="13"/>
        <v>-68676.307987365872</v>
      </c>
      <c r="E77" s="156">
        <f t="shared" si="14"/>
        <v>-4.8617723012173934E-3</v>
      </c>
      <c r="M77" s="7"/>
      <c r="N77" s="7"/>
    </row>
    <row r="78" spans="1:14" x14ac:dyDescent="0.3">
      <c r="B78" s="116">
        <f t="shared" si="11"/>
        <v>2018</v>
      </c>
      <c r="C78" s="133">
        <f t="shared" si="12"/>
        <v>13468568.054457592</v>
      </c>
      <c r="D78" s="133">
        <f t="shared" si="13"/>
        <v>117831.94554240815</v>
      </c>
      <c r="E78" s="156">
        <f t="shared" si="14"/>
        <v>8.7486617037518099E-3</v>
      </c>
      <c r="M78" s="7"/>
      <c r="N78" s="7"/>
    </row>
    <row r="79" spans="1:14" x14ac:dyDescent="0.3">
      <c r="B79" s="116">
        <f>B80-1</f>
        <v>2019</v>
      </c>
      <c r="C79" s="133">
        <f t="shared" si="12"/>
        <v>12223505.955192614</v>
      </c>
      <c r="D79" s="133">
        <f t="shared" si="13"/>
        <v>378094.04480738565</v>
      </c>
      <c r="E79" s="156">
        <f t="shared" si="14"/>
        <v>3.0931718460591839E-2</v>
      </c>
    </row>
    <row r="80" spans="1:14" x14ac:dyDescent="0.3">
      <c r="B80" s="113">
        <v>2020</v>
      </c>
      <c r="C80" s="153">
        <f t="shared" si="12"/>
        <v>10503747.760251861</v>
      </c>
      <c r="D80" s="153">
        <f t="shared" si="13"/>
        <v>-384847.76025186107</v>
      </c>
      <c r="E80" s="157">
        <f t="shared" si="14"/>
        <v>-3.6639090069184324E-2</v>
      </c>
    </row>
    <row r="81" spans="2:5" x14ac:dyDescent="0.3">
      <c r="B81" s="116" t="s">
        <v>31</v>
      </c>
      <c r="C81" s="133">
        <f>SUM(C73:C80)</f>
        <v>105011688.51773803</v>
      </c>
      <c r="D81" s="133">
        <f t="shared" ref="D81" si="15">SUM(D73:D80)</f>
        <v>-420888.51773802936</v>
      </c>
      <c r="E81" s="156">
        <f t="shared" si="14"/>
        <v>-4.0080159045050977E-3</v>
      </c>
    </row>
    <row r="83" spans="2:5" x14ac:dyDescent="0.3">
      <c r="B83" s="1" t="s">
        <v>440</v>
      </c>
    </row>
  </sheetData>
  <mergeCells count="3">
    <mergeCell ref="D16:D17"/>
    <mergeCell ref="E16:E17"/>
    <mergeCell ref="B52:L53"/>
  </mergeCells>
  <pageMargins left="0.7" right="0.7" top="0.75" bottom="0.75" header="0.3" footer="0.3"/>
  <pageSetup scale="67"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5BE6-A3B0-446C-A976-BDFDCFE1B520}">
  <dimension ref="A1:R56"/>
  <sheetViews>
    <sheetView zoomScaleNormal="100" workbookViewId="0"/>
  </sheetViews>
  <sheetFormatPr defaultColWidth="8.88671875" defaultRowHeight="15.6" x14ac:dyDescent="0.3"/>
  <cols>
    <col min="1" max="1" width="8.88671875" style="1" customWidth="1"/>
    <col min="2" max="2" width="14" style="1" customWidth="1"/>
    <col min="3" max="3" width="16.33203125" style="1" customWidth="1"/>
    <col min="4" max="4" width="18" style="1" customWidth="1"/>
    <col min="5" max="5" width="14.77734375" style="1" customWidth="1"/>
    <col min="6" max="6" width="16.6640625" style="1" customWidth="1"/>
    <col min="7" max="7" width="12.6640625" style="1" customWidth="1"/>
    <col min="8" max="8" width="8.88671875" style="1" customWidth="1"/>
    <col min="9" max="16384" width="8.88671875" style="1"/>
  </cols>
  <sheetData>
    <row r="1" spans="1:18" ht="17.399999999999999" x14ac:dyDescent="0.3">
      <c r="A1" s="2" t="s">
        <v>315</v>
      </c>
      <c r="B1" s="4"/>
      <c r="C1" s="9" t="s">
        <v>10</v>
      </c>
      <c r="D1" s="4"/>
      <c r="E1" s="4"/>
      <c r="F1" s="4"/>
      <c r="G1" s="4"/>
      <c r="H1" s="4"/>
      <c r="I1" s="4"/>
      <c r="J1" s="4"/>
      <c r="K1" s="4"/>
      <c r="L1" s="3"/>
    </row>
    <row r="2" spans="1:18" x14ac:dyDescent="0.3">
      <c r="A2" s="4"/>
      <c r="B2" s="4"/>
      <c r="C2" s="4"/>
      <c r="D2" s="4"/>
      <c r="E2" s="4"/>
      <c r="F2" s="4"/>
      <c r="G2" s="4"/>
      <c r="H2" s="4"/>
      <c r="I2" s="4"/>
      <c r="J2" s="4"/>
      <c r="K2" s="4"/>
      <c r="L2" s="3"/>
    </row>
    <row r="3" spans="1:18" x14ac:dyDescent="0.3">
      <c r="A3" s="12" t="s">
        <v>316</v>
      </c>
      <c r="B3" s="12"/>
      <c r="C3" s="12"/>
      <c r="D3" s="12"/>
      <c r="E3" s="12"/>
      <c r="F3" s="12"/>
      <c r="G3" s="12"/>
      <c r="H3" s="12"/>
      <c r="I3" s="12"/>
      <c r="J3" s="12"/>
      <c r="K3" s="4"/>
      <c r="L3" s="3"/>
    </row>
    <row r="4" spans="1:18" s="11" customFormat="1" x14ac:dyDescent="0.3">
      <c r="A4" s="13"/>
      <c r="B4" s="12"/>
      <c r="C4" s="12"/>
      <c r="D4" s="12"/>
      <c r="E4" s="12"/>
      <c r="F4" s="12"/>
      <c r="G4" s="12"/>
      <c r="H4" s="10"/>
      <c r="I4" s="10"/>
      <c r="J4" s="10"/>
      <c r="K4" s="10"/>
      <c r="L4" s="10"/>
    </row>
    <row r="5" spans="1:18" s="11" customFormat="1" ht="62.4" x14ac:dyDescent="0.3">
      <c r="A5" s="13"/>
      <c r="B5" s="16" t="s">
        <v>54</v>
      </c>
      <c r="C5" s="16" t="s">
        <v>28</v>
      </c>
      <c r="D5" s="16" t="s">
        <v>317</v>
      </c>
      <c r="E5" s="16" t="s">
        <v>318</v>
      </c>
      <c r="F5" s="16" t="s">
        <v>319</v>
      </c>
      <c r="G5" s="16" t="s">
        <v>320</v>
      </c>
      <c r="H5" s="10"/>
      <c r="I5" s="10"/>
      <c r="J5" s="10"/>
      <c r="K5" s="10"/>
      <c r="L5" s="10"/>
    </row>
    <row r="6" spans="1:18" s="11" customFormat="1" x14ac:dyDescent="0.3">
      <c r="A6" s="13"/>
      <c r="B6" s="29">
        <v>2018</v>
      </c>
      <c r="C6" s="55">
        <v>32500</v>
      </c>
      <c r="D6" s="55">
        <v>8800000</v>
      </c>
      <c r="E6" s="55">
        <v>8700000</v>
      </c>
      <c r="F6" s="55">
        <v>1400000</v>
      </c>
      <c r="G6" s="55">
        <v>1355000</v>
      </c>
      <c r="H6" s="10"/>
      <c r="I6" s="10"/>
      <c r="J6" s="10"/>
      <c r="K6" s="10"/>
      <c r="L6" s="10"/>
    </row>
    <row r="7" spans="1:18" s="11" customFormat="1" x14ac:dyDescent="0.3">
      <c r="A7" s="13"/>
      <c r="B7" s="29">
        <v>2019</v>
      </c>
      <c r="C7" s="55">
        <v>33700</v>
      </c>
      <c r="D7" s="55">
        <v>9600000</v>
      </c>
      <c r="E7" s="55">
        <v>9400000</v>
      </c>
      <c r="F7" s="55">
        <v>1520000</v>
      </c>
      <c r="G7" s="55">
        <v>1450000</v>
      </c>
      <c r="H7" s="10"/>
      <c r="I7" s="10"/>
      <c r="J7" s="10"/>
      <c r="K7" s="10"/>
      <c r="L7" s="10"/>
    </row>
    <row r="8" spans="1:18" s="11" customFormat="1" x14ac:dyDescent="0.3">
      <c r="A8" s="13"/>
      <c r="B8" s="29">
        <v>2020</v>
      </c>
      <c r="C8" s="55">
        <v>35100</v>
      </c>
      <c r="D8" s="55">
        <v>10200000</v>
      </c>
      <c r="E8" s="55">
        <v>9900000</v>
      </c>
      <c r="F8" s="55">
        <v>1620000</v>
      </c>
      <c r="G8" s="55">
        <v>1490000</v>
      </c>
      <c r="H8" s="10"/>
      <c r="I8" s="10"/>
      <c r="J8" s="10"/>
      <c r="K8" s="10"/>
      <c r="L8" s="10"/>
    </row>
    <row r="9" spans="1:18" s="11" customFormat="1" x14ac:dyDescent="0.3">
      <c r="A9" s="12"/>
      <c r="B9" s="12"/>
      <c r="C9" s="12"/>
      <c r="D9" s="12"/>
      <c r="E9" s="12"/>
      <c r="F9" s="12"/>
      <c r="G9" s="12"/>
      <c r="H9" s="10"/>
      <c r="I9" s="10"/>
      <c r="J9" s="10"/>
      <c r="K9" s="10"/>
      <c r="L9" s="10"/>
    </row>
    <row r="10" spans="1:18" s="11" customFormat="1" x14ac:dyDescent="0.3">
      <c r="A10" s="12" t="s">
        <v>357</v>
      </c>
      <c r="B10" s="91">
        <v>0.25</v>
      </c>
      <c r="C10" s="12" t="s">
        <v>356</v>
      </c>
      <c r="D10" s="12"/>
      <c r="E10" s="12"/>
      <c r="F10" s="12"/>
      <c r="G10" s="12"/>
      <c r="H10" s="10"/>
      <c r="I10" s="10"/>
      <c r="J10" s="10"/>
      <c r="K10" s="10"/>
      <c r="L10" s="10"/>
    </row>
    <row r="11" spans="1:18" s="11" customFormat="1" x14ac:dyDescent="0.3">
      <c r="A11" s="13" t="s">
        <v>359</v>
      </c>
      <c r="B11" s="12"/>
      <c r="C11" s="12"/>
      <c r="D11" s="12"/>
      <c r="E11" s="86">
        <v>0.06</v>
      </c>
      <c r="F11" s="12" t="s">
        <v>358</v>
      </c>
      <c r="G11" s="12"/>
      <c r="H11" s="10"/>
      <c r="I11" s="10"/>
      <c r="J11" s="10"/>
      <c r="K11" s="10"/>
      <c r="L11" s="10"/>
    </row>
    <row r="12" spans="1:18" s="11" customFormat="1" x14ac:dyDescent="0.3">
      <c r="A12" s="13"/>
      <c r="B12" s="86">
        <v>0.08</v>
      </c>
      <c r="C12" s="12" t="s">
        <v>361</v>
      </c>
      <c r="D12" s="12"/>
      <c r="E12" s="12"/>
      <c r="F12" s="12"/>
      <c r="G12" s="92">
        <v>1200000</v>
      </c>
      <c r="H12" s="10" t="s">
        <v>360</v>
      </c>
      <c r="I12" s="10"/>
      <c r="J12" s="10"/>
      <c r="K12" s="10"/>
      <c r="L12" s="10"/>
    </row>
    <row r="13" spans="1:18" s="11" customFormat="1" x14ac:dyDescent="0.3">
      <c r="A13" s="12" t="s">
        <v>362</v>
      </c>
      <c r="B13" s="12"/>
      <c r="C13" s="12"/>
      <c r="D13" s="12"/>
      <c r="E13" s="12"/>
      <c r="F13" s="12"/>
      <c r="G13" s="92">
        <v>37000</v>
      </c>
      <c r="H13" s="10"/>
      <c r="I13" s="10"/>
      <c r="J13" s="10"/>
      <c r="K13" s="10"/>
      <c r="L13" s="10"/>
    </row>
    <row r="14" spans="1:18" x14ac:dyDescent="0.3">
      <c r="A14" s="9"/>
      <c r="B14" s="9"/>
      <c r="C14" s="9"/>
      <c r="D14" s="9"/>
      <c r="E14" s="9"/>
      <c r="F14" s="9"/>
      <c r="G14" s="9"/>
      <c r="H14" s="9"/>
      <c r="I14" s="9"/>
      <c r="J14" s="9"/>
      <c r="K14" s="9"/>
      <c r="L14" s="9"/>
    </row>
    <row r="15" spans="1:18" x14ac:dyDescent="0.3">
      <c r="A15" s="7"/>
      <c r="B15" s="7"/>
      <c r="C15" s="7"/>
      <c r="D15" s="7"/>
      <c r="E15" s="7"/>
      <c r="F15" s="7"/>
      <c r="G15" s="7"/>
      <c r="H15" s="7"/>
      <c r="I15" s="7"/>
      <c r="J15" s="7"/>
      <c r="K15" s="7"/>
      <c r="L15" s="7"/>
    </row>
    <row r="16" spans="1:18" x14ac:dyDescent="0.3">
      <c r="A16" s="6" t="s">
        <v>4</v>
      </c>
      <c r="B16" s="4" t="s">
        <v>321</v>
      </c>
      <c r="C16" s="4"/>
      <c r="D16" s="4"/>
      <c r="E16" s="4"/>
      <c r="F16" s="4"/>
      <c r="G16" s="4"/>
      <c r="H16" s="4"/>
      <c r="I16" s="4"/>
      <c r="J16" s="4"/>
      <c r="K16" s="4"/>
      <c r="L16" s="4"/>
      <c r="M16" s="8"/>
      <c r="N16" s="8"/>
      <c r="O16" s="8"/>
      <c r="P16" s="8"/>
      <c r="Q16" s="8"/>
      <c r="R16" s="8"/>
    </row>
    <row r="17" spans="1:14" x14ac:dyDescent="0.3">
      <c r="A17" s="3"/>
      <c r="B17" s="3"/>
      <c r="C17" s="3"/>
      <c r="D17" s="3"/>
      <c r="E17" s="3"/>
      <c r="F17" s="3"/>
      <c r="G17" s="4"/>
      <c r="H17" s="4"/>
      <c r="I17" s="4"/>
      <c r="J17" s="4"/>
      <c r="K17" s="4"/>
      <c r="L17" s="4"/>
    </row>
    <row r="18" spans="1:14" x14ac:dyDescent="0.3">
      <c r="A18" s="7"/>
      <c r="B18" s="7"/>
      <c r="C18" s="7"/>
      <c r="D18" s="7"/>
      <c r="E18" s="7"/>
      <c r="F18" s="7"/>
      <c r="G18" s="7"/>
      <c r="H18" s="7"/>
      <c r="I18" s="7"/>
      <c r="J18" s="7"/>
      <c r="K18" s="7"/>
      <c r="L18" s="7"/>
      <c r="M18" s="7"/>
    </row>
    <row r="19" spans="1:14" x14ac:dyDescent="0.3">
      <c r="A19" s="7" t="s">
        <v>1</v>
      </c>
      <c r="B19" s="7"/>
      <c r="C19" s="7"/>
      <c r="D19" s="7"/>
      <c r="E19" s="7"/>
      <c r="F19" s="7"/>
      <c r="G19" s="7"/>
      <c r="H19" s="7"/>
      <c r="I19" s="7"/>
      <c r="J19" s="7"/>
      <c r="K19" s="7"/>
      <c r="L19" s="7"/>
      <c r="M19" s="7"/>
      <c r="N19" s="8"/>
    </row>
    <row r="20" spans="1:14" x14ac:dyDescent="0.3">
      <c r="A20" s="7"/>
      <c r="C20" s="297" t="s">
        <v>320</v>
      </c>
      <c r="D20" s="297"/>
      <c r="E20" s="373" t="s">
        <v>644</v>
      </c>
      <c r="G20" s="7"/>
      <c r="H20" s="7"/>
      <c r="I20" s="7"/>
      <c r="J20" s="7"/>
      <c r="K20" s="7"/>
      <c r="L20" s="7"/>
      <c r="M20" s="7"/>
      <c r="N20" s="8"/>
    </row>
    <row r="21" spans="1:14" ht="31.2" x14ac:dyDescent="0.3">
      <c r="A21" s="7"/>
      <c r="B21" s="190" t="s">
        <v>54</v>
      </c>
      <c r="C21" s="190" t="s">
        <v>645</v>
      </c>
      <c r="D21" s="190" t="s">
        <v>646</v>
      </c>
      <c r="E21" s="374"/>
      <c r="F21" s="190" t="s">
        <v>647</v>
      </c>
      <c r="G21" s="7"/>
      <c r="H21" s="7"/>
      <c r="I21" s="7"/>
      <c r="J21" s="7"/>
      <c r="K21" s="7"/>
      <c r="L21" s="7"/>
      <c r="M21" s="7"/>
      <c r="N21" s="8"/>
    </row>
    <row r="22" spans="1:14" x14ac:dyDescent="0.3">
      <c r="A22" s="7"/>
      <c r="B22" s="240">
        <f>B6</f>
        <v>2018</v>
      </c>
      <c r="C22" s="225">
        <f>G6*(1-$B$10)</f>
        <v>1016250</v>
      </c>
      <c r="D22" s="231">
        <f>C22/E6</f>
        <v>0.1168103448275862</v>
      </c>
      <c r="E22" s="231">
        <f>F6/D6</f>
        <v>0.15909090909090909</v>
      </c>
      <c r="F22" s="231">
        <f>D22+E22</f>
        <v>0.27590125391849529</v>
      </c>
      <c r="G22" s="7"/>
      <c r="H22" s="7"/>
      <c r="I22" s="7"/>
      <c r="J22" s="7"/>
      <c r="K22" s="7"/>
      <c r="L22" s="7"/>
      <c r="M22" s="7"/>
      <c r="N22" s="8"/>
    </row>
    <row r="23" spans="1:14" x14ac:dyDescent="0.3">
      <c r="A23" s="7"/>
      <c r="B23" s="240">
        <f>B22+1</f>
        <v>2019</v>
      </c>
      <c r="C23" s="225">
        <f t="shared" ref="C23:C24" si="0">G7*(1-$B$10)</f>
        <v>1087500</v>
      </c>
      <c r="D23" s="231">
        <f>C23/E7</f>
        <v>0.11569148936170212</v>
      </c>
      <c r="E23" s="231">
        <f>F7/D7</f>
        <v>0.15833333333333333</v>
      </c>
      <c r="F23" s="231">
        <f t="shared" ref="F23:F24" si="1">D23+E23</f>
        <v>0.27402482269503547</v>
      </c>
      <c r="G23" s="7"/>
      <c r="H23" s="7"/>
      <c r="I23" s="7"/>
      <c r="J23" s="7"/>
      <c r="K23" s="7"/>
      <c r="L23" s="7"/>
      <c r="M23" s="7"/>
      <c r="N23" s="8"/>
    </row>
    <row r="24" spans="1:14" x14ac:dyDescent="0.3">
      <c r="A24" s="7"/>
      <c r="B24" s="240">
        <f>B23+1</f>
        <v>2020</v>
      </c>
      <c r="C24" s="225">
        <f t="shared" si="0"/>
        <v>1117500</v>
      </c>
      <c r="D24" s="231">
        <f>C24/E8</f>
        <v>0.11287878787878788</v>
      </c>
      <c r="E24" s="231">
        <f>F8/D8</f>
        <v>0.1588235294117647</v>
      </c>
      <c r="F24" s="231">
        <f t="shared" si="1"/>
        <v>0.27170231729055261</v>
      </c>
      <c r="G24" s="7"/>
      <c r="H24" s="7"/>
      <c r="I24" s="7"/>
      <c r="J24" s="7"/>
      <c r="K24" s="7"/>
      <c r="L24" s="7"/>
      <c r="M24" s="7"/>
      <c r="N24" s="8"/>
    </row>
    <row r="26" spans="1:14" x14ac:dyDescent="0.3">
      <c r="A26" s="6" t="s">
        <v>5</v>
      </c>
      <c r="B26" s="4" t="s">
        <v>322</v>
      </c>
      <c r="C26" s="4"/>
      <c r="D26" s="4"/>
      <c r="E26" s="4"/>
      <c r="F26" s="4"/>
      <c r="G26" s="4"/>
      <c r="H26" s="4"/>
      <c r="I26" s="4"/>
      <c r="J26" s="4"/>
      <c r="K26" s="4"/>
      <c r="L26" s="4"/>
    </row>
    <row r="27" spans="1:14" x14ac:dyDescent="0.3">
      <c r="A27" s="3"/>
      <c r="B27" s="3"/>
      <c r="C27" s="3"/>
      <c r="D27" s="3"/>
      <c r="E27" s="3"/>
      <c r="F27" s="3"/>
      <c r="G27" s="4"/>
      <c r="H27" s="4"/>
      <c r="I27" s="4"/>
      <c r="J27" s="4"/>
      <c r="K27" s="4"/>
      <c r="L27" s="4"/>
    </row>
    <row r="28" spans="1:14" x14ac:dyDescent="0.3">
      <c r="A28" s="7"/>
      <c r="B28" s="7"/>
      <c r="C28" s="7"/>
      <c r="D28" s="7"/>
      <c r="E28" s="7"/>
      <c r="F28" s="7"/>
      <c r="G28" s="7"/>
      <c r="H28" s="7"/>
      <c r="I28" s="7"/>
      <c r="J28" s="7"/>
      <c r="K28" s="7"/>
      <c r="L28" s="7"/>
    </row>
    <row r="29" spans="1:14" x14ac:dyDescent="0.3">
      <c r="A29" s="7" t="s">
        <v>1</v>
      </c>
      <c r="B29" s="7"/>
      <c r="C29" s="7"/>
      <c r="D29" s="7"/>
      <c r="E29" s="7"/>
      <c r="F29" s="7"/>
      <c r="G29" s="7"/>
      <c r="H29" s="7"/>
      <c r="I29" s="7"/>
      <c r="J29" s="7"/>
      <c r="K29" s="7"/>
      <c r="L29" s="7"/>
    </row>
    <row r="30" spans="1:14" ht="46.8" x14ac:dyDescent="0.3">
      <c r="A30" s="7"/>
      <c r="B30" s="190" t="s">
        <v>54</v>
      </c>
      <c r="C30" s="190" t="s">
        <v>648</v>
      </c>
      <c r="D30" s="190" t="s">
        <v>644</v>
      </c>
      <c r="E30" s="190" t="s">
        <v>647</v>
      </c>
      <c r="F30" s="7"/>
      <c r="G30" s="7"/>
      <c r="H30" s="7"/>
      <c r="I30" s="7"/>
      <c r="J30" s="7"/>
      <c r="K30" s="7"/>
      <c r="L30" s="7"/>
    </row>
    <row r="31" spans="1:14" x14ac:dyDescent="0.3">
      <c r="A31" s="7"/>
      <c r="B31" s="240">
        <v>2018</v>
      </c>
      <c r="C31" s="231">
        <f t="shared" ref="C31:E33" si="2">D22</f>
        <v>0.1168103448275862</v>
      </c>
      <c r="D31" s="231">
        <f t="shared" si="2"/>
        <v>0.15909090909090909</v>
      </c>
      <c r="E31" s="231">
        <f t="shared" si="2"/>
        <v>0.27590125391849529</v>
      </c>
      <c r="F31" s="7"/>
      <c r="G31" s="7"/>
      <c r="H31" s="7"/>
      <c r="I31" s="7"/>
      <c r="J31" s="7"/>
      <c r="K31" s="7"/>
      <c r="L31" s="7"/>
    </row>
    <row r="32" spans="1:14" x14ac:dyDescent="0.3">
      <c r="A32" s="7"/>
      <c r="B32" s="240">
        <v>2019</v>
      </c>
      <c r="C32" s="231">
        <f t="shared" si="2"/>
        <v>0.11569148936170212</v>
      </c>
      <c r="D32" s="231">
        <f t="shared" si="2"/>
        <v>0.15833333333333333</v>
      </c>
      <c r="E32" s="231">
        <f t="shared" si="2"/>
        <v>0.27402482269503547</v>
      </c>
      <c r="F32" s="7"/>
      <c r="G32" s="7"/>
      <c r="H32" s="7"/>
      <c r="I32" s="7"/>
      <c r="J32" s="7"/>
      <c r="K32" s="7"/>
      <c r="L32" s="7"/>
    </row>
    <row r="33" spans="1:14" x14ac:dyDescent="0.3">
      <c r="A33" s="7"/>
      <c r="B33" s="189">
        <v>2020</v>
      </c>
      <c r="C33" s="232">
        <f t="shared" si="2"/>
        <v>0.11287878787878788</v>
      </c>
      <c r="D33" s="232">
        <f t="shared" si="2"/>
        <v>0.1588235294117647</v>
      </c>
      <c r="E33" s="232">
        <f t="shared" si="2"/>
        <v>0.27170231729055261</v>
      </c>
      <c r="F33" s="288"/>
      <c r="G33" s="7"/>
      <c r="H33" s="7"/>
      <c r="I33" s="7"/>
      <c r="J33" s="7"/>
      <c r="K33" s="7"/>
      <c r="L33" s="7"/>
    </row>
    <row r="34" spans="1:14" x14ac:dyDescent="0.3">
      <c r="A34" s="7"/>
      <c r="B34" s="11" t="s">
        <v>649</v>
      </c>
      <c r="C34" s="231">
        <f>AVERAGE(C31:C33)</f>
        <v>0.11512687402269206</v>
      </c>
      <c r="D34" s="231">
        <f t="shared" ref="D34:E34" si="3">AVERAGE(D31:D33)</f>
        <v>0.15874925727866904</v>
      </c>
      <c r="E34" s="231">
        <f t="shared" si="3"/>
        <v>0.27387613130136113</v>
      </c>
      <c r="F34" s="288"/>
      <c r="G34" s="7"/>
      <c r="H34" s="7"/>
      <c r="I34" s="7"/>
      <c r="J34" s="7"/>
      <c r="K34" s="7"/>
      <c r="L34" s="7"/>
    </row>
    <row r="35" spans="1:14" x14ac:dyDescent="0.3">
      <c r="A35" s="7"/>
      <c r="B35" s="11"/>
      <c r="C35" s="298"/>
      <c r="D35" s="298"/>
      <c r="E35" s="298"/>
      <c r="F35" s="288"/>
      <c r="G35" s="7"/>
      <c r="H35" s="7"/>
      <c r="I35" s="7"/>
      <c r="J35" s="7"/>
      <c r="K35" s="7"/>
      <c r="L35" s="7"/>
    </row>
    <row r="36" spans="1:14" x14ac:dyDescent="0.3">
      <c r="B36" s="11" t="s">
        <v>651</v>
      </c>
      <c r="C36" s="231">
        <f>C33</f>
        <v>0.11287878787878788</v>
      </c>
      <c r="D36" s="231">
        <f>D34</f>
        <v>0.15874925727866904</v>
      </c>
      <c r="E36" s="231">
        <f>C36+D36</f>
        <v>0.27162804515745692</v>
      </c>
      <c r="F36" s="11"/>
      <c r="M36" s="7"/>
    </row>
    <row r="37" spans="1:14" x14ac:dyDescent="0.3">
      <c r="B37" s="11"/>
      <c r="C37" s="11"/>
      <c r="D37" s="11"/>
      <c r="E37" s="11"/>
      <c r="F37" s="11"/>
      <c r="M37" s="7"/>
    </row>
    <row r="38" spans="1:14" x14ac:dyDescent="0.3">
      <c r="B38" s="11" t="s">
        <v>652</v>
      </c>
      <c r="C38" s="11" t="s">
        <v>653</v>
      </c>
      <c r="D38" s="11"/>
      <c r="E38" s="11"/>
      <c r="F38" s="11"/>
      <c r="M38" s="7"/>
    </row>
    <row r="39" spans="1:14" x14ac:dyDescent="0.3">
      <c r="B39" s="11"/>
      <c r="C39" s="11" t="s">
        <v>654</v>
      </c>
      <c r="D39" s="11"/>
      <c r="E39" s="11"/>
      <c r="F39" s="11"/>
    </row>
    <row r="40" spans="1:14" x14ac:dyDescent="0.3">
      <c r="B40" s="11"/>
      <c r="C40" s="11"/>
      <c r="D40" s="11"/>
      <c r="E40" s="11"/>
      <c r="F40" s="11"/>
    </row>
    <row r="41" spans="1:14" x14ac:dyDescent="0.3">
      <c r="A41" s="6" t="s">
        <v>0</v>
      </c>
      <c r="B41" s="4" t="s">
        <v>323</v>
      </c>
      <c r="C41" s="4"/>
      <c r="D41" s="4"/>
      <c r="E41" s="4"/>
      <c r="F41" s="4"/>
      <c r="G41" s="4"/>
      <c r="H41" s="4"/>
      <c r="I41" s="4"/>
      <c r="J41" s="4"/>
      <c r="K41" s="4"/>
      <c r="L41" s="4"/>
    </row>
    <row r="42" spans="1:14" x14ac:dyDescent="0.3">
      <c r="A42" s="3"/>
      <c r="B42" s="3"/>
      <c r="C42" s="3"/>
      <c r="D42" s="3"/>
      <c r="E42" s="3"/>
      <c r="F42" s="3"/>
      <c r="G42" s="4"/>
      <c r="H42" s="4"/>
      <c r="I42" s="4"/>
      <c r="J42" s="4"/>
      <c r="K42" s="4"/>
      <c r="L42" s="4"/>
    </row>
    <row r="43" spans="1:14" x14ac:dyDescent="0.3">
      <c r="A43" s="7"/>
      <c r="B43" s="7"/>
      <c r="C43" s="7"/>
      <c r="D43" s="7"/>
      <c r="E43" s="7"/>
      <c r="F43" s="7"/>
      <c r="G43" s="7"/>
      <c r="H43" s="7"/>
      <c r="I43" s="7"/>
      <c r="J43" s="7"/>
      <c r="K43" s="7"/>
      <c r="L43" s="7"/>
    </row>
    <row r="44" spans="1:14" x14ac:dyDescent="0.3">
      <c r="A44" s="7" t="s">
        <v>1</v>
      </c>
      <c r="B44" s="7"/>
      <c r="C44" s="7"/>
      <c r="D44" s="7"/>
      <c r="E44" s="7"/>
      <c r="F44" s="7"/>
      <c r="G44" s="7"/>
      <c r="H44" s="7"/>
      <c r="I44" s="7"/>
      <c r="J44" s="7"/>
      <c r="K44" s="7"/>
      <c r="L44" s="7"/>
    </row>
    <row r="45" spans="1:14" ht="46.8" x14ac:dyDescent="0.3">
      <c r="A45" s="7"/>
      <c r="B45" s="122" t="s">
        <v>54</v>
      </c>
      <c r="C45" s="122" t="s">
        <v>655</v>
      </c>
      <c r="D45" s="122" t="s">
        <v>656</v>
      </c>
      <c r="E45" s="115"/>
      <c r="F45" s="115"/>
      <c r="G45" s="7"/>
      <c r="H45" s="7"/>
      <c r="I45" s="7"/>
      <c r="J45" s="7"/>
      <c r="K45" s="7"/>
      <c r="L45" s="7"/>
    </row>
    <row r="46" spans="1:14" x14ac:dyDescent="0.3">
      <c r="B46" s="116">
        <v>2018</v>
      </c>
      <c r="C46" s="133">
        <f>G6*$B$10</f>
        <v>338750</v>
      </c>
      <c r="D46" s="299">
        <f>C46/C6</f>
        <v>10.423076923076923</v>
      </c>
      <c r="E46" s="115"/>
      <c r="F46" s="115"/>
      <c r="G46" s="7"/>
    </row>
    <row r="47" spans="1:14" x14ac:dyDescent="0.3">
      <c r="B47" s="116">
        <v>2019</v>
      </c>
      <c r="C47" s="133">
        <f t="shared" ref="C47:C48" si="4">G7*$B$10</f>
        <v>362500</v>
      </c>
      <c r="D47" s="299">
        <f t="shared" ref="D47:D48" si="5">C47/C7</f>
        <v>10.756676557863502</v>
      </c>
      <c r="E47" s="115"/>
      <c r="F47" s="7"/>
      <c r="G47" s="7"/>
    </row>
    <row r="48" spans="1:14" x14ac:dyDescent="0.3">
      <c r="B48" s="113">
        <v>2020</v>
      </c>
      <c r="C48" s="153">
        <f t="shared" si="4"/>
        <v>372500</v>
      </c>
      <c r="D48" s="300">
        <f t="shared" si="5"/>
        <v>10.612535612535613</v>
      </c>
      <c r="E48" s="115"/>
      <c r="F48" s="7"/>
      <c r="G48" s="7"/>
      <c r="M48" s="7"/>
      <c r="N48" s="7"/>
    </row>
    <row r="49" spans="2:14" x14ac:dyDescent="0.3">
      <c r="B49" s="116" t="s">
        <v>649</v>
      </c>
      <c r="C49" s="301"/>
      <c r="D49" s="299">
        <f>AVERAGE(D46:D48)</f>
        <v>10.597429697825346</v>
      </c>
      <c r="E49" s="115"/>
      <c r="F49" s="7"/>
      <c r="G49" s="7"/>
      <c r="M49" s="7"/>
      <c r="N49" s="7"/>
    </row>
    <row r="50" spans="2:14" x14ac:dyDescent="0.3">
      <c r="B50" s="116" t="s">
        <v>650</v>
      </c>
      <c r="C50" s="7"/>
      <c r="D50" s="134">
        <f>D49</f>
        <v>10.597429697825346</v>
      </c>
      <c r="E50" s="115"/>
      <c r="F50" s="7"/>
      <c r="G50" s="7"/>
    </row>
    <row r="51" spans="2:14" x14ac:dyDescent="0.3">
      <c r="B51" s="115"/>
      <c r="C51" s="115"/>
      <c r="D51" s="115"/>
      <c r="E51" s="115"/>
      <c r="F51" s="7"/>
      <c r="G51" s="7"/>
    </row>
    <row r="52" spans="2:14" x14ac:dyDescent="0.3">
      <c r="B52" s="115" t="s">
        <v>659</v>
      </c>
      <c r="C52" s="115"/>
      <c r="D52" s="299">
        <f>G12/G13/5</f>
        <v>6.4864864864864868</v>
      </c>
      <c r="E52" s="115"/>
      <c r="G52" s="7"/>
    </row>
    <row r="53" spans="2:14" x14ac:dyDescent="0.3">
      <c r="B53" s="302" t="s">
        <v>657</v>
      </c>
      <c r="C53" s="115"/>
      <c r="D53" s="116"/>
      <c r="E53" s="115"/>
      <c r="F53" s="115"/>
      <c r="G53" s="7"/>
    </row>
    <row r="54" spans="2:14" x14ac:dyDescent="0.3">
      <c r="B54" s="115"/>
      <c r="C54" s="115"/>
      <c r="D54" s="116"/>
      <c r="E54" s="115"/>
      <c r="F54" s="7"/>
      <c r="G54" s="7"/>
    </row>
    <row r="55" spans="2:14" x14ac:dyDescent="0.3">
      <c r="B55" s="115" t="s">
        <v>658</v>
      </c>
      <c r="C55" s="115"/>
      <c r="D55" s="134">
        <f>D50+D52</f>
        <v>17.083916184311832</v>
      </c>
      <c r="E55" s="115"/>
      <c r="F55" s="7"/>
      <c r="G55" s="7"/>
    </row>
    <row r="56" spans="2:14" x14ac:dyDescent="0.3">
      <c r="B56" s="7"/>
      <c r="C56" s="7"/>
      <c r="D56" s="7"/>
      <c r="E56" s="7"/>
      <c r="F56" s="7"/>
      <c r="G56" s="7"/>
    </row>
  </sheetData>
  <mergeCells count="1">
    <mergeCell ref="E20:E21"/>
  </mergeCells>
  <pageMargins left="0.7" right="0.7" top="0.75" bottom="0.75" header="0.3" footer="0.3"/>
  <pageSetup scale="6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E02F0-7821-43A3-9D72-5E0B34CFE86A}">
  <dimension ref="A1:R54"/>
  <sheetViews>
    <sheetView zoomScaleNormal="100" workbookViewId="0"/>
  </sheetViews>
  <sheetFormatPr defaultColWidth="8.88671875" defaultRowHeight="15.6" x14ac:dyDescent="0.3"/>
  <cols>
    <col min="1" max="1" width="8.88671875" style="1" customWidth="1"/>
    <col min="2" max="2" width="11.6640625" style="1" customWidth="1"/>
    <col min="3" max="6" width="13.6640625" style="1" customWidth="1"/>
    <col min="7" max="7" width="8.88671875" style="1"/>
    <col min="8" max="8" width="8.88671875" style="1" customWidth="1"/>
    <col min="9" max="16384" width="8.88671875" style="1"/>
  </cols>
  <sheetData>
    <row r="1" spans="1:12" ht="17.399999999999999" x14ac:dyDescent="0.3">
      <c r="A1" s="2" t="s">
        <v>34</v>
      </c>
      <c r="B1" s="4"/>
      <c r="C1" s="9" t="s">
        <v>12</v>
      </c>
      <c r="D1" s="4"/>
      <c r="E1" s="4"/>
      <c r="F1" s="4"/>
      <c r="G1" s="4"/>
      <c r="H1" s="4"/>
      <c r="I1" s="4"/>
      <c r="J1" s="4"/>
      <c r="K1" s="4"/>
      <c r="L1" s="3"/>
    </row>
    <row r="2" spans="1:12" x14ac:dyDescent="0.3">
      <c r="A2" s="4"/>
      <c r="B2" s="4"/>
      <c r="C2" s="4"/>
      <c r="D2" s="4"/>
      <c r="E2" s="4"/>
      <c r="F2" s="4"/>
      <c r="G2" s="4"/>
      <c r="H2" s="4"/>
      <c r="I2" s="4"/>
      <c r="J2" s="4"/>
      <c r="K2" s="4"/>
      <c r="L2" s="3"/>
    </row>
    <row r="3" spans="1:12" x14ac:dyDescent="0.3">
      <c r="A3" s="323" t="s">
        <v>35</v>
      </c>
      <c r="B3" s="323"/>
      <c r="C3" s="323"/>
      <c r="D3" s="323"/>
      <c r="E3" s="323"/>
      <c r="F3" s="323"/>
      <c r="G3" s="323"/>
      <c r="H3" s="323"/>
      <c r="I3" s="323"/>
      <c r="J3" s="323"/>
      <c r="K3" s="323"/>
      <c r="L3" s="3"/>
    </row>
    <row r="4" spans="1:12" s="11" customFormat="1" x14ac:dyDescent="0.3">
      <c r="A4" s="323"/>
      <c r="B4" s="323"/>
      <c r="C4" s="323"/>
      <c r="D4" s="323"/>
      <c r="E4" s="323"/>
      <c r="F4" s="323"/>
      <c r="G4" s="323"/>
      <c r="H4" s="323"/>
      <c r="I4" s="323"/>
      <c r="J4" s="323"/>
      <c r="K4" s="323"/>
      <c r="L4" s="10"/>
    </row>
    <row r="5" spans="1:12" x14ac:dyDescent="0.3">
      <c r="A5" s="9"/>
      <c r="B5" s="9"/>
      <c r="C5" s="9"/>
      <c r="D5" s="9"/>
      <c r="E5" s="9"/>
      <c r="F5" s="9"/>
      <c r="G5" s="9"/>
      <c r="H5" s="9"/>
      <c r="I5" s="9"/>
      <c r="J5" s="9"/>
      <c r="K5" s="9"/>
      <c r="L5" s="9"/>
    </row>
    <row r="7" spans="1:12" x14ac:dyDescent="0.3">
      <c r="A7" s="5" t="s">
        <v>9</v>
      </c>
      <c r="B7" s="3"/>
      <c r="C7" s="3"/>
      <c r="D7" s="3"/>
      <c r="E7" s="3"/>
      <c r="F7" s="3"/>
      <c r="G7" s="3"/>
      <c r="H7" s="3"/>
      <c r="I7" s="3"/>
      <c r="J7" s="3"/>
      <c r="K7" s="3"/>
      <c r="L7" s="3"/>
    </row>
    <row r="8" spans="1:12" x14ac:dyDescent="0.3">
      <c r="A8" s="7"/>
      <c r="B8" s="7"/>
      <c r="C8" s="7"/>
      <c r="D8" s="7"/>
      <c r="E8" s="7"/>
      <c r="F8" s="7"/>
      <c r="G8" s="7"/>
      <c r="H8" s="7"/>
      <c r="I8" s="7"/>
      <c r="J8" s="7"/>
      <c r="K8" s="7"/>
      <c r="L8" s="7"/>
    </row>
    <row r="9" spans="1:12" x14ac:dyDescent="0.3">
      <c r="A9" s="5" t="s">
        <v>22</v>
      </c>
      <c r="B9" s="3"/>
      <c r="C9" s="3"/>
      <c r="D9" s="3"/>
      <c r="E9" s="3"/>
      <c r="F9" s="3"/>
      <c r="G9" s="3"/>
      <c r="H9" s="3"/>
      <c r="I9" s="3"/>
      <c r="J9" s="3"/>
      <c r="K9" s="3"/>
      <c r="L9" s="3"/>
    </row>
    <row r="10" spans="1:12" x14ac:dyDescent="0.3">
      <c r="A10" s="7"/>
      <c r="B10" s="7"/>
      <c r="C10" s="7"/>
      <c r="D10" s="7"/>
      <c r="E10" s="7"/>
      <c r="F10" s="7"/>
      <c r="G10" s="7"/>
      <c r="H10" s="7"/>
      <c r="I10" s="7"/>
      <c r="J10" s="7"/>
      <c r="K10" s="7"/>
      <c r="L10" s="7"/>
    </row>
    <row r="11" spans="1:12" x14ac:dyDescent="0.3">
      <c r="A11" s="5" t="s">
        <v>23</v>
      </c>
      <c r="B11" s="3"/>
      <c r="C11" s="3"/>
      <c r="D11" s="3"/>
      <c r="E11" s="3"/>
      <c r="F11" s="3"/>
      <c r="G11" s="3"/>
      <c r="H11" s="3"/>
      <c r="I11" s="3"/>
      <c r="J11" s="3"/>
      <c r="K11" s="3"/>
      <c r="L11" s="3"/>
    </row>
    <row r="12" spans="1:12" x14ac:dyDescent="0.3">
      <c r="A12" s="7"/>
      <c r="B12" s="7"/>
      <c r="C12" s="7"/>
      <c r="D12" s="7"/>
      <c r="E12" s="7"/>
      <c r="F12" s="7"/>
      <c r="G12" s="7"/>
      <c r="H12" s="7"/>
      <c r="I12" s="7"/>
      <c r="J12" s="7"/>
      <c r="K12" s="7"/>
      <c r="L12" s="7"/>
    </row>
    <row r="13" spans="1:12" x14ac:dyDescent="0.3">
      <c r="A13" s="12" t="s">
        <v>36</v>
      </c>
      <c r="B13" s="12"/>
      <c r="C13" s="12"/>
      <c r="D13" s="12"/>
      <c r="E13" s="12"/>
      <c r="F13" s="12"/>
      <c r="G13" s="12"/>
      <c r="H13" s="12"/>
      <c r="I13" s="12"/>
      <c r="J13" s="12"/>
      <c r="K13" s="4"/>
      <c r="L13" s="3"/>
    </row>
    <row r="14" spans="1:12" x14ac:dyDescent="0.3">
      <c r="A14" s="13"/>
      <c r="B14" s="12"/>
      <c r="C14" s="12"/>
      <c r="D14" s="12"/>
      <c r="E14" s="12"/>
      <c r="F14" s="12"/>
      <c r="G14" s="12"/>
      <c r="H14" s="10"/>
      <c r="I14" s="10"/>
      <c r="J14" s="10"/>
      <c r="K14" s="10"/>
      <c r="L14" s="10"/>
    </row>
    <row r="15" spans="1:12" x14ac:dyDescent="0.3">
      <c r="A15" s="13"/>
      <c r="B15" s="322" t="s">
        <v>37</v>
      </c>
      <c r="C15" s="324" t="s">
        <v>38</v>
      </c>
      <c r="D15" s="324"/>
      <c r="E15" s="324"/>
      <c r="F15" s="324"/>
      <c r="G15" s="12"/>
      <c r="H15" s="10"/>
      <c r="I15" s="10"/>
      <c r="J15" s="10"/>
      <c r="K15" s="10"/>
      <c r="L15" s="10"/>
    </row>
    <row r="16" spans="1:12" ht="31.2" x14ac:dyDescent="0.3">
      <c r="A16" s="13"/>
      <c r="B16" s="322"/>
      <c r="C16" s="14" t="s">
        <v>39</v>
      </c>
      <c r="D16" s="322" t="s">
        <v>40</v>
      </c>
      <c r="E16" s="322"/>
      <c r="F16" s="322"/>
      <c r="G16" s="12"/>
      <c r="H16" s="10"/>
      <c r="I16" s="10"/>
      <c r="J16" s="10"/>
      <c r="K16" s="10"/>
      <c r="L16" s="10"/>
    </row>
    <row r="17" spans="1:18" x14ac:dyDescent="0.3">
      <c r="A17" s="13"/>
      <c r="B17" s="322"/>
      <c r="C17" s="14">
        <v>100</v>
      </c>
      <c r="D17" s="14">
        <v>250</v>
      </c>
      <c r="E17" s="14">
        <v>500</v>
      </c>
      <c r="F17" s="21">
        <v>1000</v>
      </c>
      <c r="G17" s="12"/>
      <c r="H17" s="10"/>
      <c r="I17" s="10"/>
      <c r="J17" s="10"/>
      <c r="K17" s="10"/>
      <c r="L17" s="10"/>
    </row>
    <row r="18" spans="1:18" x14ac:dyDescent="0.3">
      <c r="A18" s="13"/>
      <c r="B18" s="15">
        <v>2015</v>
      </c>
      <c r="C18" s="20">
        <v>1128906</v>
      </c>
      <c r="D18" s="20">
        <v>1085419</v>
      </c>
      <c r="E18" s="20">
        <v>1038175</v>
      </c>
      <c r="F18" s="20">
        <v>1003976</v>
      </c>
      <c r="G18" s="12"/>
      <c r="H18" s="10"/>
      <c r="I18" s="10"/>
      <c r="J18" s="10"/>
      <c r="K18" s="10"/>
      <c r="L18" s="10"/>
    </row>
    <row r="19" spans="1:18" x14ac:dyDescent="0.3">
      <c r="A19" s="13"/>
      <c r="B19" s="15">
        <v>2016</v>
      </c>
      <c r="C19" s="20">
        <v>1205190</v>
      </c>
      <c r="D19" s="20">
        <v>1114475</v>
      </c>
      <c r="E19" s="20">
        <v>1049455</v>
      </c>
      <c r="F19" s="20">
        <v>1001738</v>
      </c>
      <c r="G19" s="12"/>
      <c r="H19" s="10"/>
      <c r="I19" s="10"/>
      <c r="J19" s="10"/>
      <c r="K19" s="10"/>
      <c r="L19" s="10"/>
    </row>
    <row r="20" spans="1:18" x14ac:dyDescent="0.3">
      <c r="A20" s="13"/>
      <c r="B20" s="15">
        <v>2017</v>
      </c>
      <c r="C20" s="20">
        <v>1259261</v>
      </c>
      <c r="D20" s="20">
        <v>1146143</v>
      </c>
      <c r="E20" s="20">
        <v>1077875</v>
      </c>
      <c r="F20" s="20">
        <v>1028878</v>
      </c>
      <c r="G20" s="12"/>
      <c r="H20" s="10"/>
      <c r="I20" s="10"/>
      <c r="J20" s="10"/>
      <c r="K20" s="10"/>
      <c r="L20" s="10"/>
    </row>
    <row r="21" spans="1:18" x14ac:dyDescent="0.3">
      <c r="A21" s="13"/>
      <c r="B21" s="15">
        <v>2018</v>
      </c>
      <c r="C21" s="20">
        <v>1327281</v>
      </c>
      <c r="D21" s="20">
        <v>1222920</v>
      </c>
      <c r="E21" s="20">
        <v>1150421</v>
      </c>
      <c r="F21" s="20">
        <v>1097933</v>
      </c>
      <c r="G21" s="12"/>
      <c r="H21" s="10"/>
      <c r="I21" s="10"/>
      <c r="J21" s="10"/>
      <c r="K21" s="10"/>
      <c r="L21" s="10"/>
    </row>
    <row r="22" spans="1:18" x14ac:dyDescent="0.3">
      <c r="A22" s="13"/>
      <c r="B22" s="15">
        <v>2019</v>
      </c>
      <c r="C22" s="20">
        <v>1154561</v>
      </c>
      <c r="D22" s="20">
        <v>1039514</v>
      </c>
      <c r="E22" s="20">
        <v>972689</v>
      </c>
      <c r="F22" s="20">
        <v>925746</v>
      </c>
      <c r="G22" s="12"/>
      <c r="H22" s="10"/>
      <c r="I22" s="10"/>
      <c r="J22" s="10"/>
      <c r="K22" s="10"/>
      <c r="L22" s="10"/>
    </row>
    <row r="23" spans="1:18" x14ac:dyDescent="0.3">
      <c r="A23" s="13"/>
      <c r="B23" s="15">
        <v>2020</v>
      </c>
      <c r="C23" s="20">
        <v>1479204</v>
      </c>
      <c r="D23" s="20">
        <v>1371604</v>
      </c>
      <c r="E23" s="20">
        <v>1296218</v>
      </c>
      <c r="F23" s="20">
        <v>1241697</v>
      </c>
      <c r="G23" s="12"/>
      <c r="H23" s="10"/>
      <c r="I23" s="10"/>
      <c r="J23" s="10"/>
      <c r="K23" s="10"/>
      <c r="L23" s="10"/>
    </row>
    <row r="24" spans="1:18" x14ac:dyDescent="0.3">
      <c r="A24" s="13"/>
      <c r="B24" s="12"/>
      <c r="C24" s="12"/>
      <c r="D24" s="12"/>
      <c r="E24" s="12"/>
      <c r="F24" s="12"/>
      <c r="G24" s="12"/>
      <c r="H24" s="10"/>
      <c r="I24" s="10"/>
      <c r="J24" s="10"/>
      <c r="K24" s="10"/>
      <c r="L24" s="10"/>
    </row>
    <row r="25" spans="1:18" x14ac:dyDescent="0.3">
      <c r="A25" s="7"/>
      <c r="B25" s="7"/>
      <c r="C25" s="7"/>
      <c r="D25" s="7"/>
      <c r="E25" s="7"/>
      <c r="F25" s="7"/>
      <c r="G25" s="7"/>
      <c r="H25" s="7"/>
      <c r="I25" s="7"/>
      <c r="J25" s="7"/>
      <c r="K25" s="7"/>
      <c r="L25" s="7"/>
    </row>
    <row r="26" spans="1:18" x14ac:dyDescent="0.3">
      <c r="A26" s="6" t="s">
        <v>2</v>
      </c>
      <c r="B26" s="4" t="s">
        <v>41</v>
      </c>
      <c r="C26" s="4"/>
      <c r="D26" s="4"/>
      <c r="E26" s="4"/>
      <c r="F26" s="4"/>
      <c r="G26" s="4"/>
      <c r="H26" s="4"/>
      <c r="I26" s="4"/>
      <c r="J26" s="4"/>
      <c r="K26" s="4"/>
      <c r="L26" s="4"/>
      <c r="M26" s="8"/>
      <c r="N26" s="8"/>
      <c r="O26" s="8"/>
      <c r="P26" s="8"/>
      <c r="Q26" s="8"/>
      <c r="R26" s="8"/>
    </row>
    <row r="27" spans="1:18" x14ac:dyDescent="0.3">
      <c r="A27" s="3"/>
      <c r="B27" s="3"/>
      <c r="C27" s="3"/>
      <c r="D27" s="3"/>
      <c r="E27" s="3"/>
      <c r="F27" s="3"/>
      <c r="G27" s="4"/>
      <c r="H27" s="4"/>
      <c r="I27" s="4"/>
      <c r="J27" s="4"/>
      <c r="K27" s="4"/>
      <c r="L27" s="4"/>
    </row>
    <row r="28" spans="1:18" x14ac:dyDescent="0.3">
      <c r="A28" s="7"/>
      <c r="B28" s="7"/>
      <c r="C28" s="7"/>
      <c r="D28" s="7"/>
      <c r="E28" s="7"/>
      <c r="F28" s="7"/>
      <c r="G28" s="7"/>
      <c r="H28" s="7"/>
      <c r="I28" s="7"/>
      <c r="J28" s="7"/>
      <c r="K28" s="7"/>
      <c r="L28" s="7"/>
      <c r="M28" s="7"/>
    </row>
    <row r="29" spans="1:18" x14ac:dyDescent="0.3">
      <c r="A29" s="7" t="s">
        <v>1</v>
      </c>
      <c r="B29" s="7"/>
      <c r="C29" s="7"/>
      <c r="D29" s="7" t="s">
        <v>504</v>
      </c>
      <c r="E29" s="7"/>
      <c r="F29" s="7"/>
      <c r="G29" s="7"/>
      <c r="H29" s="7"/>
      <c r="I29" s="7"/>
      <c r="J29" s="7"/>
      <c r="K29" s="7"/>
      <c r="L29" s="7"/>
      <c r="M29" s="7"/>
      <c r="N29" s="8"/>
    </row>
    <row r="30" spans="1:18" x14ac:dyDescent="0.3">
      <c r="A30" s="7"/>
      <c r="B30" s="215" t="s">
        <v>447</v>
      </c>
      <c r="C30" s="211"/>
      <c r="D30" s="211">
        <f>D17</f>
        <v>250</v>
      </c>
      <c r="E30" s="211">
        <f>E17</f>
        <v>500</v>
      </c>
      <c r="F30" s="211">
        <f>F17</f>
        <v>1000</v>
      </c>
      <c r="G30" s="7"/>
      <c r="H30" s="7"/>
      <c r="I30" s="7"/>
      <c r="J30" s="7"/>
      <c r="K30" s="7"/>
      <c r="L30" s="7"/>
      <c r="M30" s="7"/>
      <c r="N30" s="8"/>
    </row>
    <row r="31" spans="1:18" x14ac:dyDescent="0.3">
      <c r="A31" s="7"/>
      <c r="B31" s="214">
        <f>B18</f>
        <v>2015</v>
      </c>
      <c r="C31" s="7"/>
      <c r="D31" s="209">
        <f>($C18-D18)/$C18</f>
        <v>3.8521364932066975E-2</v>
      </c>
      <c r="E31" s="209">
        <f t="shared" ref="E31:F31" si="0">($C18-E18)/$C18</f>
        <v>8.0370730601130647E-2</v>
      </c>
      <c r="F31" s="209">
        <f t="shared" si="0"/>
        <v>0.11066466118525368</v>
      </c>
      <c r="G31" s="7"/>
      <c r="H31" s="7"/>
      <c r="I31" s="7"/>
      <c r="J31" s="7"/>
      <c r="K31" s="7"/>
      <c r="L31" s="7"/>
      <c r="M31" s="7"/>
      <c r="N31" s="8"/>
    </row>
    <row r="32" spans="1:18" x14ac:dyDescent="0.3">
      <c r="B32" s="214">
        <f t="shared" ref="B32:B36" si="1">B19</f>
        <v>2016</v>
      </c>
      <c r="D32" s="209">
        <f t="shared" ref="D32:F32" si="2">($C19-D19)/$C19</f>
        <v>7.5270289331972551E-2</v>
      </c>
      <c r="E32" s="209">
        <f t="shared" si="2"/>
        <v>0.12922028891710022</v>
      </c>
      <c r="F32" s="209">
        <f t="shared" si="2"/>
        <v>0.16881321617338346</v>
      </c>
      <c r="M32" s="8"/>
      <c r="N32" s="8"/>
    </row>
    <row r="33" spans="1:14" x14ac:dyDescent="0.3">
      <c r="B33" s="214">
        <f t="shared" si="1"/>
        <v>2017</v>
      </c>
      <c r="D33" s="209">
        <f t="shared" ref="D33:F33" si="3">($C20-D20)/$C20</f>
        <v>8.9828875824789295E-2</v>
      </c>
      <c r="E33" s="209">
        <f t="shared" si="3"/>
        <v>0.1440416244130486</v>
      </c>
      <c r="F33" s="209">
        <f t="shared" si="3"/>
        <v>0.18295095297956501</v>
      </c>
      <c r="M33" s="8"/>
      <c r="N33" s="8"/>
    </row>
    <row r="34" spans="1:14" x14ac:dyDescent="0.3">
      <c r="B34" s="214">
        <f t="shared" si="1"/>
        <v>2018</v>
      </c>
      <c r="D34" s="209">
        <f t="shared" ref="D34:F34" si="4">($C21-D21)/$C21</f>
        <v>7.862766060841675E-2</v>
      </c>
      <c r="E34" s="209">
        <f t="shared" si="4"/>
        <v>0.13324985440159243</v>
      </c>
      <c r="F34" s="209">
        <f t="shared" si="4"/>
        <v>0.17279536134398066</v>
      </c>
      <c r="M34" s="8"/>
      <c r="N34" s="8"/>
    </row>
    <row r="35" spans="1:14" x14ac:dyDescent="0.3">
      <c r="B35" s="214">
        <f t="shared" si="1"/>
        <v>2019</v>
      </c>
      <c r="D35" s="209">
        <f t="shared" ref="D35:F35" si="5">($C22-D22)/$C22</f>
        <v>9.9645666188274154E-2</v>
      </c>
      <c r="E35" s="209">
        <f t="shared" si="5"/>
        <v>0.15752480813053618</v>
      </c>
      <c r="F35" s="209">
        <f t="shared" si="5"/>
        <v>0.19818355201674057</v>
      </c>
      <c r="M35" s="8"/>
      <c r="N35" s="8"/>
    </row>
    <row r="36" spans="1:14" x14ac:dyDescent="0.3">
      <c r="B36" s="215">
        <f t="shared" si="1"/>
        <v>2020</v>
      </c>
      <c r="C36" s="212"/>
      <c r="D36" s="213">
        <f t="shared" ref="D36:F36" si="6">($C23-D23)/$C23</f>
        <v>7.2741826009123822E-2</v>
      </c>
      <c r="E36" s="213">
        <f t="shared" si="6"/>
        <v>0.12370572280767224</v>
      </c>
      <c r="F36" s="213">
        <f t="shared" si="6"/>
        <v>0.16056406012963728</v>
      </c>
      <c r="M36" s="8"/>
      <c r="N36" s="8"/>
    </row>
    <row r="37" spans="1:14" x14ac:dyDescent="0.3">
      <c r="B37" s="7" t="s">
        <v>505</v>
      </c>
      <c r="D37" s="210">
        <f>AVERAGE(D31:D36)</f>
        <v>7.5772613815773923E-2</v>
      </c>
      <c r="E37" s="210">
        <f>AVERAGE(E31:E36)</f>
        <v>0.1280188382118467</v>
      </c>
      <c r="F37" s="210">
        <f>AVERAGE(F31:F36)</f>
        <v>0.1656619673047601</v>
      </c>
      <c r="M37" s="8"/>
      <c r="N37" s="8"/>
    </row>
    <row r="38" spans="1:14" x14ac:dyDescent="0.3">
      <c r="B38" s="1" t="s">
        <v>506</v>
      </c>
      <c r="D38" s="210">
        <f>AVERAGE(D32:D36)</f>
        <v>8.3222863592515323E-2</v>
      </c>
      <c r="E38" s="210">
        <f t="shared" ref="E38:F38" si="7">AVERAGE(E32:E36)</f>
        <v>0.13754845973398994</v>
      </c>
      <c r="F38" s="210">
        <f t="shared" si="7"/>
        <v>0.1766614285286614</v>
      </c>
      <c r="M38" s="8"/>
      <c r="N38" s="8"/>
    </row>
    <row r="39" spans="1:14" x14ac:dyDescent="0.3">
      <c r="B39" s="1" t="s">
        <v>507</v>
      </c>
      <c r="D39" s="210">
        <f>D38</f>
        <v>8.3222863592515323E-2</v>
      </c>
      <c r="E39" s="210">
        <f t="shared" ref="E39:F39" si="8">E38</f>
        <v>0.13754845973398994</v>
      </c>
      <c r="F39" s="210">
        <f t="shared" si="8"/>
        <v>0.1766614285286614</v>
      </c>
      <c r="M39" s="8"/>
      <c r="N39" s="8"/>
    </row>
    <row r="40" spans="1:14" x14ac:dyDescent="0.3">
      <c r="B40" s="1" t="s">
        <v>508</v>
      </c>
      <c r="D40" s="216">
        <f>1-D39</f>
        <v>0.91677713640748471</v>
      </c>
      <c r="E40" s="216">
        <f t="shared" ref="E40:F40" si="9">1-E39</f>
        <v>0.86245154026601001</v>
      </c>
      <c r="F40" s="216">
        <f t="shared" si="9"/>
        <v>0.8233385714713386</v>
      </c>
      <c r="M40" s="8"/>
      <c r="N40" s="8"/>
    </row>
    <row r="41" spans="1:14" x14ac:dyDescent="0.3">
      <c r="M41" s="8"/>
      <c r="N41" s="8"/>
    </row>
    <row r="42" spans="1:14" x14ac:dyDescent="0.3">
      <c r="B42" s="1" t="s">
        <v>509</v>
      </c>
      <c r="M42" s="8"/>
      <c r="N42" s="8"/>
    </row>
    <row r="44" spans="1:14" x14ac:dyDescent="0.3">
      <c r="A44" s="6" t="s">
        <v>3</v>
      </c>
      <c r="B44" s="4" t="s">
        <v>325</v>
      </c>
      <c r="C44" s="4"/>
      <c r="D44" s="4"/>
      <c r="E44" s="4"/>
      <c r="F44" s="4"/>
      <c r="G44" s="4"/>
      <c r="H44" s="4"/>
      <c r="I44" s="4"/>
      <c r="J44" s="4"/>
      <c r="K44" s="4"/>
      <c r="L44" s="4"/>
    </row>
    <row r="45" spans="1:14" x14ac:dyDescent="0.3">
      <c r="A45" s="3"/>
      <c r="B45" s="3"/>
      <c r="C45" s="3"/>
      <c r="D45" s="3"/>
      <c r="E45" s="3"/>
      <c r="F45" s="3"/>
      <c r="G45" s="4"/>
      <c r="H45" s="4"/>
      <c r="I45" s="4"/>
      <c r="J45" s="4"/>
      <c r="K45" s="4"/>
      <c r="L45" s="4"/>
    </row>
    <row r="46" spans="1:14" x14ac:dyDescent="0.3">
      <c r="A46" s="7"/>
      <c r="B46" s="7"/>
      <c r="C46" s="7"/>
      <c r="D46" s="7"/>
      <c r="E46" s="7"/>
      <c r="F46" s="7"/>
      <c r="G46" s="7"/>
      <c r="H46" s="7"/>
      <c r="I46" s="7"/>
      <c r="J46" s="7"/>
      <c r="K46" s="7"/>
      <c r="L46" s="7"/>
    </row>
    <row r="47" spans="1:14" x14ac:dyDescent="0.3">
      <c r="A47" s="7" t="s">
        <v>1</v>
      </c>
      <c r="B47" s="7"/>
      <c r="C47" s="7"/>
      <c r="D47" s="7"/>
      <c r="E47" s="7"/>
      <c r="F47" s="7"/>
      <c r="G47" s="7"/>
      <c r="H47" s="7"/>
      <c r="I47" s="7"/>
      <c r="J47" s="7"/>
      <c r="K47" s="7"/>
      <c r="L47" s="7"/>
    </row>
    <row r="48" spans="1:14" x14ac:dyDescent="0.3">
      <c r="A48" s="7"/>
      <c r="B48" s="191"/>
      <c r="C48" s="191" t="s">
        <v>510</v>
      </c>
      <c r="D48" s="219" t="s">
        <v>511</v>
      </c>
      <c r="E48" s="7"/>
      <c r="F48" s="7"/>
      <c r="G48" s="7"/>
      <c r="H48" s="7"/>
      <c r="I48" s="7"/>
      <c r="J48" s="7"/>
      <c r="K48" s="7"/>
      <c r="L48" s="7"/>
    </row>
    <row r="49" spans="1:13" x14ac:dyDescent="0.3">
      <c r="A49" s="7"/>
      <c r="B49" s="217">
        <v>100</v>
      </c>
      <c r="C49" s="218">
        <v>1</v>
      </c>
      <c r="D49" s="218"/>
      <c r="E49" s="7"/>
      <c r="F49" s="7"/>
      <c r="G49" s="7"/>
      <c r="H49" s="7"/>
      <c r="I49" s="7"/>
      <c r="J49" s="7"/>
      <c r="K49" s="7"/>
      <c r="L49" s="7"/>
    </row>
    <row r="50" spans="1:13" x14ac:dyDescent="0.3">
      <c r="B50" s="217">
        <v>250</v>
      </c>
      <c r="C50" s="218">
        <f>D40</f>
        <v>0.91677713640748471</v>
      </c>
      <c r="D50" s="218">
        <f>1000*(C49-C50)/(B50-B49)</f>
        <v>0.5548190906167686</v>
      </c>
      <c r="M50" s="7"/>
    </row>
    <row r="51" spans="1:13" x14ac:dyDescent="0.3">
      <c r="B51" s="217">
        <v>500</v>
      </c>
      <c r="C51" s="218">
        <f>E40</f>
        <v>0.86245154026601001</v>
      </c>
      <c r="D51" s="218">
        <f>1000*(C50-C51)/(B51-B50)</f>
        <v>0.21730238456589879</v>
      </c>
      <c r="M51" s="7"/>
    </row>
    <row r="52" spans="1:13" x14ac:dyDescent="0.3">
      <c r="B52" s="217">
        <v>1000</v>
      </c>
      <c r="C52" s="218">
        <f>F40</f>
        <v>0.8233385714713386</v>
      </c>
      <c r="D52" s="218">
        <f>1000*(C51-C52)/(B52-B51)</f>
        <v>7.822593758934282E-2</v>
      </c>
      <c r="M52" s="7"/>
    </row>
    <row r="54" spans="1:13" x14ac:dyDescent="0.3">
      <c r="B54" s="1" t="s">
        <v>512</v>
      </c>
    </row>
  </sheetData>
  <mergeCells count="4">
    <mergeCell ref="B15:B17"/>
    <mergeCell ref="C15:F15"/>
    <mergeCell ref="D16:F16"/>
    <mergeCell ref="A3:K4"/>
  </mergeCells>
  <pageMargins left="0.7" right="0.7" top="0.75" bottom="0.75" header="0.3" footer="0.3"/>
  <pageSetup scale="6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F48FE-6BC4-4A65-9270-AB23FC2B1C0F}">
  <dimension ref="A1:S78"/>
  <sheetViews>
    <sheetView zoomScaleNormal="100" workbookViewId="0"/>
  </sheetViews>
  <sheetFormatPr defaultColWidth="8.88671875" defaultRowHeight="15.6" x14ac:dyDescent="0.3"/>
  <cols>
    <col min="1" max="2" width="12.6640625" style="1" customWidth="1"/>
    <col min="3" max="3" width="19.109375" style="1" customWidth="1"/>
    <col min="4" max="4" width="18.6640625" style="1" customWidth="1"/>
    <col min="5" max="5" width="12.77734375" style="1" customWidth="1"/>
    <col min="6" max="6" width="15.88671875" style="1" customWidth="1"/>
    <col min="7" max="7" width="16.21875" style="1" customWidth="1"/>
    <col min="8" max="8" width="11.5546875" style="1" customWidth="1"/>
    <col min="9" max="16384" width="8.88671875" style="1"/>
  </cols>
  <sheetData>
    <row r="1" spans="1:18" ht="17.399999999999999" x14ac:dyDescent="0.3">
      <c r="A1" s="2" t="s">
        <v>42</v>
      </c>
      <c r="B1" s="4"/>
      <c r="C1" s="9" t="s">
        <v>10</v>
      </c>
      <c r="D1" s="4"/>
      <c r="E1" s="4"/>
      <c r="F1" s="4"/>
      <c r="G1" s="4"/>
      <c r="H1" s="4"/>
      <c r="I1" s="4"/>
      <c r="J1" s="4"/>
      <c r="K1" s="4"/>
      <c r="L1" s="3"/>
    </row>
    <row r="2" spans="1:18" x14ac:dyDescent="0.3">
      <c r="A2" s="4"/>
      <c r="B2" s="4"/>
      <c r="C2" s="4"/>
      <c r="D2" s="4"/>
      <c r="E2" s="4"/>
      <c r="F2" s="4"/>
      <c r="G2" s="4"/>
      <c r="H2" s="4"/>
      <c r="I2" s="4"/>
      <c r="J2" s="4"/>
      <c r="K2" s="4"/>
      <c r="L2" s="3"/>
    </row>
    <row r="3" spans="1:18" x14ac:dyDescent="0.3">
      <c r="A3" s="12" t="s">
        <v>43</v>
      </c>
      <c r="B3" s="12"/>
      <c r="C3" s="12"/>
      <c r="D3" s="12"/>
      <c r="E3" s="12"/>
      <c r="F3" s="12"/>
      <c r="G3" s="12"/>
      <c r="H3" s="12"/>
      <c r="I3" s="12"/>
      <c r="J3" s="12"/>
      <c r="K3" s="4"/>
      <c r="L3" s="3"/>
    </row>
    <row r="4" spans="1:18" s="11" customFormat="1" x14ac:dyDescent="0.3">
      <c r="A4" s="13"/>
      <c r="B4" s="12"/>
      <c r="C4" s="12"/>
      <c r="D4" s="12"/>
      <c r="E4" s="12"/>
      <c r="F4" s="12"/>
      <c r="G4" s="12"/>
      <c r="H4" s="10"/>
      <c r="I4" s="10"/>
      <c r="J4" s="10"/>
      <c r="K4" s="10"/>
      <c r="L4" s="10"/>
    </row>
    <row r="5" spans="1:18" s="11" customFormat="1" x14ac:dyDescent="0.3">
      <c r="A5" s="12" t="s">
        <v>371</v>
      </c>
      <c r="B5" s="12"/>
      <c r="C5" s="12"/>
      <c r="D5" s="12"/>
      <c r="E5" s="12"/>
      <c r="F5" s="12"/>
      <c r="G5" s="12"/>
      <c r="H5" s="94">
        <v>225000</v>
      </c>
      <c r="I5" s="10" t="s">
        <v>370</v>
      </c>
      <c r="J5" s="10"/>
      <c r="K5" s="10"/>
      <c r="L5" s="10"/>
    </row>
    <row r="6" spans="1:18" s="11" customFormat="1" x14ac:dyDescent="0.3">
      <c r="A6" s="12" t="s">
        <v>335</v>
      </c>
      <c r="B6" s="12"/>
      <c r="C6" s="12"/>
      <c r="D6" s="92">
        <v>15000</v>
      </c>
      <c r="E6" s="12"/>
      <c r="F6" s="12"/>
      <c r="G6" s="12"/>
      <c r="H6" s="10"/>
      <c r="I6" s="10"/>
      <c r="J6" s="10"/>
      <c r="K6" s="10"/>
      <c r="L6" s="10"/>
    </row>
    <row r="7" spans="1:18" s="11" customFormat="1" x14ac:dyDescent="0.3">
      <c r="A7" s="12" t="s">
        <v>336</v>
      </c>
      <c r="B7" s="12"/>
      <c r="C7" s="12"/>
      <c r="D7" s="93">
        <v>3.5000000000000003E-2</v>
      </c>
      <c r="E7" s="12"/>
      <c r="F7" s="12"/>
      <c r="G7" s="12"/>
      <c r="H7" s="10"/>
      <c r="I7" s="10"/>
      <c r="J7" s="10"/>
      <c r="K7" s="10"/>
      <c r="L7" s="10"/>
    </row>
    <row r="8" spans="1:18" s="11" customFormat="1" x14ac:dyDescent="0.3">
      <c r="A8" s="12" t="s">
        <v>337</v>
      </c>
      <c r="B8" s="12"/>
      <c r="C8" s="12"/>
      <c r="D8" s="86">
        <v>7.0000000000000007E-2</v>
      </c>
      <c r="E8" s="12"/>
      <c r="F8" s="12"/>
      <c r="G8" s="12"/>
      <c r="H8" s="10"/>
      <c r="I8" s="10"/>
      <c r="J8" s="10"/>
      <c r="K8" s="10"/>
      <c r="L8" s="10"/>
    </row>
    <row r="9" spans="1:18" s="11" customFormat="1" x14ac:dyDescent="0.3">
      <c r="A9" s="12" t="s">
        <v>44</v>
      </c>
      <c r="B9" s="12"/>
      <c r="C9" s="12"/>
      <c r="D9" s="12"/>
      <c r="E9" s="12"/>
      <c r="F9" s="12"/>
      <c r="G9" s="12"/>
      <c r="H9" s="10"/>
      <c r="I9" s="10"/>
      <c r="J9" s="10"/>
      <c r="K9" s="10"/>
      <c r="L9" s="10"/>
    </row>
    <row r="10" spans="1:18" x14ac:dyDescent="0.3">
      <c r="A10" s="9"/>
      <c r="B10" s="9"/>
      <c r="C10" s="9"/>
      <c r="D10" s="9"/>
      <c r="E10" s="9"/>
      <c r="F10" s="9"/>
      <c r="G10" s="9"/>
      <c r="H10" s="9"/>
      <c r="I10" s="9"/>
      <c r="J10" s="9"/>
      <c r="K10" s="9"/>
      <c r="L10" s="9"/>
    </row>
    <row r="12" spans="1:18" x14ac:dyDescent="0.3">
      <c r="A12" s="6" t="s">
        <v>4</v>
      </c>
      <c r="B12" s="4" t="s">
        <v>45</v>
      </c>
      <c r="C12" s="4"/>
      <c r="D12" s="4"/>
      <c r="E12" s="4"/>
      <c r="F12" s="4"/>
      <c r="G12" s="4"/>
      <c r="H12" s="4"/>
      <c r="I12" s="4"/>
      <c r="J12" s="4"/>
      <c r="K12" s="4"/>
      <c r="L12" s="4"/>
      <c r="M12" s="8"/>
      <c r="N12" s="8"/>
      <c r="O12" s="8"/>
      <c r="P12" s="8"/>
      <c r="Q12" s="8"/>
      <c r="R12" s="8"/>
    </row>
    <row r="13" spans="1:18" x14ac:dyDescent="0.3">
      <c r="A13" s="3"/>
      <c r="B13" s="3"/>
      <c r="C13" s="3"/>
      <c r="D13" s="3"/>
      <c r="E13" s="3"/>
      <c r="F13" s="3"/>
      <c r="G13" s="4"/>
      <c r="H13" s="4"/>
      <c r="I13" s="4"/>
      <c r="J13" s="4"/>
      <c r="K13" s="4"/>
      <c r="L13" s="4"/>
    </row>
    <row r="14" spans="1:18" x14ac:dyDescent="0.3">
      <c r="A14" s="7"/>
      <c r="B14" s="7"/>
      <c r="C14" s="7"/>
      <c r="D14" s="7"/>
      <c r="E14" s="7"/>
      <c r="F14" s="7"/>
      <c r="G14" s="7"/>
      <c r="H14" s="7"/>
      <c r="I14" s="7"/>
      <c r="J14" s="7"/>
      <c r="K14" s="7"/>
      <c r="L14" s="7"/>
      <c r="M14" s="7"/>
    </row>
    <row r="15" spans="1:18" x14ac:dyDescent="0.3">
      <c r="A15" s="7" t="s">
        <v>1</v>
      </c>
      <c r="B15" s="7"/>
      <c r="C15" s="7"/>
      <c r="D15" s="7"/>
      <c r="E15" s="7"/>
      <c r="F15" s="7"/>
      <c r="G15" s="7"/>
      <c r="H15" s="7"/>
      <c r="I15" s="7"/>
      <c r="J15" s="7"/>
      <c r="K15" s="7"/>
      <c r="L15" s="7"/>
      <c r="M15" s="7"/>
      <c r="N15" s="8"/>
    </row>
    <row r="16" spans="1:18" x14ac:dyDescent="0.3">
      <c r="A16" s="7"/>
      <c r="B16" s="1" t="s">
        <v>513</v>
      </c>
      <c r="C16"/>
      <c r="D16"/>
      <c r="E16"/>
      <c r="F16" s="220">
        <v>45108</v>
      </c>
      <c r="G16"/>
      <c r="I16" s="7"/>
      <c r="J16" s="7"/>
      <c r="K16" s="7"/>
      <c r="L16" s="7"/>
      <c r="M16" s="7"/>
      <c r="N16" s="8"/>
    </row>
    <row r="17" spans="1:19" x14ac:dyDescent="0.3">
      <c r="A17" s="7"/>
      <c r="B17" s="1" t="s">
        <v>514</v>
      </c>
      <c r="C17"/>
      <c r="D17"/>
      <c r="E17"/>
      <c r="F17" s="219">
        <v>3</v>
      </c>
      <c r="G17"/>
      <c r="I17" s="7"/>
      <c r="J17" s="7"/>
      <c r="K17" s="7"/>
      <c r="L17" s="7"/>
      <c r="M17" s="7"/>
      <c r="N17" s="8"/>
    </row>
    <row r="18" spans="1:19" x14ac:dyDescent="0.3">
      <c r="B18" s="1" t="s">
        <v>516</v>
      </c>
      <c r="C18"/>
      <c r="D18"/>
      <c r="E18"/>
      <c r="F18" s="221">
        <f>(1+$D$7)^(F17/12)</f>
        <v>1.0086374459977134</v>
      </c>
      <c r="G18"/>
      <c r="M18" s="8"/>
      <c r="N18" s="8"/>
    </row>
    <row r="19" spans="1:19" x14ac:dyDescent="0.3">
      <c r="B19" s="1" t="s">
        <v>515</v>
      </c>
      <c r="C19"/>
      <c r="D19"/>
      <c r="E19"/>
      <c r="F19" s="219">
        <v>33</v>
      </c>
      <c r="G19"/>
      <c r="M19" s="8"/>
      <c r="N19" s="8"/>
    </row>
    <row r="20" spans="1:19" x14ac:dyDescent="0.3">
      <c r="B20" s="1" t="s">
        <v>517</v>
      </c>
      <c r="C20"/>
      <c r="D20"/>
      <c r="E20"/>
      <c r="F20" s="221">
        <f>(1+$D$8)^(F19/12)</f>
        <v>1.2044960736136776</v>
      </c>
      <c r="G20"/>
      <c r="M20" s="8"/>
      <c r="N20" s="8"/>
    </row>
    <row r="21" spans="1:19" x14ac:dyDescent="0.3">
      <c r="B21" s="1" t="s">
        <v>518</v>
      </c>
      <c r="C21"/>
      <c r="D21"/>
      <c r="E21"/>
      <c r="F21" s="222">
        <f>ROUND(H5*F18*F20,2)</f>
        <v>273352.46000000002</v>
      </c>
      <c r="G21"/>
      <c r="M21" s="8"/>
      <c r="N21" s="8"/>
    </row>
    <row r="22" spans="1:19" x14ac:dyDescent="0.3">
      <c r="B22" s="1" t="s">
        <v>519</v>
      </c>
      <c r="C22"/>
      <c r="D22"/>
      <c r="E22"/>
      <c r="F22" s="222">
        <f>D6*(1+D7)^((F17+F19)/12)</f>
        <v>16630.768124999995</v>
      </c>
      <c r="G22"/>
      <c r="M22" s="8"/>
      <c r="N22" s="8"/>
    </row>
    <row r="23" spans="1:19" x14ac:dyDescent="0.3">
      <c r="B23" s="1" t="s">
        <v>520</v>
      </c>
      <c r="C23"/>
      <c r="D23"/>
      <c r="E23"/>
      <c r="F23" s="223">
        <f>F21/F22</f>
        <v>16.436550491560659</v>
      </c>
      <c r="G23"/>
      <c r="M23" s="8"/>
      <c r="N23" s="8"/>
    </row>
    <row r="24" spans="1:19" x14ac:dyDescent="0.3">
      <c r="M24" s="8"/>
      <c r="N24" s="8"/>
    </row>
    <row r="25" spans="1:19" x14ac:dyDescent="0.3">
      <c r="A25" s="12" t="s">
        <v>326</v>
      </c>
      <c r="B25" s="12"/>
      <c r="C25" s="12"/>
      <c r="D25" s="12"/>
      <c r="E25" s="12"/>
      <c r="F25" s="12"/>
      <c r="G25" s="12"/>
      <c r="H25" s="12"/>
      <c r="I25" s="12"/>
      <c r="J25" s="12"/>
      <c r="K25" s="4"/>
      <c r="L25" s="3"/>
      <c r="M25" s="8"/>
      <c r="N25" s="8"/>
    </row>
    <row r="26" spans="1:19" x14ac:dyDescent="0.3">
      <c r="A26" s="12"/>
      <c r="B26" s="12"/>
      <c r="C26" s="12"/>
      <c r="D26" s="12"/>
      <c r="E26" s="12"/>
      <c r="F26" s="12"/>
      <c r="G26" s="12"/>
      <c r="H26" s="12"/>
      <c r="I26" s="12"/>
      <c r="J26" s="12"/>
      <c r="K26" s="4"/>
      <c r="L26" s="3"/>
      <c r="M26" s="8"/>
      <c r="N26" s="8"/>
      <c r="O26"/>
      <c r="P26"/>
      <c r="Q26"/>
      <c r="R26"/>
      <c r="S26"/>
    </row>
    <row r="27" spans="1:19" x14ac:dyDescent="0.3">
      <c r="A27" s="12"/>
      <c r="B27" s="95" t="s">
        <v>377</v>
      </c>
      <c r="C27" s="95"/>
      <c r="D27" s="96">
        <v>5</v>
      </c>
      <c r="E27" s="12"/>
      <c r="F27" s="12"/>
      <c r="G27" s="12"/>
      <c r="H27" s="12"/>
      <c r="I27" s="12"/>
      <c r="J27" s="12"/>
      <c r="K27" s="4"/>
      <c r="L27" s="3"/>
      <c r="M27" s="8"/>
      <c r="N27" s="8"/>
      <c r="O27"/>
      <c r="P27"/>
      <c r="Q27"/>
      <c r="R27"/>
      <c r="S27"/>
    </row>
    <row r="28" spans="1:19" x14ac:dyDescent="0.3">
      <c r="A28" s="12"/>
      <c r="B28" s="95" t="s">
        <v>378</v>
      </c>
      <c r="C28" s="95"/>
      <c r="D28" s="86">
        <v>0.1</v>
      </c>
      <c r="E28" s="12"/>
      <c r="F28" s="12"/>
      <c r="G28" s="12"/>
      <c r="H28" s="12"/>
      <c r="I28" s="12"/>
      <c r="J28" s="12"/>
      <c r="K28" s="4"/>
      <c r="L28" s="3"/>
      <c r="M28" s="8"/>
      <c r="N28" s="8"/>
      <c r="O28"/>
      <c r="P28"/>
      <c r="Q28"/>
      <c r="R28"/>
      <c r="S28"/>
    </row>
    <row r="29" spans="1:19" x14ac:dyDescent="0.3">
      <c r="A29" s="13"/>
      <c r="B29" s="95" t="s">
        <v>379</v>
      </c>
      <c r="C29" s="95"/>
      <c r="D29" s="86">
        <v>0.25</v>
      </c>
      <c r="E29" s="12"/>
      <c r="F29" s="12"/>
      <c r="G29" s="12"/>
      <c r="H29" s="10"/>
      <c r="I29" s="10"/>
      <c r="J29" s="10"/>
      <c r="K29" s="10"/>
      <c r="L29" s="10"/>
      <c r="M29" s="8"/>
      <c r="N29" s="8"/>
      <c r="O29"/>
      <c r="P29"/>
      <c r="Q29"/>
      <c r="R29"/>
      <c r="S29"/>
    </row>
    <row r="30" spans="1:19" x14ac:dyDescent="0.3">
      <c r="O30"/>
      <c r="P30"/>
      <c r="Q30"/>
      <c r="R30"/>
      <c r="S30"/>
    </row>
    <row r="31" spans="1:19" x14ac:dyDescent="0.3">
      <c r="A31" s="6" t="s">
        <v>5</v>
      </c>
      <c r="B31" s="4" t="s">
        <v>46</v>
      </c>
      <c r="C31" s="4"/>
      <c r="D31" s="4"/>
      <c r="E31" s="4"/>
      <c r="F31" s="4"/>
      <c r="G31" s="4"/>
      <c r="H31" s="4"/>
      <c r="I31" s="4"/>
      <c r="J31" s="4"/>
      <c r="K31" s="4"/>
      <c r="L31" s="4"/>
    </row>
    <row r="32" spans="1:19" x14ac:dyDescent="0.3">
      <c r="A32" s="3"/>
      <c r="B32" s="3"/>
      <c r="C32" s="3"/>
      <c r="D32" s="3"/>
      <c r="E32" s="3"/>
      <c r="F32" s="3"/>
      <c r="G32" s="4"/>
      <c r="H32" s="4"/>
      <c r="I32" s="4"/>
      <c r="J32" s="4"/>
      <c r="K32" s="4"/>
      <c r="L32" s="4"/>
    </row>
    <row r="33" spans="1:12" x14ac:dyDescent="0.3">
      <c r="A33" s="7"/>
      <c r="B33" s="7"/>
      <c r="C33" s="7"/>
      <c r="D33" s="7"/>
      <c r="E33" s="7"/>
      <c r="F33" s="7"/>
      <c r="G33" s="7"/>
      <c r="H33" s="7"/>
      <c r="I33" s="7"/>
      <c r="J33" s="7"/>
      <c r="K33" s="7"/>
      <c r="L33" s="7"/>
    </row>
    <row r="34" spans="1:12" x14ac:dyDescent="0.3">
      <c r="A34" s="7" t="s">
        <v>1</v>
      </c>
      <c r="B34" s="7"/>
      <c r="C34" s="7"/>
      <c r="E34" s="7"/>
      <c r="F34" s="7"/>
      <c r="G34" s="7"/>
      <c r="H34" s="7"/>
      <c r="I34" s="7"/>
      <c r="J34" s="7"/>
      <c r="K34" s="7"/>
      <c r="L34" s="7"/>
    </row>
    <row r="35" spans="1:12" x14ac:dyDescent="0.3">
      <c r="A35" s="7"/>
      <c r="B35" s="7" t="s">
        <v>521</v>
      </c>
      <c r="C35" s="7"/>
      <c r="D35" s="224">
        <f>(F23+D27)/(1-D28-D29)</f>
        <v>32.97930844855486</v>
      </c>
      <c r="E35" s="7"/>
      <c r="F35" s="7"/>
      <c r="G35" s="7"/>
      <c r="H35" s="7"/>
      <c r="I35" s="7"/>
      <c r="J35" s="7"/>
      <c r="K35" s="7"/>
      <c r="L35" s="7"/>
    </row>
    <row r="37" spans="1:12" x14ac:dyDescent="0.3">
      <c r="A37" s="12" t="s">
        <v>327</v>
      </c>
      <c r="B37" s="12"/>
      <c r="C37" s="12"/>
      <c r="D37" s="12"/>
      <c r="E37" s="12"/>
      <c r="F37" s="12"/>
      <c r="G37" s="12"/>
      <c r="H37" s="12"/>
      <c r="I37" s="12"/>
      <c r="J37" s="12"/>
      <c r="K37" s="4"/>
      <c r="L37" s="3"/>
    </row>
    <row r="38" spans="1:12" x14ac:dyDescent="0.3">
      <c r="A38" s="12"/>
      <c r="B38" s="12"/>
      <c r="C38" s="12"/>
      <c r="D38" s="12"/>
      <c r="E38" s="12"/>
      <c r="F38" s="12"/>
      <c r="G38" s="12"/>
      <c r="H38" s="12"/>
      <c r="I38" s="12"/>
      <c r="J38" s="12"/>
      <c r="K38" s="4"/>
      <c r="L38" s="3"/>
    </row>
    <row r="39" spans="1:12" x14ac:dyDescent="0.3">
      <c r="A39" s="12"/>
      <c r="B39" s="325" t="s">
        <v>37</v>
      </c>
      <c r="C39" s="326" t="s">
        <v>47</v>
      </c>
      <c r="D39" s="327"/>
      <c r="E39" s="12"/>
      <c r="F39" s="12"/>
      <c r="G39" s="12"/>
      <c r="H39" s="12"/>
      <c r="I39" s="12"/>
      <c r="J39" s="12"/>
      <c r="K39" s="4"/>
      <c r="L39" s="3"/>
    </row>
    <row r="40" spans="1:12" ht="31.5" customHeight="1" x14ac:dyDescent="0.3">
      <c r="A40" s="12"/>
      <c r="B40" s="325"/>
      <c r="C40" s="328" t="s">
        <v>376</v>
      </c>
      <c r="D40" s="329"/>
      <c r="E40" s="12"/>
      <c r="F40" s="12"/>
      <c r="G40" s="12"/>
      <c r="H40" s="12"/>
      <c r="I40" s="12"/>
      <c r="J40" s="12"/>
      <c r="K40" s="4"/>
      <c r="L40" s="3"/>
    </row>
    <row r="41" spans="1:12" ht="31.2" x14ac:dyDescent="0.3">
      <c r="A41" s="12"/>
      <c r="B41" s="322"/>
      <c r="C41" s="79" t="s">
        <v>48</v>
      </c>
      <c r="D41" s="79" t="s">
        <v>49</v>
      </c>
      <c r="E41" s="12"/>
      <c r="F41" s="12"/>
      <c r="G41" s="12"/>
      <c r="H41" s="12"/>
      <c r="I41" s="12"/>
      <c r="J41" s="12"/>
      <c r="K41" s="4"/>
      <c r="L41" s="3"/>
    </row>
    <row r="42" spans="1:12" x14ac:dyDescent="0.3">
      <c r="A42" s="12"/>
      <c r="B42" s="15">
        <v>2018</v>
      </c>
      <c r="C42" s="20">
        <v>15500000</v>
      </c>
      <c r="D42" s="20">
        <v>9000000</v>
      </c>
      <c r="E42" s="12"/>
      <c r="F42" s="12"/>
      <c r="G42" s="12"/>
      <c r="H42" s="12"/>
      <c r="I42" s="12"/>
      <c r="J42" s="12"/>
      <c r="K42" s="4"/>
      <c r="L42" s="3"/>
    </row>
    <row r="43" spans="1:12" x14ac:dyDescent="0.3">
      <c r="A43" s="12"/>
      <c r="B43" s="15">
        <v>2019</v>
      </c>
      <c r="C43" s="20">
        <v>16250000</v>
      </c>
      <c r="D43" s="20">
        <v>8000000</v>
      </c>
      <c r="E43" s="12"/>
      <c r="F43" s="12"/>
      <c r="G43" s="12"/>
      <c r="H43" s="12"/>
      <c r="I43" s="12"/>
      <c r="J43" s="12"/>
      <c r="K43" s="4"/>
      <c r="L43" s="3"/>
    </row>
    <row r="44" spans="1:12" x14ac:dyDescent="0.3">
      <c r="A44" s="12"/>
      <c r="B44" s="15">
        <v>2020</v>
      </c>
      <c r="C44" s="20">
        <v>17000000</v>
      </c>
      <c r="D44" s="20">
        <v>8200000</v>
      </c>
      <c r="E44" s="12"/>
      <c r="F44" s="12"/>
      <c r="G44" s="12"/>
      <c r="H44" s="12"/>
      <c r="I44" s="12"/>
      <c r="J44" s="12"/>
      <c r="K44" s="4"/>
      <c r="L44" s="3"/>
    </row>
    <row r="45" spans="1:12" x14ac:dyDescent="0.3">
      <c r="A45" s="12"/>
      <c r="B45" s="12"/>
      <c r="C45" s="12"/>
      <c r="D45" s="12"/>
      <c r="E45" s="12"/>
      <c r="F45" s="12"/>
      <c r="G45" s="12"/>
      <c r="H45" s="12"/>
      <c r="I45" s="12"/>
      <c r="J45" s="12"/>
      <c r="K45" s="4"/>
      <c r="L45" s="3"/>
    </row>
    <row r="46" spans="1:12" x14ac:dyDescent="0.3">
      <c r="A46" s="12"/>
      <c r="B46" s="97" t="s">
        <v>380</v>
      </c>
      <c r="C46" s="98"/>
      <c r="D46" s="92">
        <v>1050</v>
      </c>
      <c r="E46" s="12"/>
      <c r="F46" s="12"/>
      <c r="G46" s="12"/>
      <c r="H46" s="12"/>
      <c r="I46" s="12"/>
      <c r="J46" s="12"/>
      <c r="K46" s="4"/>
      <c r="L46" s="3"/>
    </row>
    <row r="47" spans="1:12" x14ac:dyDescent="0.3">
      <c r="A47" s="12"/>
      <c r="B47" s="97" t="s">
        <v>381</v>
      </c>
      <c r="C47" s="98"/>
      <c r="D47" s="86">
        <v>0.02</v>
      </c>
      <c r="E47" s="12"/>
      <c r="F47" s="12"/>
      <c r="G47" s="12"/>
      <c r="H47" s="12"/>
      <c r="I47" s="12"/>
      <c r="J47" s="12"/>
      <c r="K47" s="4"/>
      <c r="L47" s="3"/>
    </row>
    <row r="48" spans="1:12" x14ac:dyDescent="0.3">
      <c r="A48" s="12"/>
      <c r="B48" s="97" t="s">
        <v>382</v>
      </c>
      <c r="C48" s="98"/>
      <c r="D48" s="86">
        <v>0.56999999999999995</v>
      </c>
      <c r="E48" s="12"/>
      <c r="F48" s="12"/>
      <c r="G48" s="12"/>
      <c r="H48" s="12"/>
      <c r="I48" s="12"/>
      <c r="J48" s="12"/>
      <c r="K48" s="4"/>
      <c r="L48" s="3"/>
    </row>
    <row r="49" spans="1:14" x14ac:dyDescent="0.3">
      <c r="A49" s="13"/>
      <c r="B49" s="12"/>
      <c r="C49" s="12"/>
      <c r="D49" s="12"/>
      <c r="E49" s="12"/>
      <c r="F49" s="12"/>
      <c r="G49" s="12"/>
      <c r="H49" s="10"/>
      <c r="I49" s="10"/>
      <c r="J49" s="10"/>
      <c r="K49" s="10"/>
      <c r="L49" s="10"/>
    </row>
    <row r="51" spans="1:14" x14ac:dyDescent="0.3">
      <c r="A51" s="6" t="s">
        <v>0</v>
      </c>
      <c r="B51" s="4" t="s">
        <v>50</v>
      </c>
      <c r="C51" s="4"/>
      <c r="D51" s="4"/>
      <c r="E51" s="4"/>
      <c r="F51" s="4"/>
      <c r="G51" s="4"/>
      <c r="H51" s="4"/>
      <c r="I51" s="4"/>
      <c r="J51" s="4"/>
      <c r="K51" s="4"/>
      <c r="L51" s="4"/>
    </row>
    <row r="52" spans="1:14" x14ac:dyDescent="0.3">
      <c r="A52" s="3"/>
      <c r="B52" s="3"/>
      <c r="C52" s="3"/>
      <c r="D52" s="3"/>
      <c r="E52" s="3"/>
      <c r="F52" s="3"/>
      <c r="G52" s="4"/>
      <c r="H52" s="4"/>
      <c r="I52" s="4"/>
      <c r="J52" s="4"/>
      <c r="K52" s="4"/>
      <c r="L52" s="4"/>
    </row>
    <row r="53" spans="1:14" x14ac:dyDescent="0.3">
      <c r="A53" s="7"/>
      <c r="B53" s="7"/>
      <c r="C53" s="7"/>
      <c r="D53" s="7"/>
      <c r="E53" s="7"/>
      <c r="F53" s="7"/>
      <c r="G53" s="7"/>
      <c r="H53" s="7"/>
      <c r="I53" s="7"/>
      <c r="J53" s="7"/>
      <c r="K53" s="7"/>
      <c r="L53" s="7"/>
    </row>
    <row r="54" spans="1:14" x14ac:dyDescent="0.3">
      <c r="A54" s="7" t="s">
        <v>1</v>
      </c>
      <c r="B54" s="7"/>
      <c r="C54" s="7"/>
      <c r="D54" s="7"/>
      <c r="E54" s="7"/>
      <c r="F54" s="7"/>
      <c r="G54" s="7"/>
      <c r="H54" s="7"/>
      <c r="I54" s="7"/>
      <c r="J54" s="7"/>
      <c r="K54" s="7"/>
      <c r="L54" s="7"/>
    </row>
    <row r="55" spans="1:14" ht="31.2" x14ac:dyDescent="0.3">
      <c r="A55" s="7"/>
      <c r="B55" s="190" t="s">
        <v>37</v>
      </c>
      <c r="C55" s="227" t="s">
        <v>522</v>
      </c>
      <c r="D55" s="227" t="s">
        <v>49</v>
      </c>
      <c r="E55" s="190" t="s">
        <v>523</v>
      </c>
      <c r="F55" s="190" t="s">
        <v>524</v>
      </c>
      <c r="G55" s="190" t="s">
        <v>525</v>
      </c>
      <c r="H55" s="190" t="s">
        <v>526</v>
      </c>
      <c r="I55" s="7"/>
      <c r="J55" s="7"/>
      <c r="K55" s="7"/>
      <c r="L55" s="7"/>
    </row>
    <row r="56" spans="1:14" x14ac:dyDescent="0.3">
      <c r="A56" s="7"/>
      <c r="B56" s="191">
        <v>2018</v>
      </c>
      <c r="C56" s="225">
        <v>15500000</v>
      </c>
      <c r="D56" s="225">
        <v>9000000</v>
      </c>
      <c r="E56" s="191">
        <f>E57+1</f>
        <v>5</v>
      </c>
      <c r="F56" s="225">
        <f>C56*(1+$D$47)^E56</f>
        <v>17113252.4496</v>
      </c>
      <c r="G56" s="225">
        <f>D56*(1+$D$8)^E56</f>
        <v>12622965.576300001</v>
      </c>
      <c r="H56" s="218">
        <f>G56/F56</f>
        <v>0.73761347315337744</v>
      </c>
      <c r="I56" s="7"/>
      <c r="J56" s="7"/>
      <c r="K56" s="7"/>
      <c r="L56" s="7"/>
    </row>
    <row r="57" spans="1:14" x14ac:dyDescent="0.3">
      <c r="B57" s="191">
        <v>2019</v>
      </c>
      <c r="C57" s="225">
        <v>16250000</v>
      </c>
      <c r="D57" s="225">
        <v>8000000</v>
      </c>
      <c r="E57" s="191">
        <f>E58+1</f>
        <v>4</v>
      </c>
      <c r="F57" s="225">
        <f t="shared" ref="F57:F58" si="0">C57*(1+$D$47)^E57</f>
        <v>17589522.599999998</v>
      </c>
      <c r="G57" s="225">
        <f t="shared" ref="G57:G58" si="1">D57*(1+$D$8)^E57</f>
        <v>10486368.08</v>
      </c>
      <c r="H57" s="218">
        <f t="shared" ref="H57:H58" si="2">G57/F57</f>
        <v>0.59617127300544248</v>
      </c>
    </row>
    <row r="58" spans="1:14" x14ac:dyDescent="0.3">
      <c r="B58" s="191">
        <v>2020</v>
      </c>
      <c r="C58" s="225">
        <v>17000000</v>
      </c>
      <c r="D58" s="225">
        <v>8200000</v>
      </c>
      <c r="E58" s="191">
        <f>(F17+F19)/12</f>
        <v>3</v>
      </c>
      <c r="F58" s="225">
        <f t="shared" si="0"/>
        <v>18040536</v>
      </c>
      <c r="G58" s="225">
        <f t="shared" si="1"/>
        <v>10045352.600000001</v>
      </c>
      <c r="H58" s="218">
        <f t="shared" si="2"/>
        <v>0.55682118314001317</v>
      </c>
    </row>
    <row r="59" spans="1:14" x14ac:dyDescent="0.3">
      <c r="E59" s="330" t="s">
        <v>527</v>
      </c>
      <c r="F59" s="330"/>
      <c r="G59" s="330"/>
      <c r="H59" s="218">
        <f>AVERAGE(H57:H58)</f>
        <v>0.57649622807272782</v>
      </c>
    </row>
    <row r="60" spans="1:14" x14ac:dyDescent="0.3">
      <c r="E60" s="1" t="s">
        <v>528</v>
      </c>
      <c r="H60" s="218">
        <f>H59/D48-1</f>
        <v>1.1396891355663019E-2</v>
      </c>
    </row>
    <row r="61" spans="1:14" x14ac:dyDescent="0.3">
      <c r="E61" s="1" t="s">
        <v>529</v>
      </c>
      <c r="H61" s="226">
        <f>D46*(1+H60)</f>
        <v>1061.9667359234461</v>
      </c>
    </row>
    <row r="63" spans="1:14" x14ac:dyDescent="0.3">
      <c r="B63" s="1" t="s">
        <v>530</v>
      </c>
      <c r="M63" s="7"/>
      <c r="N63" s="7"/>
    </row>
    <row r="65" spans="1:13" x14ac:dyDescent="0.3">
      <c r="A65" s="323" t="s">
        <v>51</v>
      </c>
      <c r="B65" s="323"/>
      <c r="C65" s="323"/>
      <c r="D65" s="323"/>
      <c r="E65" s="323"/>
      <c r="F65" s="323"/>
      <c r="G65" s="323"/>
      <c r="H65" s="323"/>
      <c r="I65" s="323"/>
      <c r="J65" s="323"/>
      <c r="K65" s="323"/>
      <c r="L65" s="3"/>
    </row>
    <row r="66" spans="1:13" x14ac:dyDescent="0.3">
      <c r="A66" s="323"/>
      <c r="B66" s="323"/>
      <c r="C66" s="323"/>
      <c r="D66" s="323"/>
      <c r="E66" s="323"/>
      <c r="F66" s="323"/>
      <c r="G66" s="323"/>
      <c r="H66" s="323"/>
      <c r="I66" s="323"/>
      <c r="J66" s="323"/>
      <c r="K66" s="323"/>
      <c r="L66" s="3"/>
    </row>
    <row r="67" spans="1:13" x14ac:dyDescent="0.3">
      <c r="A67" s="12"/>
      <c r="B67" s="12"/>
      <c r="C67" s="12"/>
      <c r="D67" s="12"/>
      <c r="E67" s="12"/>
      <c r="F67" s="12"/>
      <c r="G67" s="12"/>
      <c r="H67" s="12"/>
      <c r="I67" s="12"/>
      <c r="J67" s="12"/>
      <c r="K67" s="4"/>
      <c r="L67" s="3"/>
    </row>
    <row r="69" spans="1:13" x14ac:dyDescent="0.3">
      <c r="A69" s="6" t="s">
        <v>2</v>
      </c>
      <c r="B69" s="4" t="s">
        <v>52</v>
      </c>
      <c r="C69" s="4"/>
      <c r="D69" s="4"/>
      <c r="E69" s="4"/>
      <c r="F69" s="4"/>
      <c r="G69" s="4"/>
      <c r="H69" s="4"/>
      <c r="I69" s="4"/>
      <c r="J69" s="4"/>
      <c r="K69" s="4"/>
      <c r="L69" s="4"/>
    </row>
    <row r="70" spans="1:13" x14ac:dyDescent="0.3">
      <c r="A70" s="3"/>
      <c r="B70" s="3"/>
      <c r="C70" s="3"/>
      <c r="D70" s="3"/>
      <c r="E70" s="3"/>
      <c r="F70" s="3"/>
      <c r="G70" s="4"/>
      <c r="H70" s="4"/>
      <c r="I70" s="4"/>
      <c r="J70" s="4"/>
      <c r="K70" s="4"/>
      <c r="L70" s="4"/>
    </row>
    <row r="71" spans="1:13" x14ac:dyDescent="0.3">
      <c r="A71" s="7"/>
      <c r="B71" s="7"/>
      <c r="C71" s="7"/>
      <c r="D71" s="7"/>
      <c r="E71" s="7"/>
      <c r="F71" s="7"/>
      <c r="G71" s="7"/>
      <c r="H71" s="7"/>
      <c r="I71" s="7"/>
      <c r="J71" s="7"/>
      <c r="K71" s="7"/>
      <c r="L71" s="7"/>
    </row>
    <row r="72" spans="1:13" x14ac:dyDescent="0.3">
      <c r="A72" s="7" t="s">
        <v>1</v>
      </c>
      <c r="B72" s="7"/>
      <c r="C72" s="7"/>
      <c r="D72" s="7"/>
      <c r="E72" s="7"/>
      <c r="F72" s="7"/>
      <c r="G72" s="7"/>
      <c r="H72" s="7"/>
      <c r="I72" s="7"/>
      <c r="J72" s="7"/>
      <c r="K72" s="7"/>
      <c r="L72" s="7"/>
    </row>
    <row r="73" spans="1:13" x14ac:dyDescent="0.3">
      <c r="A73" s="7"/>
      <c r="B73" s="7" t="s">
        <v>531</v>
      </c>
      <c r="C73" s="7"/>
      <c r="D73" s="7"/>
      <c r="E73" s="7"/>
      <c r="F73" s="7"/>
      <c r="G73" s="7"/>
      <c r="H73" s="7"/>
      <c r="I73" s="7"/>
      <c r="J73" s="7"/>
      <c r="K73" s="7"/>
      <c r="L73" s="7"/>
    </row>
    <row r="74" spans="1:13" x14ac:dyDescent="0.3">
      <c r="A74" s="7"/>
      <c r="B74" s="7" t="s">
        <v>532</v>
      </c>
      <c r="C74" s="7"/>
      <c r="D74" s="7"/>
      <c r="E74" s="7"/>
      <c r="F74" s="7"/>
      <c r="G74" s="7"/>
      <c r="H74" s="7"/>
      <c r="I74" s="7"/>
      <c r="J74" s="7"/>
      <c r="K74" s="7"/>
      <c r="L74" s="7"/>
    </row>
    <row r="77" spans="1:13" x14ac:dyDescent="0.3">
      <c r="M77" s="7"/>
    </row>
    <row r="78" spans="1:13" x14ac:dyDescent="0.3">
      <c r="M78" s="7"/>
    </row>
  </sheetData>
  <mergeCells count="5">
    <mergeCell ref="B39:B41"/>
    <mergeCell ref="C39:D39"/>
    <mergeCell ref="C40:D40"/>
    <mergeCell ref="A65:K66"/>
    <mergeCell ref="E59:G59"/>
  </mergeCells>
  <pageMargins left="0.7" right="0.7" top="0.75" bottom="0.75" header="0.3" footer="0.3"/>
  <pageSetup scale="6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84D87-AFBA-4E84-8106-7769A175F41C}">
  <dimension ref="A1:R61"/>
  <sheetViews>
    <sheetView zoomScaleNormal="100" workbookViewId="0"/>
  </sheetViews>
  <sheetFormatPr defaultColWidth="8.88671875" defaultRowHeight="15.6" x14ac:dyDescent="0.3"/>
  <cols>
    <col min="1" max="1" width="8.88671875" style="1" customWidth="1"/>
    <col min="2" max="2" width="11.6640625" style="1" customWidth="1"/>
    <col min="3" max="4" width="16.6640625" style="1" customWidth="1"/>
    <col min="5" max="5" width="11.21875" style="1" customWidth="1"/>
    <col min="6" max="6" width="8.88671875" style="1" customWidth="1"/>
    <col min="7" max="7" width="11.88671875" style="1" customWidth="1"/>
    <col min="8" max="8" width="8.88671875" style="1" customWidth="1"/>
    <col min="9" max="16384" width="8.88671875" style="1"/>
  </cols>
  <sheetData>
    <row r="1" spans="1:12" ht="17.399999999999999" x14ac:dyDescent="0.3">
      <c r="A1" s="2" t="s">
        <v>53</v>
      </c>
      <c r="B1" s="4"/>
      <c r="C1" s="9" t="s">
        <v>12</v>
      </c>
      <c r="D1" s="4"/>
      <c r="E1" s="4"/>
      <c r="F1" s="4"/>
      <c r="G1" s="4"/>
      <c r="H1" s="4"/>
      <c r="I1" s="4"/>
      <c r="J1" s="4"/>
      <c r="K1" s="4"/>
      <c r="L1" s="3"/>
    </row>
    <row r="2" spans="1:12" x14ac:dyDescent="0.3">
      <c r="A2" s="4"/>
      <c r="B2" s="4"/>
      <c r="C2" s="4"/>
      <c r="D2" s="4"/>
      <c r="E2" s="4"/>
      <c r="F2" s="4"/>
      <c r="G2" s="4"/>
      <c r="H2" s="4"/>
      <c r="I2" s="4"/>
      <c r="J2" s="4"/>
      <c r="K2" s="4"/>
      <c r="L2" s="3"/>
    </row>
    <row r="4" spans="1:12" x14ac:dyDescent="0.3">
      <c r="A4" s="5" t="s">
        <v>9</v>
      </c>
      <c r="B4" s="3"/>
      <c r="C4" s="3"/>
      <c r="D4" s="3"/>
      <c r="E4" s="3"/>
      <c r="F4" s="3"/>
      <c r="G4" s="3"/>
      <c r="H4" s="3"/>
      <c r="I4" s="3"/>
      <c r="J4" s="3"/>
      <c r="K4" s="3"/>
      <c r="L4" s="3"/>
    </row>
    <row r="5" spans="1:12" x14ac:dyDescent="0.3">
      <c r="A5" s="7"/>
      <c r="B5" s="7"/>
      <c r="C5" s="7"/>
      <c r="D5" s="7"/>
      <c r="E5" s="7"/>
      <c r="F5" s="7"/>
      <c r="G5" s="7"/>
      <c r="H5" s="7"/>
      <c r="I5" s="7"/>
      <c r="J5" s="7"/>
      <c r="K5" s="7"/>
      <c r="L5" s="7"/>
    </row>
    <row r="6" spans="1:12" x14ac:dyDescent="0.3">
      <c r="A6" s="331" t="s">
        <v>328</v>
      </c>
      <c r="B6" s="331"/>
      <c r="C6" s="331"/>
      <c r="D6" s="331"/>
      <c r="E6" s="331"/>
      <c r="F6" s="331"/>
      <c r="G6" s="331"/>
      <c r="H6" s="331"/>
      <c r="I6" s="331"/>
      <c r="J6" s="331"/>
      <c r="K6" s="331"/>
      <c r="L6" s="9"/>
    </row>
    <row r="7" spans="1:12" x14ac:dyDescent="0.3">
      <c r="A7" s="331"/>
      <c r="B7" s="331"/>
      <c r="C7" s="331"/>
      <c r="D7" s="331"/>
      <c r="E7" s="331"/>
      <c r="F7" s="331"/>
      <c r="G7" s="331"/>
      <c r="H7" s="331"/>
      <c r="I7" s="331"/>
      <c r="J7" s="331"/>
      <c r="K7" s="331"/>
      <c r="L7" s="9"/>
    </row>
    <row r="8" spans="1:12" x14ac:dyDescent="0.3">
      <c r="A8" s="9"/>
      <c r="B8" s="9"/>
      <c r="C8" s="9"/>
      <c r="D8" s="9"/>
      <c r="E8" s="9"/>
      <c r="F8" s="9"/>
      <c r="G8" s="9"/>
      <c r="H8" s="9"/>
      <c r="I8" s="9"/>
      <c r="J8" s="9"/>
      <c r="K8" s="9"/>
      <c r="L8" s="9"/>
    </row>
    <row r="9" spans="1:12" ht="31.2" customHeight="1" x14ac:dyDescent="0.3">
      <c r="A9" s="9"/>
      <c r="B9" s="324" t="s">
        <v>54</v>
      </c>
      <c r="C9" s="324" t="s">
        <v>55</v>
      </c>
      <c r="D9" s="324"/>
      <c r="E9" s="9"/>
      <c r="F9" s="9"/>
      <c r="G9" s="9"/>
      <c r="H9" s="9"/>
      <c r="I9" s="9"/>
      <c r="J9" s="9"/>
      <c r="K9" s="9"/>
      <c r="L9" s="9"/>
    </row>
    <row r="10" spans="1:12" x14ac:dyDescent="0.3">
      <c r="A10" s="9"/>
      <c r="B10" s="324"/>
      <c r="C10" s="14" t="s">
        <v>56</v>
      </c>
      <c r="D10" s="14" t="s">
        <v>57</v>
      </c>
      <c r="E10" s="9"/>
      <c r="F10" s="9"/>
      <c r="G10" s="9"/>
      <c r="H10" s="9"/>
      <c r="I10" s="9"/>
      <c r="J10" s="9"/>
      <c r="K10" s="9"/>
      <c r="L10" s="9"/>
    </row>
    <row r="11" spans="1:12" x14ac:dyDescent="0.3">
      <c r="A11" s="9"/>
      <c r="B11" s="15">
        <v>2016</v>
      </c>
      <c r="C11" s="24">
        <v>5.1999999999999998E-2</v>
      </c>
      <c r="D11" s="24">
        <v>9.2999999999999999E-2</v>
      </c>
      <c r="E11" s="9"/>
      <c r="F11" s="9"/>
      <c r="G11" s="9"/>
      <c r="H11" s="9"/>
      <c r="I11" s="9"/>
      <c r="J11" s="9"/>
      <c r="K11" s="9"/>
      <c r="L11" s="9"/>
    </row>
    <row r="12" spans="1:12" x14ac:dyDescent="0.3">
      <c r="A12" s="9"/>
      <c r="B12" s="15">
        <v>2017</v>
      </c>
      <c r="C12" s="24">
        <v>0.05</v>
      </c>
      <c r="D12" s="24">
        <v>0.1</v>
      </c>
      <c r="E12" s="9"/>
      <c r="F12" s="9"/>
      <c r="G12" s="9"/>
      <c r="H12" s="9"/>
      <c r="I12" s="9"/>
      <c r="J12" s="9"/>
      <c r="K12" s="9"/>
      <c r="L12" s="9"/>
    </row>
    <row r="13" spans="1:12" x14ac:dyDescent="0.3">
      <c r="A13" s="9"/>
      <c r="B13" s="15">
        <v>2018</v>
      </c>
      <c r="C13" s="24">
        <v>4.4999999999999998E-2</v>
      </c>
      <c r="D13" s="24">
        <v>0.11</v>
      </c>
      <c r="E13" s="9"/>
      <c r="F13" s="9"/>
      <c r="G13" s="9"/>
      <c r="H13" s="9"/>
      <c r="I13" s="9"/>
      <c r="J13" s="9"/>
      <c r="K13" s="9"/>
      <c r="L13" s="9"/>
    </row>
    <row r="14" spans="1:12" x14ac:dyDescent="0.3">
      <c r="A14" s="9"/>
      <c r="B14" s="15">
        <v>2019</v>
      </c>
      <c r="C14" s="24">
        <v>4.4999999999999998E-2</v>
      </c>
      <c r="D14" s="24">
        <v>0.12</v>
      </c>
      <c r="E14" s="9"/>
      <c r="F14" s="9"/>
      <c r="G14" s="9"/>
      <c r="H14" s="9"/>
      <c r="I14" s="9"/>
      <c r="J14" s="9"/>
      <c r="K14" s="9"/>
      <c r="L14" s="9"/>
    </row>
    <row r="15" spans="1:12" x14ac:dyDescent="0.3">
      <c r="A15" s="9"/>
      <c r="B15" s="15">
        <v>2020</v>
      </c>
      <c r="C15" s="24">
        <v>6.5000000000000002E-2</v>
      </c>
      <c r="D15" s="24">
        <v>0.25</v>
      </c>
      <c r="E15" s="9"/>
      <c r="F15" s="9"/>
      <c r="G15" s="9"/>
      <c r="H15" s="9"/>
      <c r="I15" s="9"/>
      <c r="J15" s="9"/>
      <c r="K15" s="9"/>
      <c r="L15" s="9"/>
    </row>
    <row r="16" spans="1:12" x14ac:dyDescent="0.3">
      <c r="A16" s="9"/>
      <c r="B16" s="9"/>
      <c r="C16" s="9"/>
      <c r="D16" s="9"/>
      <c r="E16" s="9"/>
      <c r="F16" s="9"/>
      <c r="G16" s="9"/>
      <c r="H16" s="9"/>
      <c r="I16" s="9"/>
      <c r="J16" s="9"/>
      <c r="K16" s="9"/>
      <c r="L16" s="9"/>
    </row>
    <row r="17" spans="1:18" x14ac:dyDescent="0.3">
      <c r="A17" s="9" t="s">
        <v>58</v>
      </c>
      <c r="B17" s="9"/>
      <c r="C17" s="9"/>
      <c r="D17" s="9"/>
      <c r="E17" s="9"/>
      <c r="F17" s="9"/>
      <c r="G17" s="9"/>
      <c r="H17" s="9"/>
      <c r="I17" s="9"/>
      <c r="J17" s="9"/>
      <c r="K17" s="9"/>
      <c r="L17" s="9"/>
    </row>
    <row r="18" spans="1:18" x14ac:dyDescent="0.3">
      <c r="A18" s="9" t="s">
        <v>59</v>
      </c>
      <c r="B18" s="9"/>
      <c r="C18" s="9"/>
      <c r="D18" s="9"/>
      <c r="E18" s="9"/>
      <c r="F18" s="9"/>
      <c r="G18" s="9"/>
      <c r="H18" s="9"/>
      <c r="I18" s="9"/>
      <c r="J18" s="9"/>
      <c r="K18" s="9"/>
      <c r="L18" s="9"/>
    </row>
    <row r="19" spans="1:18" x14ac:dyDescent="0.3">
      <c r="A19" s="9" t="s">
        <v>146</v>
      </c>
      <c r="B19" s="9"/>
      <c r="C19" s="9"/>
      <c r="D19" s="9"/>
      <c r="E19" s="9"/>
      <c r="F19" s="9"/>
      <c r="G19" s="9"/>
      <c r="H19" s="9"/>
      <c r="I19" s="9"/>
      <c r="J19" s="9"/>
      <c r="K19" s="9"/>
      <c r="L19" s="9"/>
    </row>
    <row r="20" spans="1:18" x14ac:dyDescent="0.3">
      <c r="A20" s="9" t="s">
        <v>60</v>
      </c>
      <c r="B20" s="9"/>
      <c r="C20" s="9"/>
      <c r="D20" s="9"/>
      <c r="E20" s="9"/>
      <c r="F20" s="9"/>
      <c r="G20" s="9"/>
      <c r="H20" s="9"/>
      <c r="I20" s="9"/>
      <c r="J20" s="9"/>
      <c r="K20" s="9"/>
      <c r="L20" s="9"/>
    </row>
    <row r="21" spans="1:18" x14ac:dyDescent="0.3">
      <c r="A21" s="9"/>
      <c r="B21" s="9"/>
      <c r="C21" s="9"/>
      <c r="D21" s="9"/>
      <c r="E21" s="9"/>
      <c r="F21" s="9"/>
      <c r="G21" s="9"/>
      <c r="H21" s="9"/>
      <c r="I21" s="9"/>
      <c r="J21" s="9"/>
      <c r="K21" s="9"/>
      <c r="L21" s="9"/>
    </row>
    <row r="22" spans="1:18" x14ac:dyDescent="0.3">
      <c r="A22" s="7"/>
      <c r="B22" s="7"/>
      <c r="C22" s="7"/>
      <c r="D22" s="7"/>
      <c r="E22" s="7"/>
      <c r="F22" s="7"/>
      <c r="G22" s="7"/>
      <c r="H22" s="7"/>
      <c r="I22" s="7"/>
      <c r="J22" s="7"/>
      <c r="K22" s="7"/>
      <c r="L22" s="7"/>
    </row>
    <row r="23" spans="1:18" x14ac:dyDescent="0.3">
      <c r="A23" s="6" t="s">
        <v>5</v>
      </c>
      <c r="B23" s="4" t="s">
        <v>329</v>
      </c>
      <c r="C23" s="4"/>
      <c r="D23" s="4"/>
      <c r="E23" s="4"/>
      <c r="F23" s="4"/>
      <c r="G23" s="4"/>
      <c r="H23" s="4"/>
      <c r="I23" s="4"/>
      <c r="J23" s="4"/>
      <c r="K23" s="4"/>
      <c r="L23" s="4"/>
      <c r="M23" s="8"/>
      <c r="N23" s="8"/>
      <c r="O23" s="8"/>
      <c r="P23" s="8"/>
      <c r="Q23" s="8"/>
      <c r="R23" s="8"/>
    </row>
    <row r="24" spans="1:18" x14ac:dyDescent="0.3">
      <c r="A24" s="3"/>
      <c r="B24" s="3"/>
      <c r="C24" s="3"/>
      <c r="D24" s="3"/>
      <c r="E24" s="3"/>
      <c r="F24" s="3"/>
      <c r="G24" s="4"/>
      <c r="H24" s="4"/>
      <c r="I24" s="4"/>
      <c r="J24" s="4"/>
      <c r="K24" s="4"/>
      <c r="L24" s="4"/>
    </row>
    <row r="25" spans="1:18" x14ac:dyDescent="0.3">
      <c r="A25" s="7"/>
      <c r="B25" s="7"/>
      <c r="C25" s="7"/>
      <c r="D25" s="7"/>
      <c r="E25" s="7"/>
      <c r="F25" s="7"/>
      <c r="G25" s="7"/>
      <c r="H25" s="7"/>
      <c r="I25" s="7"/>
      <c r="J25" s="7"/>
      <c r="K25" s="7"/>
      <c r="L25" s="7"/>
      <c r="M25" s="7"/>
    </row>
    <row r="26" spans="1:18" x14ac:dyDescent="0.3">
      <c r="A26" s="7" t="s">
        <v>1</v>
      </c>
      <c r="B26" s="7"/>
      <c r="C26" s="7"/>
      <c r="D26" s="7"/>
      <c r="E26" s="7"/>
      <c r="F26" s="7"/>
      <c r="G26" s="7"/>
      <c r="H26" s="7"/>
      <c r="I26" s="7"/>
      <c r="J26" s="7"/>
      <c r="K26" s="7"/>
      <c r="L26" s="7"/>
      <c r="M26" s="7"/>
      <c r="N26" s="8"/>
    </row>
    <row r="27" spans="1:18" ht="31.2" x14ac:dyDescent="0.3">
      <c r="A27" s="7"/>
      <c r="B27" s="122" t="s">
        <v>54</v>
      </c>
      <c r="C27" s="122" t="s">
        <v>533</v>
      </c>
      <c r="D27" s="122" t="s">
        <v>534</v>
      </c>
      <c r="E27" s="122" t="s">
        <v>537</v>
      </c>
      <c r="F27" s="122" t="s">
        <v>538</v>
      </c>
      <c r="G27" s="7"/>
      <c r="H27" s="7"/>
      <c r="I27" s="7"/>
      <c r="J27" s="7"/>
      <c r="K27" s="7"/>
      <c r="L27" s="7"/>
      <c r="M27" s="7"/>
      <c r="N27" s="8"/>
    </row>
    <row r="28" spans="1:18" x14ac:dyDescent="0.3">
      <c r="A28" s="7"/>
      <c r="B28" s="116">
        <v>2016</v>
      </c>
      <c r="C28" s="230">
        <v>5.1999999999999998E-2</v>
      </c>
      <c r="D28" s="230">
        <v>9.2999999999999999E-2</v>
      </c>
      <c r="E28" s="231">
        <f>1-0.05*C28-0.1*D28</f>
        <v>0.98809999999999998</v>
      </c>
      <c r="F28" s="120"/>
      <c r="G28" s="7"/>
      <c r="H28" s="7"/>
      <c r="I28" s="7"/>
      <c r="J28" s="7"/>
      <c r="K28" s="7"/>
      <c r="L28" s="7"/>
      <c r="M28" s="7"/>
      <c r="N28" s="8"/>
    </row>
    <row r="29" spans="1:18" x14ac:dyDescent="0.3">
      <c r="A29" s="7"/>
      <c r="B29" s="116">
        <f>B28+1</f>
        <v>2017</v>
      </c>
      <c r="C29" s="156">
        <v>0.05</v>
      </c>
      <c r="D29" s="156">
        <v>0.1</v>
      </c>
      <c r="E29" s="231">
        <f>1-0.05*C29-0.1*D29</f>
        <v>0.98750000000000004</v>
      </c>
      <c r="F29" s="231">
        <f>+E29/E28-1</f>
        <v>-6.0722598927231974E-4</v>
      </c>
      <c r="G29" s="7"/>
      <c r="H29" s="7"/>
      <c r="I29" s="7"/>
      <c r="J29" s="7"/>
      <c r="K29" s="7"/>
      <c r="L29" s="7"/>
      <c r="M29" s="7"/>
      <c r="N29" s="8"/>
    </row>
    <row r="30" spans="1:18" x14ac:dyDescent="0.3">
      <c r="A30" s="7"/>
      <c r="B30" s="116">
        <f t="shared" ref="B30:B32" si="0">B29+1</f>
        <v>2018</v>
      </c>
      <c r="C30" s="156">
        <v>4.4999999999999998E-2</v>
      </c>
      <c r="D30" s="156">
        <v>0.11</v>
      </c>
      <c r="E30" s="231">
        <f t="shared" ref="E30:E32" si="1">1-0.05*C30-0.1*D30</f>
        <v>0.98675000000000002</v>
      </c>
      <c r="F30" s="231">
        <f>+E30/E29-1</f>
        <v>-7.5949367088612441E-4</v>
      </c>
      <c r="G30" s="7"/>
      <c r="H30" s="7"/>
      <c r="I30" s="7"/>
      <c r="J30" s="7"/>
      <c r="K30" s="7"/>
      <c r="L30" s="7"/>
      <c r="M30" s="7"/>
      <c r="N30" s="8"/>
    </row>
    <row r="31" spans="1:18" x14ac:dyDescent="0.3">
      <c r="A31" s="7"/>
      <c r="B31" s="116">
        <f t="shared" si="0"/>
        <v>2019</v>
      </c>
      <c r="C31" s="156">
        <v>4.4999999999999998E-2</v>
      </c>
      <c r="D31" s="156">
        <v>0.12</v>
      </c>
      <c r="E31" s="231">
        <f t="shared" si="1"/>
        <v>0.98575000000000002</v>
      </c>
      <c r="F31" s="231">
        <f t="shared" ref="F31:F32" si="2">+E31/E30-1</f>
        <v>-1.0134279199391916E-3</v>
      </c>
      <c r="G31" s="7"/>
      <c r="H31" s="7"/>
      <c r="I31" s="7"/>
      <c r="J31" s="7"/>
      <c r="K31" s="7"/>
      <c r="L31" s="7"/>
      <c r="M31" s="7"/>
      <c r="N31" s="8"/>
    </row>
    <row r="32" spans="1:18" x14ac:dyDescent="0.3">
      <c r="A32" s="7"/>
      <c r="B32" s="113">
        <f t="shared" si="0"/>
        <v>2020</v>
      </c>
      <c r="C32" s="157">
        <v>6.5000000000000002E-2</v>
      </c>
      <c r="D32" s="157">
        <v>0.25</v>
      </c>
      <c r="E32" s="232">
        <f t="shared" si="1"/>
        <v>0.97175</v>
      </c>
      <c r="F32" s="232">
        <f t="shared" si="2"/>
        <v>-1.4202383971595234E-2</v>
      </c>
      <c r="G32" s="7"/>
      <c r="H32" s="7"/>
      <c r="I32" s="7"/>
      <c r="J32" s="7"/>
      <c r="K32" s="7"/>
      <c r="L32" s="7"/>
      <c r="M32" s="7"/>
      <c r="N32" s="8"/>
    </row>
    <row r="33" spans="1:14" x14ac:dyDescent="0.3">
      <c r="B33" s="116"/>
      <c r="C33" s="233" t="s">
        <v>535</v>
      </c>
      <c r="D33" s="120"/>
      <c r="E33" s="120"/>
      <c r="F33" s="234">
        <f>AVERAGE(F29:F31)</f>
        <v>-7.9338252669921194E-4</v>
      </c>
      <c r="M33" s="8"/>
      <c r="N33" s="8"/>
    </row>
    <row r="34" spans="1:14" x14ac:dyDescent="0.3">
      <c r="B34" s="115"/>
      <c r="C34" s="117"/>
      <c r="D34" s="117"/>
      <c r="E34" s="117"/>
      <c r="F34" s="117"/>
      <c r="M34" s="8"/>
      <c r="N34" s="8"/>
    </row>
    <row r="35" spans="1:14" x14ac:dyDescent="0.3">
      <c r="B35" s="115" t="s">
        <v>536</v>
      </c>
      <c r="C35" s="117"/>
      <c r="D35" s="117"/>
      <c r="E35" s="117"/>
      <c r="F35" s="229">
        <v>-7.9338252669924891E-4</v>
      </c>
      <c r="M35" s="8"/>
      <c r="N35" s="8"/>
    </row>
    <row r="36" spans="1:14" x14ac:dyDescent="0.3">
      <c r="M36" s="8"/>
      <c r="N36" s="8"/>
    </row>
    <row r="37" spans="1:14" x14ac:dyDescent="0.3">
      <c r="B37" s="1" t="s">
        <v>539</v>
      </c>
      <c r="M37" s="8"/>
      <c r="N37" s="8"/>
    </row>
    <row r="38" spans="1:14" x14ac:dyDescent="0.3">
      <c r="M38" s="8"/>
      <c r="N38" s="8"/>
    </row>
    <row r="39" spans="1:14" x14ac:dyDescent="0.3">
      <c r="M39" s="8"/>
      <c r="N39" s="8"/>
    </row>
    <row r="40" spans="1:14" x14ac:dyDescent="0.3">
      <c r="A40" s="331" t="s">
        <v>61</v>
      </c>
      <c r="B40" s="331"/>
      <c r="C40" s="331"/>
      <c r="D40" s="331"/>
      <c r="E40" s="331"/>
      <c r="F40" s="331"/>
      <c r="G40" s="331"/>
      <c r="H40" s="331"/>
      <c r="I40" s="331"/>
      <c r="J40" s="331"/>
      <c r="K40" s="331"/>
      <c r="L40" s="9"/>
      <c r="M40" s="8"/>
      <c r="N40" s="8"/>
    </row>
    <row r="41" spans="1:14" x14ac:dyDescent="0.3">
      <c r="A41" s="331"/>
      <c r="B41" s="331"/>
      <c r="C41" s="331"/>
      <c r="D41" s="331"/>
      <c r="E41" s="331"/>
      <c r="F41" s="331"/>
      <c r="G41" s="331"/>
      <c r="H41" s="331"/>
      <c r="I41" s="331"/>
      <c r="J41" s="331"/>
      <c r="K41" s="331"/>
      <c r="L41" s="9"/>
      <c r="M41" s="8"/>
      <c r="N41" s="8"/>
    </row>
    <row r="42" spans="1:14" x14ac:dyDescent="0.3">
      <c r="A42" s="9" t="s">
        <v>373</v>
      </c>
      <c r="B42" s="9"/>
      <c r="C42" s="9"/>
      <c r="D42" s="9"/>
      <c r="E42" s="9"/>
      <c r="F42" s="9"/>
      <c r="G42" s="99">
        <v>-2E-3</v>
      </c>
      <c r="H42" s="9" t="s">
        <v>372</v>
      </c>
      <c r="I42" s="9"/>
      <c r="J42" s="9"/>
      <c r="K42" s="9"/>
      <c r="L42" s="9"/>
      <c r="M42" s="8"/>
      <c r="N42" s="8"/>
    </row>
    <row r="43" spans="1:14" x14ac:dyDescent="0.3">
      <c r="A43" s="9" t="s">
        <v>339</v>
      </c>
      <c r="B43" s="9"/>
      <c r="C43" s="9"/>
      <c r="D43" s="9"/>
      <c r="E43" s="99">
        <v>7.4999999999999997E-3</v>
      </c>
      <c r="F43" s="9"/>
      <c r="G43" s="9"/>
      <c r="H43" s="82"/>
      <c r="I43" s="9"/>
      <c r="J43" s="9"/>
      <c r="K43" s="9"/>
      <c r="L43" s="9"/>
      <c r="M43" s="8"/>
      <c r="N43" s="8"/>
    </row>
    <row r="44" spans="1:14" x14ac:dyDescent="0.3">
      <c r="A44" s="9"/>
      <c r="B44" s="9"/>
      <c r="C44" s="9"/>
      <c r="D44" s="9"/>
      <c r="E44" s="9"/>
      <c r="F44" s="9"/>
      <c r="G44" s="9"/>
      <c r="H44" s="9"/>
      <c r="I44" s="9"/>
      <c r="J44" s="9"/>
      <c r="K44" s="9"/>
      <c r="L44" s="9"/>
      <c r="M44" s="8"/>
      <c r="N44" s="8"/>
    </row>
    <row r="46" spans="1:14" x14ac:dyDescent="0.3">
      <c r="A46" s="6" t="s">
        <v>0</v>
      </c>
      <c r="B46" s="323" t="s">
        <v>147</v>
      </c>
      <c r="C46" s="323"/>
      <c r="D46" s="323"/>
      <c r="E46" s="323"/>
      <c r="F46" s="323"/>
      <c r="G46" s="323"/>
      <c r="H46" s="323"/>
      <c r="I46" s="323"/>
      <c r="J46" s="323"/>
      <c r="K46" s="323"/>
      <c r="L46" s="4"/>
    </row>
    <row r="47" spans="1:14" x14ac:dyDescent="0.3">
      <c r="A47" s="6"/>
      <c r="B47" s="323"/>
      <c r="C47" s="323"/>
      <c r="D47" s="323"/>
      <c r="E47" s="323"/>
      <c r="F47" s="323"/>
      <c r="G47" s="323"/>
      <c r="H47" s="323"/>
      <c r="I47" s="323"/>
      <c r="J47" s="323"/>
      <c r="K47" s="323"/>
      <c r="L47" s="4"/>
    </row>
    <row r="48" spans="1:14" x14ac:dyDescent="0.3">
      <c r="A48" s="3"/>
      <c r="B48" s="3"/>
      <c r="C48" s="3"/>
      <c r="D48" s="3"/>
      <c r="E48" s="3"/>
      <c r="F48" s="3"/>
      <c r="G48" s="4"/>
      <c r="H48" s="4"/>
      <c r="I48" s="4"/>
      <c r="J48" s="4"/>
      <c r="K48" s="4"/>
      <c r="L48" s="4"/>
    </row>
    <row r="49" spans="1:13" x14ac:dyDescent="0.3">
      <c r="A49" s="7"/>
      <c r="B49" s="7"/>
      <c r="C49" s="7"/>
      <c r="D49" s="7"/>
      <c r="E49" s="7"/>
      <c r="F49" s="7"/>
      <c r="G49" s="7"/>
      <c r="H49" s="7"/>
      <c r="I49" s="7"/>
      <c r="J49" s="7"/>
      <c r="K49" s="7"/>
      <c r="L49" s="7"/>
    </row>
    <row r="50" spans="1:13" x14ac:dyDescent="0.3">
      <c r="A50" s="7" t="s">
        <v>1</v>
      </c>
      <c r="B50" s="7"/>
      <c r="C50" s="7"/>
      <c r="D50" s="7"/>
      <c r="E50" s="7"/>
      <c r="F50" s="7"/>
      <c r="G50" s="7"/>
      <c r="H50" s="7"/>
      <c r="I50" s="7"/>
      <c r="J50" s="7"/>
      <c r="K50" s="7"/>
      <c r="L50" s="7"/>
    </row>
    <row r="51" spans="1:13" x14ac:dyDescent="0.3">
      <c r="A51" s="7"/>
      <c r="B51" s="228" t="s">
        <v>540</v>
      </c>
      <c r="C51" s="187"/>
      <c r="D51" s="187"/>
      <c r="E51" s="187"/>
      <c r="F51" s="187"/>
      <c r="G51" s="235">
        <v>43282</v>
      </c>
      <c r="H51" s="236"/>
      <c r="I51" s="7"/>
      <c r="J51" s="7"/>
      <c r="K51" s="7"/>
      <c r="L51" s="7"/>
    </row>
    <row r="52" spans="1:13" x14ac:dyDescent="0.3">
      <c r="A52" s="7"/>
      <c r="B52" s="228" t="s">
        <v>541</v>
      </c>
      <c r="C52" s="187"/>
      <c r="D52" s="187"/>
      <c r="E52" s="187"/>
      <c r="F52" s="187"/>
      <c r="G52" s="235">
        <v>44013</v>
      </c>
      <c r="H52" s="187"/>
      <c r="I52" s="7"/>
      <c r="J52" s="7"/>
      <c r="K52" s="7"/>
      <c r="L52" s="7"/>
    </row>
    <row r="53" spans="1:13" x14ac:dyDescent="0.3">
      <c r="B53" s="228" t="s">
        <v>542</v>
      </c>
      <c r="C53" s="187"/>
      <c r="D53" s="187"/>
      <c r="E53" s="187"/>
      <c r="F53" s="187"/>
      <c r="G53" s="187">
        <f>(12*YEAR(G52)+MONTH(G52))-(12*YEAR(G51)+MONTH(G51))</f>
        <v>24</v>
      </c>
      <c r="H53" s="187" t="s">
        <v>543</v>
      </c>
      <c r="M53" s="7"/>
    </row>
    <row r="54" spans="1:13" x14ac:dyDescent="0.3">
      <c r="B54" s="228" t="s">
        <v>544</v>
      </c>
      <c r="C54" s="187"/>
      <c r="D54" s="187"/>
      <c r="E54" s="187"/>
      <c r="F54" s="187"/>
      <c r="G54" s="235">
        <v>44593</v>
      </c>
      <c r="H54" s="187"/>
      <c r="M54" s="7"/>
    </row>
    <row r="55" spans="1:13" x14ac:dyDescent="0.3">
      <c r="B55" s="228" t="s">
        <v>545</v>
      </c>
      <c r="C55" s="187"/>
      <c r="D55" s="187"/>
      <c r="E55" s="187"/>
      <c r="F55" s="187"/>
      <c r="G55" s="235">
        <f>DATE(YEAR(G54)+1,MONTH(G54),1)</f>
        <v>44958</v>
      </c>
      <c r="H55" s="236"/>
      <c r="M55" s="7"/>
    </row>
    <row r="56" spans="1:13" x14ac:dyDescent="0.3">
      <c r="B56" s="228" t="s">
        <v>546</v>
      </c>
      <c r="C56" s="187"/>
      <c r="D56" s="187"/>
      <c r="E56" s="187"/>
      <c r="F56" s="187"/>
      <c r="G56" s="187">
        <f>(12*YEAR(G55)+MONTH(G55))-(12*YEAR(G52)+MONTH(G52))</f>
        <v>31</v>
      </c>
      <c r="H56" s="187" t="s">
        <v>543</v>
      </c>
    </row>
    <row r="57" spans="1:13" x14ac:dyDescent="0.3">
      <c r="B57" s="228"/>
      <c r="C57" s="187"/>
      <c r="D57" s="187"/>
      <c r="E57" s="187"/>
      <c r="F57" s="187"/>
      <c r="G57" s="187"/>
      <c r="H57" s="187"/>
    </row>
    <row r="58" spans="1:13" x14ac:dyDescent="0.3">
      <c r="B58" s="228" t="s">
        <v>547</v>
      </c>
      <c r="C58" s="187"/>
      <c r="D58" s="187"/>
      <c r="E58" s="187"/>
      <c r="F58" s="187"/>
      <c r="G58" s="187"/>
      <c r="H58" s="187"/>
    </row>
    <row r="59" spans="1:13" x14ac:dyDescent="0.3">
      <c r="B59" s="228" t="s">
        <v>548</v>
      </c>
      <c r="C59" s="237"/>
      <c r="D59" s="187"/>
      <c r="E59" s="187"/>
      <c r="F59" s="187"/>
      <c r="G59" s="238">
        <f>((1+F35)*(1+E43))^(G53/12)</f>
        <v>1.0134462331483445</v>
      </c>
    </row>
    <row r="60" spans="1:13" x14ac:dyDescent="0.3">
      <c r="B60" s="228" t="s">
        <v>549</v>
      </c>
      <c r="C60" s="237"/>
      <c r="D60" s="187"/>
      <c r="E60" s="187"/>
      <c r="F60" s="187"/>
      <c r="G60" s="238">
        <f>((1+G42)*(1+E43))^(G56/12)</f>
        <v>1.0142311773813422</v>
      </c>
    </row>
    <row r="61" spans="1:13" x14ac:dyDescent="0.3">
      <c r="B61" s="228" t="s">
        <v>550</v>
      </c>
      <c r="C61" s="239"/>
      <c r="D61" s="187"/>
      <c r="E61" s="187"/>
      <c r="F61" s="187"/>
      <c r="G61" s="238">
        <f>G59*G60</f>
        <v>1.0278687662587316</v>
      </c>
    </row>
  </sheetData>
  <mergeCells count="5">
    <mergeCell ref="B9:B10"/>
    <mergeCell ref="C9:D9"/>
    <mergeCell ref="A6:K7"/>
    <mergeCell ref="A40:K41"/>
    <mergeCell ref="B46:K47"/>
  </mergeCells>
  <pageMargins left="0.7" right="0.7" top="0.75" bottom="0.75" header="0.3" footer="0.3"/>
  <pageSetup scale="7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F58AC-5300-4AD6-BA0E-7E91D5F5EBD0}">
  <dimension ref="A1:R83"/>
  <sheetViews>
    <sheetView zoomScaleNormal="100" workbookViewId="0"/>
  </sheetViews>
  <sheetFormatPr defaultColWidth="8.88671875" defaultRowHeight="15.6" x14ac:dyDescent="0.3"/>
  <cols>
    <col min="1" max="1" width="8.88671875" style="1" customWidth="1"/>
    <col min="2" max="3" width="12.6640625" style="1" customWidth="1"/>
    <col min="4" max="5" width="16.6640625" style="1" customWidth="1"/>
    <col min="6" max="8" width="10.6640625" style="1" customWidth="1"/>
    <col min="9" max="16384" width="8.88671875" style="1"/>
  </cols>
  <sheetData>
    <row r="1" spans="1:12" ht="17.399999999999999" x14ac:dyDescent="0.3">
      <c r="A1" s="2" t="s">
        <v>62</v>
      </c>
      <c r="B1" s="4"/>
      <c r="C1" s="9" t="s">
        <v>10</v>
      </c>
      <c r="D1" s="4"/>
      <c r="E1" s="4"/>
      <c r="F1" s="4"/>
      <c r="G1" s="4"/>
      <c r="H1" s="4"/>
      <c r="I1" s="4"/>
      <c r="J1" s="4"/>
      <c r="K1" s="4"/>
      <c r="L1" s="3"/>
    </row>
    <row r="2" spans="1:12" x14ac:dyDescent="0.3">
      <c r="A2" s="4"/>
      <c r="B2" s="4"/>
      <c r="C2" s="4"/>
      <c r="D2" s="4"/>
      <c r="E2" s="4"/>
      <c r="F2" s="4"/>
      <c r="G2" s="4"/>
      <c r="H2" s="4"/>
      <c r="I2" s="4"/>
      <c r="J2" s="4"/>
      <c r="K2" s="4"/>
      <c r="L2" s="3"/>
    </row>
    <row r="4" spans="1:12" x14ac:dyDescent="0.3">
      <c r="A4" s="5" t="s">
        <v>9</v>
      </c>
      <c r="B4" s="3"/>
      <c r="C4" s="3"/>
      <c r="D4" s="3"/>
      <c r="E4" s="3"/>
      <c r="F4" s="3"/>
      <c r="G4" s="3"/>
      <c r="H4" s="3"/>
      <c r="I4" s="3"/>
      <c r="J4" s="3"/>
      <c r="K4" s="3"/>
      <c r="L4" s="3"/>
    </row>
    <row r="5" spans="1:12" x14ac:dyDescent="0.3">
      <c r="A5" s="7"/>
      <c r="B5" s="7"/>
      <c r="C5" s="7"/>
      <c r="D5" s="7"/>
      <c r="E5" s="7"/>
      <c r="F5" s="7"/>
      <c r="G5" s="7"/>
      <c r="H5" s="7"/>
      <c r="I5" s="7"/>
      <c r="J5" s="7"/>
      <c r="K5" s="7"/>
      <c r="L5" s="7"/>
    </row>
    <row r="6" spans="1:12" x14ac:dyDescent="0.3">
      <c r="A6" s="5" t="s">
        <v>22</v>
      </c>
      <c r="B6" s="3"/>
      <c r="C6" s="3"/>
      <c r="D6" s="3"/>
      <c r="E6" s="3"/>
      <c r="F6" s="3"/>
      <c r="G6" s="3"/>
      <c r="H6" s="3"/>
      <c r="I6" s="3"/>
      <c r="J6" s="3"/>
      <c r="K6" s="3"/>
      <c r="L6" s="3"/>
    </row>
    <row r="7" spans="1:12" x14ac:dyDescent="0.3">
      <c r="A7" s="7"/>
      <c r="B7" s="7"/>
      <c r="C7" s="7"/>
      <c r="D7" s="7"/>
      <c r="E7" s="7"/>
      <c r="F7" s="7"/>
      <c r="G7" s="7"/>
      <c r="H7" s="7"/>
      <c r="I7" s="7"/>
      <c r="J7" s="7"/>
      <c r="K7" s="7"/>
      <c r="L7" s="7"/>
    </row>
    <row r="8" spans="1:12" x14ac:dyDescent="0.3">
      <c r="A8" s="12" t="s">
        <v>63</v>
      </c>
      <c r="B8" s="12"/>
      <c r="C8" s="12"/>
      <c r="D8" s="12"/>
      <c r="E8" s="12"/>
      <c r="F8" s="12"/>
      <c r="G8" s="12"/>
      <c r="H8" s="12"/>
      <c r="I8" s="12"/>
      <c r="J8" s="12"/>
      <c r="K8" s="4"/>
      <c r="L8" s="3"/>
    </row>
    <row r="9" spans="1:12" x14ac:dyDescent="0.3">
      <c r="A9" s="12"/>
      <c r="B9" s="12"/>
      <c r="C9" s="12"/>
      <c r="D9" s="12"/>
      <c r="E9" s="12"/>
      <c r="F9" s="12"/>
      <c r="G9" s="12"/>
      <c r="H9" s="12"/>
      <c r="I9" s="12"/>
      <c r="J9" s="12"/>
      <c r="K9" s="4"/>
      <c r="L9" s="3"/>
    </row>
    <row r="10" spans="1:12" ht="33.6" customHeight="1" x14ac:dyDescent="0.3">
      <c r="A10" s="12"/>
      <c r="B10" s="25"/>
      <c r="C10" s="333" t="s">
        <v>66</v>
      </c>
      <c r="D10" s="324" t="s">
        <v>67</v>
      </c>
      <c r="E10" s="324"/>
      <c r="F10" s="12"/>
      <c r="G10" s="12"/>
      <c r="H10" s="12"/>
      <c r="I10" s="12"/>
      <c r="J10" s="12"/>
      <c r="K10" s="4"/>
      <c r="L10" s="3"/>
    </row>
    <row r="11" spans="1:12" ht="31.2" x14ac:dyDescent="0.3">
      <c r="A11" s="12"/>
      <c r="B11" s="26" t="s">
        <v>37</v>
      </c>
      <c r="C11" s="333"/>
      <c r="D11" s="16" t="s">
        <v>68</v>
      </c>
      <c r="E11" s="16" t="s">
        <v>69</v>
      </c>
      <c r="F11" s="12"/>
      <c r="G11" s="12"/>
      <c r="H11" s="12"/>
      <c r="I11" s="12"/>
      <c r="J11" s="12"/>
      <c r="K11" s="4"/>
      <c r="L11" s="3"/>
    </row>
    <row r="12" spans="1:12" x14ac:dyDescent="0.3">
      <c r="A12" s="12"/>
      <c r="B12" s="17">
        <v>2015</v>
      </c>
      <c r="C12" s="20">
        <v>7770781</v>
      </c>
      <c r="D12" s="20">
        <v>5053162</v>
      </c>
      <c r="E12" s="20">
        <v>5053487</v>
      </c>
      <c r="F12" s="12"/>
      <c r="G12" s="12"/>
      <c r="H12" s="12"/>
      <c r="I12" s="12"/>
      <c r="J12" s="12"/>
      <c r="K12" s="4"/>
      <c r="L12" s="3"/>
    </row>
    <row r="13" spans="1:12" x14ac:dyDescent="0.3">
      <c r="A13" s="12"/>
      <c r="B13" s="15">
        <v>2016</v>
      </c>
      <c r="C13" s="20">
        <v>8054874</v>
      </c>
      <c r="D13" s="20">
        <v>5508456</v>
      </c>
      <c r="E13" s="20">
        <v>5506686</v>
      </c>
      <c r="F13" s="12"/>
      <c r="G13" s="12"/>
      <c r="H13" s="12"/>
      <c r="I13" s="12"/>
      <c r="J13" s="12"/>
      <c r="K13" s="4"/>
      <c r="L13" s="3"/>
    </row>
    <row r="14" spans="1:12" x14ac:dyDescent="0.3">
      <c r="A14" s="12"/>
      <c r="B14" s="15">
        <v>2017</v>
      </c>
      <c r="C14" s="20">
        <v>8669122</v>
      </c>
      <c r="D14" s="20">
        <v>5901592</v>
      </c>
      <c r="E14" s="20">
        <v>5867259</v>
      </c>
      <c r="F14" s="12"/>
      <c r="G14" s="12"/>
      <c r="H14" s="12"/>
      <c r="I14" s="12"/>
      <c r="J14" s="12"/>
      <c r="K14" s="4"/>
      <c r="L14" s="3"/>
    </row>
    <row r="15" spans="1:12" x14ac:dyDescent="0.3">
      <c r="A15" s="12"/>
      <c r="B15" s="15">
        <v>2018</v>
      </c>
      <c r="C15" s="20">
        <v>9068601</v>
      </c>
      <c r="D15" s="20">
        <v>6242941</v>
      </c>
      <c r="E15" s="20">
        <v>6305001</v>
      </c>
      <c r="F15" s="12"/>
      <c r="G15" s="12"/>
      <c r="H15" s="12"/>
      <c r="I15" s="12"/>
      <c r="J15" s="12"/>
      <c r="K15" s="4"/>
      <c r="L15" s="3"/>
    </row>
    <row r="16" spans="1:12" x14ac:dyDescent="0.3">
      <c r="A16" s="12"/>
      <c r="B16" s="15">
        <v>2019</v>
      </c>
      <c r="C16" s="20">
        <v>9896451</v>
      </c>
      <c r="D16" s="20">
        <v>6826075</v>
      </c>
      <c r="E16" s="20">
        <v>7055995</v>
      </c>
      <c r="F16" s="12"/>
      <c r="G16" s="12"/>
      <c r="H16" s="12"/>
      <c r="I16" s="12"/>
      <c r="J16" s="12"/>
      <c r="K16" s="4"/>
      <c r="L16" s="3"/>
    </row>
    <row r="17" spans="1:18" x14ac:dyDescent="0.3">
      <c r="A17" s="12"/>
      <c r="B17" s="15">
        <v>2020</v>
      </c>
      <c r="C17" s="20">
        <v>10833340</v>
      </c>
      <c r="D17" s="20">
        <v>7153796</v>
      </c>
      <c r="E17" s="20">
        <v>7378065</v>
      </c>
      <c r="F17" s="12"/>
      <c r="G17" s="12"/>
      <c r="H17" s="12"/>
      <c r="I17" s="12"/>
      <c r="J17" s="12"/>
      <c r="K17" s="4"/>
      <c r="L17" s="3"/>
    </row>
    <row r="18" spans="1:18" x14ac:dyDescent="0.3">
      <c r="A18" s="12"/>
      <c r="B18" s="12"/>
      <c r="C18" s="12"/>
      <c r="D18" s="12"/>
      <c r="E18" s="12"/>
      <c r="F18" s="12"/>
      <c r="G18" s="12"/>
      <c r="H18" s="12"/>
      <c r="I18" s="12"/>
      <c r="J18" s="12"/>
      <c r="K18" s="4"/>
      <c r="L18" s="3"/>
    </row>
    <row r="19" spans="1:18" x14ac:dyDescent="0.3">
      <c r="A19" s="12" t="s">
        <v>70</v>
      </c>
      <c r="B19" s="12"/>
      <c r="C19" s="12"/>
      <c r="D19" s="12"/>
      <c r="E19" s="12"/>
      <c r="F19" s="12"/>
      <c r="G19" s="12"/>
      <c r="H19" s="12"/>
      <c r="I19" s="12"/>
      <c r="J19" s="12"/>
      <c r="K19" s="4"/>
      <c r="L19" s="3"/>
    </row>
    <row r="20" spans="1:18" x14ac:dyDescent="0.3">
      <c r="A20" s="12"/>
      <c r="B20" s="12"/>
      <c r="C20" s="12"/>
      <c r="D20" s="12"/>
      <c r="E20" s="12"/>
      <c r="F20" s="12"/>
      <c r="G20" s="12"/>
      <c r="H20" s="12"/>
      <c r="I20" s="12"/>
      <c r="J20" s="12"/>
      <c r="K20" s="4"/>
      <c r="L20" s="3"/>
    </row>
    <row r="21" spans="1:18" x14ac:dyDescent="0.3">
      <c r="A21" s="12"/>
      <c r="B21" s="14" t="s">
        <v>64</v>
      </c>
      <c r="C21" s="324" t="s">
        <v>71</v>
      </c>
      <c r="D21" s="324"/>
      <c r="E21" s="324"/>
      <c r="F21" s="324"/>
      <c r="G21" s="324"/>
      <c r="H21" s="324"/>
      <c r="I21" s="31"/>
      <c r="J21" s="12"/>
      <c r="K21" s="4"/>
      <c r="L21" s="3"/>
    </row>
    <row r="22" spans="1:18" x14ac:dyDescent="0.3">
      <c r="A22" s="12"/>
      <c r="B22" s="14" t="s">
        <v>65</v>
      </c>
      <c r="C22" s="14">
        <v>12</v>
      </c>
      <c r="D22" s="14">
        <v>24</v>
      </c>
      <c r="E22" s="14">
        <v>36</v>
      </c>
      <c r="F22" s="14">
        <v>48</v>
      </c>
      <c r="G22" s="14">
        <v>60</v>
      </c>
      <c r="H22" s="27">
        <v>72</v>
      </c>
      <c r="I22" s="32"/>
      <c r="J22" s="12"/>
      <c r="K22" s="4"/>
      <c r="L22" s="3"/>
    </row>
    <row r="23" spans="1:18" x14ac:dyDescent="0.3">
      <c r="A23" s="12"/>
      <c r="B23" s="15">
        <v>2015</v>
      </c>
      <c r="C23" s="24">
        <v>0.52700000000000002</v>
      </c>
      <c r="D23" s="24">
        <v>0.58099999999999996</v>
      </c>
      <c r="E23" s="24">
        <v>0.61299999999999999</v>
      </c>
      <c r="F23" s="24">
        <v>0.63300000000000001</v>
      </c>
      <c r="G23" s="24">
        <v>0.64400000000000002</v>
      </c>
      <c r="H23" s="28">
        <v>0.65</v>
      </c>
      <c r="I23" s="33"/>
      <c r="J23" s="12"/>
      <c r="K23" s="4"/>
      <c r="L23" s="3"/>
    </row>
    <row r="24" spans="1:18" x14ac:dyDescent="0.3">
      <c r="A24" s="12"/>
      <c r="B24" s="15">
        <v>2016</v>
      </c>
      <c r="C24" s="24">
        <v>0.54700000000000004</v>
      </c>
      <c r="D24" s="24">
        <v>0.60899999999999999</v>
      </c>
      <c r="E24" s="24">
        <v>0.65300000000000002</v>
      </c>
      <c r="F24" s="24">
        <v>0.66400000000000003</v>
      </c>
      <c r="G24" s="24">
        <v>0.67700000000000005</v>
      </c>
      <c r="H24" s="29"/>
      <c r="I24" s="34"/>
      <c r="J24" s="12"/>
      <c r="K24" s="4"/>
      <c r="L24" s="3"/>
    </row>
    <row r="25" spans="1:18" x14ac:dyDescent="0.3">
      <c r="A25" s="12"/>
      <c r="B25" s="15">
        <v>2017</v>
      </c>
      <c r="C25" s="24">
        <v>0.54900000000000004</v>
      </c>
      <c r="D25" s="24">
        <v>0.61299999999999999</v>
      </c>
      <c r="E25" s="24">
        <v>0.65700000000000003</v>
      </c>
      <c r="F25" s="24">
        <v>0.66500000000000004</v>
      </c>
      <c r="G25" s="15"/>
      <c r="H25" s="29"/>
      <c r="I25" s="34"/>
      <c r="J25" s="12"/>
      <c r="K25" s="4"/>
      <c r="L25" s="3"/>
    </row>
    <row r="26" spans="1:18" x14ac:dyDescent="0.3">
      <c r="A26" s="12"/>
      <c r="B26" s="15">
        <v>2018</v>
      </c>
      <c r="C26" s="24">
        <v>0.56799999999999995</v>
      </c>
      <c r="D26" s="24">
        <v>0.63900000000000001</v>
      </c>
      <c r="E26" s="24">
        <v>0.65800000000000003</v>
      </c>
      <c r="F26" s="15"/>
      <c r="G26" s="15"/>
      <c r="H26" s="29"/>
      <c r="I26" s="34"/>
      <c r="J26" s="12"/>
      <c r="K26" s="4"/>
      <c r="L26" s="3"/>
    </row>
    <row r="27" spans="1:18" x14ac:dyDescent="0.3">
      <c r="A27" s="12"/>
      <c r="B27" s="15">
        <v>2019</v>
      </c>
      <c r="C27" s="24">
        <v>0.56100000000000005</v>
      </c>
      <c r="D27" s="24">
        <v>0.63600000000000001</v>
      </c>
      <c r="E27" s="15"/>
      <c r="F27" s="15"/>
      <c r="G27" s="15"/>
      <c r="H27" s="29"/>
      <c r="I27" s="34"/>
      <c r="J27" s="12"/>
      <c r="K27" s="4"/>
      <c r="L27" s="3"/>
    </row>
    <row r="28" spans="1:18" x14ac:dyDescent="0.3">
      <c r="A28" s="12"/>
      <c r="B28" s="15">
        <v>2020</v>
      </c>
      <c r="C28" s="24">
        <v>0.55200000000000005</v>
      </c>
      <c r="D28" s="15"/>
      <c r="E28" s="15"/>
      <c r="F28" s="15"/>
      <c r="G28" s="15"/>
      <c r="H28" s="29"/>
      <c r="I28" s="34"/>
      <c r="J28" s="12"/>
      <c r="K28" s="4"/>
      <c r="L28" s="3"/>
    </row>
    <row r="29" spans="1:18" x14ac:dyDescent="0.3">
      <c r="A29" s="12"/>
      <c r="B29" s="12"/>
      <c r="C29" s="12"/>
      <c r="D29" s="12"/>
      <c r="E29" s="12"/>
      <c r="F29" s="12"/>
      <c r="G29" s="12"/>
      <c r="H29" s="12"/>
      <c r="I29" s="12"/>
      <c r="J29" s="12"/>
      <c r="K29" s="4"/>
      <c r="L29" s="3"/>
    </row>
    <row r="30" spans="1:18" x14ac:dyDescent="0.3">
      <c r="A30" s="7"/>
      <c r="B30" s="7"/>
      <c r="C30" s="7"/>
      <c r="D30" s="7"/>
      <c r="E30" s="7"/>
      <c r="F30" s="7"/>
      <c r="G30" s="7"/>
      <c r="H30" s="7"/>
      <c r="I30" s="7"/>
      <c r="J30" s="7"/>
      <c r="K30" s="7"/>
      <c r="L30" s="7"/>
    </row>
    <row r="31" spans="1:18" x14ac:dyDescent="0.3">
      <c r="A31" s="6" t="s">
        <v>0</v>
      </c>
      <c r="B31" s="4" t="s">
        <v>72</v>
      </c>
      <c r="C31" s="4"/>
      <c r="D31" s="4"/>
      <c r="E31" s="4"/>
      <c r="F31" s="4"/>
      <c r="G31" s="4"/>
      <c r="H31" s="4"/>
      <c r="I31" s="4"/>
      <c r="J31" s="4"/>
      <c r="K31" s="4"/>
      <c r="L31" s="4"/>
      <c r="M31" s="8"/>
      <c r="N31" s="8"/>
      <c r="O31" s="8"/>
      <c r="P31" s="8"/>
      <c r="Q31" s="8"/>
      <c r="R31" s="8"/>
    </row>
    <row r="32" spans="1:18" x14ac:dyDescent="0.3">
      <c r="A32" s="3"/>
      <c r="B32" s="3"/>
      <c r="C32" s="3"/>
      <c r="D32" s="3"/>
      <c r="E32" s="3"/>
      <c r="F32" s="3"/>
      <c r="G32" s="4"/>
      <c r="H32" s="4"/>
      <c r="I32" s="4"/>
      <c r="J32" s="4"/>
      <c r="K32" s="4"/>
      <c r="L32" s="4"/>
    </row>
    <row r="33" spans="1:14" x14ac:dyDescent="0.3">
      <c r="A33" s="7"/>
      <c r="B33" s="7"/>
      <c r="C33" s="7"/>
      <c r="D33" s="7"/>
      <c r="E33" s="7"/>
      <c r="F33" s="7"/>
      <c r="G33" s="7"/>
      <c r="H33" s="7"/>
      <c r="I33" s="7"/>
      <c r="J33" s="7"/>
      <c r="K33" s="7"/>
      <c r="L33" s="7"/>
      <c r="M33" s="7"/>
    </row>
    <row r="34" spans="1:14" x14ac:dyDescent="0.3">
      <c r="A34" s="7" t="s">
        <v>1</v>
      </c>
      <c r="B34" s="7"/>
      <c r="C34" s="7"/>
      <c r="D34" s="7"/>
      <c r="E34" s="7"/>
      <c r="F34" s="7"/>
      <c r="G34" s="7"/>
      <c r="H34" s="7"/>
      <c r="I34" s="7"/>
      <c r="J34" s="7"/>
      <c r="K34" s="7"/>
      <c r="L34" s="7"/>
      <c r="M34" s="7"/>
      <c r="N34" s="8"/>
    </row>
    <row r="35" spans="1:14" x14ac:dyDescent="0.3">
      <c r="A35" s="7"/>
      <c r="D35" s="334" t="s">
        <v>476</v>
      </c>
      <c r="E35" s="334"/>
      <c r="F35" s="7"/>
      <c r="G35" s="7"/>
      <c r="H35" s="7"/>
      <c r="I35" s="7"/>
      <c r="J35" s="7"/>
      <c r="K35" s="7"/>
      <c r="L35" s="7"/>
      <c r="M35" s="7"/>
      <c r="N35" s="8"/>
    </row>
    <row r="36" spans="1:14" ht="31.2" x14ac:dyDescent="0.3">
      <c r="A36" s="7"/>
      <c r="B36" s="189" t="s">
        <v>447</v>
      </c>
      <c r="C36" s="190" t="s">
        <v>191</v>
      </c>
      <c r="D36" s="190" t="s">
        <v>68</v>
      </c>
      <c r="E36" s="189" t="s">
        <v>69</v>
      </c>
      <c r="F36" s="7"/>
      <c r="G36" s="7"/>
      <c r="H36" s="7"/>
      <c r="I36" s="7"/>
      <c r="J36" s="7"/>
      <c r="K36" s="7"/>
      <c r="L36" s="7"/>
      <c r="M36" s="7"/>
      <c r="N36" s="8"/>
    </row>
    <row r="37" spans="1:14" x14ac:dyDescent="0.3">
      <c r="A37" s="7"/>
      <c r="B37" s="191">
        <v>2015</v>
      </c>
      <c r="C37" s="192">
        <f>C12*H23</f>
        <v>5051007.6500000004</v>
      </c>
      <c r="D37" s="192">
        <f>D12-$C37</f>
        <v>2154.3499999996275</v>
      </c>
      <c r="E37" s="192">
        <f>E12-$C37</f>
        <v>2479.3499999996275</v>
      </c>
      <c r="F37" s="7"/>
      <c r="G37" s="7"/>
      <c r="H37" s="7"/>
      <c r="I37" s="7"/>
      <c r="J37" s="7"/>
      <c r="K37" s="7"/>
      <c r="L37" s="7"/>
      <c r="M37" s="7"/>
      <c r="N37" s="8"/>
    </row>
    <row r="38" spans="1:14" x14ac:dyDescent="0.3">
      <c r="A38" s="7"/>
      <c r="B38" s="191">
        <v>2016</v>
      </c>
      <c r="C38" s="192">
        <f>C13*G24</f>
        <v>5453149.6980000008</v>
      </c>
      <c r="D38" s="192">
        <f t="shared" ref="D38:E42" si="0">D13-$C38</f>
        <v>55306.30199999921</v>
      </c>
      <c r="E38" s="192">
        <f t="shared" si="0"/>
        <v>53536.30199999921</v>
      </c>
      <c r="F38" s="7"/>
      <c r="G38" s="7"/>
      <c r="H38" s="7"/>
      <c r="I38" s="7"/>
      <c r="J38" s="7"/>
      <c r="K38" s="7"/>
      <c r="L38" s="7"/>
      <c r="M38" s="7"/>
      <c r="N38" s="8"/>
    </row>
    <row r="39" spans="1:14" x14ac:dyDescent="0.3">
      <c r="A39" s="7"/>
      <c r="B39" s="191">
        <v>2017</v>
      </c>
      <c r="C39" s="192">
        <f>C14*F25</f>
        <v>5764966.1299999999</v>
      </c>
      <c r="D39" s="192">
        <f t="shared" si="0"/>
        <v>136625.87000000011</v>
      </c>
      <c r="E39" s="192">
        <f t="shared" si="0"/>
        <v>102292.87000000011</v>
      </c>
      <c r="F39" s="7"/>
      <c r="G39" s="7"/>
      <c r="H39" s="7"/>
      <c r="I39" s="7"/>
      <c r="J39" s="7"/>
      <c r="K39" s="7"/>
      <c r="L39" s="7"/>
      <c r="M39" s="7"/>
      <c r="N39" s="8"/>
    </row>
    <row r="40" spans="1:14" x14ac:dyDescent="0.3">
      <c r="A40" s="7"/>
      <c r="B40" s="191">
        <v>2018</v>
      </c>
      <c r="C40" s="192">
        <f>C15*E26</f>
        <v>5967139.4580000006</v>
      </c>
      <c r="D40" s="192">
        <f t="shared" si="0"/>
        <v>275801.54199999943</v>
      </c>
      <c r="E40" s="192">
        <f t="shared" si="0"/>
        <v>337861.54199999943</v>
      </c>
      <c r="F40" s="7"/>
      <c r="G40" s="7"/>
      <c r="H40" s="7"/>
      <c r="I40" s="7"/>
      <c r="J40" s="7"/>
      <c r="K40" s="7"/>
      <c r="L40" s="7"/>
      <c r="M40" s="7"/>
      <c r="N40" s="8"/>
    </row>
    <row r="41" spans="1:14" x14ac:dyDescent="0.3">
      <c r="A41" s="7"/>
      <c r="B41" s="191">
        <v>2019</v>
      </c>
      <c r="C41" s="192">
        <f>C16*D27</f>
        <v>6294142.8360000001</v>
      </c>
      <c r="D41" s="192">
        <f t="shared" si="0"/>
        <v>531932.16399999987</v>
      </c>
      <c r="E41" s="192">
        <f t="shared" si="0"/>
        <v>761852.16399999987</v>
      </c>
      <c r="F41" s="7"/>
      <c r="G41" s="7"/>
      <c r="H41" s="7"/>
      <c r="I41" s="7"/>
      <c r="J41" s="7"/>
      <c r="K41" s="7"/>
      <c r="L41" s="7"/>
      <c r="M41" s="7"/>
      <c r="N41" s="8"/>
    </row>
    <row r="42" spans="1:14" x14ac:dyDescent="0.3">
      <c r="A42" s="7"/>
      <c r="B42" s="189">
        <v>2020</v>
      </c>
      <c r="C42" s="193">
        <f>C17*C28</f>
        <v>5980003.6800000006</v>
      </c>
      <c r="D42" s="193">
        <f t="shared" si="0"/>
        <v>1173792.3199999994</v>
      </c>
      <c r="E42" s="193">
        <f t="shared" si="0"/>
        <v>1398061.3199999994</v>
      </c>
      <c r="F42" s="7"/>
      <c r="G42" s="7"/>
      <c r="H42" s="7"/>
      <c r="I42" s="7"/>
      <c r="J42" s="7"/>
      <c r="K42" s="7"/>
      <c r="L42" s="7"/>
      <c r="M42" s="7"/>
      <c r="N42" s="8"/>
    </row>
    <row r="43" spans="1:14" x14ac:dyDescent="0.3">
      <c r="A43" s="7"/>
      <c r="C43" s="192">
        <f>SUM(C37:C42)</f>
        <v>34510409.452</v>
      </c>
      <c r="D43" s="192">
        <f t="shared" ref="D43:E43" si="1">SUM(D37:D42)</f>
        <v>2175612.5479999976</v>
      </c>
      <c r="E43" s="192">
        <f t="shared" si="1"/>
        <v>2656083.5479999976</v>
      </c>
      <c r="F43" s="7"/>
      <c r="G43" s="7"/>
      <c r="H43" s="7"/>
      <c r="I43" s="7"/>
      <c r="J43" s="7"/>
      <c r="K43" s="7"/>
      <c r="L43" s="7"/>
      <c r="M43" s="7"/>
      <c r="N43" s="8"/>
    </row>
    <row r="44" spans="1:14" x14ac:dyDescent="0.3">
      <c r="M44" s="8"/>
      <c r="N44" s="8"/>
    </row>
    <row r="45" spans="1:14" x14ac:dyDescent="0.3">
      <c r="A45" s="12" t="s">
        <v>73</v>
      </c>
      <c r="B45" s="12"/>
      <c r="C45" s="12"/>
      <c r="D45" s="12"/>
      <c r="E45" s="12"/>
      <c r="F45" s="12"/>
      <c r="G45" s="12"/>
      <c r="H45" s="12"/>
      <c r="I45" s="12"/>
      <c r="J45" s="12"/>
      <c r="K45" s="4"/>
      <c r="L45" s="3"/>
      <c r="M45" s="8"/>
      <c r="N45" s="8"/>
    </row>
    <row r="46" spans="1:14" x14ac:dyDescent="0.3">
      <c r="A46" s="12"/>
      <c r="B46" s="12"/>
      <c r="C46" s="12"/>
      <c r="D46" s="12"/>
      <c r="E46" s="12"/>
      <c r="F46" s="12"/>
      <c r="G46" s="12"/>
      <c r="H46" s="12"/>
      <c r="I46" s="12"/>
      <c r="J46" s="12"/>
      <c r="K46" s="4"/>
      <c r="L46" s="3"/>
      <c r="M46" s="8"/>
      <c r="N46" s="8"/>
    </row>
    <row r="47" spans="1:14" x14ac:dyDescent="0.3">
      <c r="A47" s="12"/>
      <c r="B47" s="25"/>
      <c r="C47" s="332" t="s">
        <v>74</v>
      </c>
      <c r="D47" s="324"/>
      <c r="E47" s="324"/>
      <c r="F47" s="324"/>
      <c r="G47" s="12"/>
      <c r="H47" s="12"/>
      <c r="I47" s="12"/>
      <c r="J47" s="12"/>
      <c r="K47" s="4"/>
      <c r="L47" s="3"/>
      <c r="M47" s="8"/>
      <c r="N47" s="8"/>
    </row>
    <row r="48" spans="1:14" x14ac:dyDescent="0.3">
      <c r="A48" s="12"/>
      <c r="B48" s="59" t="s">
        <v>64</v>
      </c>
      <c r="C48" s="332" t="s">
        <v>75</v>
      </c>
      <c r="D48" s="324"/>
      <c r="E48" s="324" t="s">
        <v>76</v>
      </c>
      <c r="F48" s="324"/>
      <c r="G48" s="12"/>
      <c r="H48" s="12"/>
      <c r="I48" s="12"/>
      <c r="J48" s="12"/>
      <c r="K48" s="4"/>
      <c r="L48" s="3"/>
      <c r="M48" s="8"/>
      <c r="N48" s="8"/>
    </row>
    <row r="49" spans="1:14" x14ac:dyDescent="0.3">
      <c r="A49" s="12"/>
      <c r="B49" s="26" t="s">
        <v>65</v>
      </c>
      <c r="C49" s="80" t="s">
        <v>77</v>
      </c>
      <c r="D49" s="14" t="s">
        <v>78</v>
      </c>
      <c r="E49" s="14" t="s">
        <v>79</v>
      </c>
      <c r="F49" s="14" t="s">
        <v>78</v>
      </c>
      <c r="G49" s="12"/>
      <c r="H49" s="12"/>
      <c r="I49" s="12"/>
      <c r="J49" s="12"/>
      <c r="K49" s="4"/>
      <c r="L49" s="3"/>
      <c r="M49" s="8"/>
      <c r="N49" s="8"/>
    </row>
    <row r="50" spans="1:14" x14ac:dyDescent="0.3">
      <c r="A50" s="12"/>
      <c r="B50" s="17">
        <v>2016</v>
      </c>
      <c r="C50" s="20">
        <v>2852</v>
      </c>
      <c r="D50" s="20">
        <v>2628</v>
      </c>
      <c r="E50" s="20">
        <v>2825</v>
      </c>
      <c r="F50" s="20">
        <v>2650</v>
      </c>
      <c r="G50" s="12"/>
      <c r="H50" s="12"/>
      <c r="I50" s="12"/>
      <c r="J50" s="12"/>
      <c r="K50" s="4"/>
      <c r="L50" s="3"/>
      <c r="M50" s="8"/>
      <c r="N50" s="8"/>
    </row>
    <row r="51" spans="1:14" x14ac:dyDescent="0.3">
      <c r="A51" s="12"/>
      <c r="B51" s="15">
        <v>2017</v>
      </c>
      <c r="C51" s="20">
        <v>4103</v>
      </c>
      <c r="D51" s="20">
        <v>4218</v>
      </c>
      <c r="E51" s="20">
        <v>4185</v>
      </c>
      <c r="F51" s="20">
        <v>4235</v>
      </c>
      <c r="G51" s="12"/>
      <c r="H51" s="12"/>
      <c r="I51" s="12"/>
      <c r="J51" s="12"/>
      <c r="K51" s="4"/>
      <c r="L51" s="3"/>
      <c r="M51" s="8"/>
      <c r="N51" s="8"/>
    </row>
    <row r="52" spans="1:14" x14ac:dyDescent="0.3">
      <c r="A52" s="12"/>
      <c r="B52" s="35">
        <v>2018</v>
      </c>
      <c r="C52" s="36">
        <v>4352</v>
      </c>
      <c r="D52" s="36">
        <v>6318</v>
      </c>
      <c r="E52" s="36">
        <v>4161</v>
      </c>
      <c r="F52" s="36">
        <v>5511</v>
      </c>
      <c r="G52" s="12"/>
      <c r="H52" s="12"/>
      <c r="I52" s="12"/>
      <c r="J52" s="12"/>
      <c r="K52" s="4"/>
      <c r="L52" s="3"/>
      <c r="M52" s="8"/>
      <c r="N52" s="8"/>
    </row>
    <row r="53" spans="1:14" x14ac:dyDescent="0.3">
      <c r="A53" s="12"/>
      <c r="B53" s="15">
        <v>2019</v>
      </c>
      <c r="C53" s="20">
        <v>8072</v>
      </c>
      <c r="D53" s="20">
        <v>7317</v>
      </c>
      <c r="E53" s="20">
        <v>7767</v>
      </c>
      <c r="F53" s="20">
        <v>7467</v>
      </c>
      <c r="G53" s="12"/>
      <c r="H53" s="12"/>
      <c r="I53" s="12"/>
      <c r="J53" s="12"/>
      <c r="K53" s="4"/>
      <c r="L53" s="3"/>
      <c r="M53" s="8"/>
      <c r="N53" s="8"/>
    </row>
    <row r="54" spans="1:14" x14ac:dyDescent="0.3">
      <c r="A54" s="12"/>
      <c r="B54" s="15">
        <v>2020</v>
      </c>
      <c r="C54" s="20">
        <v>11835</v>
      </c>
      <c r="D54" s="20">
        <v>10664</v>
      </c>
      <c r="E54" s="20">
        <v>11409</v>
      </c>
      <c r="F54" s="20">
        <v>11109</v>
      </c>
      <c r="G54" s="12"/>
      <c r="H54" s="12"/>
      <c r="I54" s="12"/>
      <c r="J54" s="12"/>
      <c r="K54" s="4"/>
      <c r="L54" s="3"/>
      <c r="M54" s="8"/>
      <c r="N54" s="8"/>
    </row>
    <row r="55" spans="1:14" x14ac:dyDescent="0.3">
      <c r="A55" s="12"/>
      <c r="B55" s="12"/>
      <c r="C55" s="12"/>
      <c r="D55" s="12"/>
      <c r="E55" s="12"/>
      <c r="F55" s="12"/>
      <c r="G55" s="12"/>
      <c r="H55" s="12"/>
      <c r="I55" s="12"/>
      <c r="J55" s="12"/>
      <c r="K55" s="4"/>
      <c r="L55" s="3"/>
      <c r="M55" s="8"/>
      <c r="N55" s="8"/>
    </row>
    <row r="56" spans="1:14" x14ac:dyDescent="0.3">
      <c r="A56" s="12" t="s">
        <v>80</v>
      </c>
      <c r="B56" s="12"/>
      <c r="C56" s="12"/>
      <c r="D56" s="12"/>
      <c r="E56" s="12"/>
      <c r="F56" s="12"/>
      <c r="G56" s="12"/>
      <c r="H56" s="12"/>
      <c r="I56" s="12"/>
      <c r="J56" s="12"/>
      <c r="K56" s="4"/>
      <c r="L56" s="3"/>
      <c r="M56" s="8"/>
      <c r="N56" s="8"/>
    </row>
    <row r="57" spans="1:14" x14ac:dyDescent="0.3">
      <c r="A57" s="12" t="s">
        <v>81</v>
      </c>
      <c r="B57" s="12"/>
      <c r="C57" s="12"/>
      <c r="D57" s="12"/>
      <c r="E57" s="12"/>
      <c r="F57" s="12"/>
      <c r="G57" s="12"/>
      <c r="H57" s="12"/>
      <c r="I57" s="12"/>
      <c r="J57" s="12"/>
      <c r="K57" s="4"/>
      <c r="L57" s="3"/>
      <c r="M57" s="8"/>
      <c r="N57" s="8"/>
    </row>
    <row r="58" spans="1:14" x14ac:dyDescent="0.3">
      <c r="A58" s="12" t="s">
        <v>82</v>
      </c>
      <c r="B58" s="12"/>
      <c r="C58" s="12"/>
      <c r="D58" s="12"/>
      <c r="E58" s="12"/>
      <c r="F58" s="12"/>
      <c r="G58" s="12"/>
      <c r="H58" s="12"/>
      <c r="I58" s="12"/>
      <c r="J58" s="12"/>
      <c r="K58" s="4"/>
      <c r="L58" s="3"/>
      <c r="M58" s="8"/>
      <c r="N58" s="8"/>
    </row>
    <row r="59" spans="1:14" x14ac:dyDescent="0.3">
      <c r="A59" s="12" t="s">
        <v>83</v>
      </c>
      <c r="B59" s="12"/>
      <c r="C59" s="12"/>
      <c r="D59" s="12"/>
      <c r="E59" s="12"/>
      <c r="F59" s="12"/>
      <c r="G59" s="12"/>
      <c r="H59" s="12"/>
      <c r="I59" s="12"/>
      <c r="J59" s="12"/>
      <c r="K59" s="4"/>
      <c r="L59" s="3"/>
      <c r="M59" s="8"/>
      <c r="N59" s="8"/>
    </row>
    <row r="60" spans="1:14" x14ac:dyDescent="0.3">
      <c r="A60" s="12"/>
      <c r="B60" s="12"/>
      <c r="C60" s="12"/>
      <c r="D60" s="12"/>
      <c r="E60" s="12"/>
      <c r="F60" s="12"/>
      <c r="G60" s="12"/>
      <c r="H60" s="12"/>
      <c r="I60" s="12"/>
      <c r="J60" s="12"/>
      <c r="K60" s="4"/>
      <c r="L60" s="3"/>
      <c r="M60" s="8"/>
      <c r="N60" s="8"/>
    </row>
    <row r="61" spans="1:14" x14ac:dyDescent="0.3">
      <c r="A61" s="12" t="s">
        <v>84</v>
      </c>
      <c r="B61" s="12"/>
      <c r="C61" s="12"/>
      <c r="D61" s="12"/>
      <c r="E61" s="12"/>
      <c r="F61" s="12"/>
      <c r="G61" s="12"/>
      <c r="H61" s="12"/>
      <c r="I61" s="12"/>
      <c r="J61" s="12"/>
      <c r="K61" s="4"/>
      <c r="L61" s="3"/>
      <c r="M61" s="8"/>
      <c r="N61" s="8"/>
    </row>
    <row r="62" spans="1:14" x14ac:dyDescent="0.3">
      <c r="A62" s="12"/>
      <c r="B62" s="12"/>
      <c r="C62" s="12"/>
      <c r="D62" s="12"/>
      <c r="E62" s="12"/>
      <c r="F62" s="12"/>
      <c r="G62" s="12"/>
      <c r="H62" s="12"/>
      <c r="I62" s="12"/>
      <c r="J62" s="12"/>
      <c r="K62" s="4"/>
      <c r="L62" s="3"/>
      <c r="M62" s="8"/>
      <c r="N62" s="8"/>
    </row>
    <row r="64" spans="1:14" x14ac:dyDescent="0.3">
      <c r="A64" s="6" t="s">
        <v>2</v>
      </c>
      <c r="B64" s="4" t="s">
        <v>85</v>
      </c>
      <c r="C64" s="4"/>
      <c r="D64" s="4"/>
      <c r="E64" s="4"/>
      <c r="F64" s="4"/>
      <c r="G64" s="4"/>
      <c r="H64" s="4"/>
      <c r="I64" s="4"/>
      <c r="J64" s="4"/>
      <c r="K64" s="4"/>
      <c r="L64" s="4"/>
    </row>
    <row r="65" spans="1:13" x14ac:dyDescent="0.3">
      <c r="A65" s="6"/>
      <c r="B65" s="4"/>
      <c r="C65" s="4"/>
      <c r="D65" s="4"/>
      <c r="E65" s="4"/>
      <c r="F65" s="4"/>
      <c r="G65" s="4"/>
      <c r="H65" s="4"/>
      <c r="I65" s="4"/>
      <c r="J65" s="4"/>
      <c r="K65" s="4"/>
      <c r="L65" s="4"/>
    </row>
    <row r="66" spans="1:13" x14ac:dyDescent="0.3">
      <c r="A66" s="6"/>
      <c r="B66" s="37" t="s">
        <v>90</v>
      </c>
      <c r="C66" s="4" t="s">
        <v>86</v>
      </c>
      <c r="D66" s="4"/>
      <c r="E66" s="4"/>
      <c r="F66" s="4"/>
      <c r="G66" s="4"/>
      <c r="H66" s="4"/>
      <c r="I66" s="4"/>
      <c r="J66" s="4"/>
      <c r="K66" s="4"/>
      <c r="L66" s="4"/>
    </row>
    <row r="67" spans="1:13" x14ac:dyDescent="0.3">
      <c r="A67" s="6"/>
      <c r="B67" s="37" t="s">
        <v>91</v>
      </c>
      <c r="C67" s="4" t="s">
        <v>87</v>
      </c>
      <c r="D67" s="4"/>
      <c r="E67" s="4"/>
      <c r="F67" s="4"/>
      <c r="G67" s="4"/>
      <c r="H67" s="4"/>
      <c r="I67" s="4"/>
      <c r="J67" s="4"/>
      <c r="K67" s="4"/>
      <c r="L67" s="4"/>
    </row>
    <row r="68" spans="1:13" x14ac:dyDescent="0.3">
      <c r="A68" s="6"/>
      <c r="B68" s="37" t="s">
        <v>92</v>
      </c>
      <c r="C68" s="4" t="s">
        <v>88</v>
      </c>
      <c r="D68" s="4"/>
      <c r="E68" s="4"/>
      <c r="F68" s="4"/>
      <c r="G68" s="4"/>
      <c r="H68" s="4"/>
      <c r="I68" s="4"/>
      <c r="J68" s="4"/>
      <c r="K68" s="4"/>
      <c r="L68" s="4"/>
    </row>
    <row r="69" spans="1:13" x14ac:dyDescent="0.3">
      <c r="A69" s="6"/>
      <c r="B69" s="37" t="s">
        <v>93</v>
      </c>
      <c r="C69" s="4" t="s">
        <v>89</v>
      </c>
      <c r="D69" s="4"/>
      <c r="E69" s="4"/>
      <c r="F69" s="4"/>
      <c r="G69" s="4"/>
      <c r="H69" s="4"/>
      <c r="I69" s="4"/>
      <c r="J69" s="4"/>
      <c r="K69" s="4"/>
      <c r="L69" s="4"/>
    </row>
    <row r="70" spans="1:13" x14ac:dyDescent="0.3">
      <c r="A70" s="3"/>
      <c r="B70" s="3"/>
      <c r="C70" s="3"/>
      <c r="D70" s="3"/>
      <c r="E70" s="3"/>
      <c r="F70" s="3"/>
      <c r="G70" s="4"/>
      <c r="H70" s="4"/>
      <c r="I70" s="4"/>
      <c r="J70" s="4"/>
      <c r="K70" s="4"/>
      <c r="L70" s="4"/>
    </row>
    <row r="71" spans="1:13" x14ac:dyDescent="0.3">
      <c r="A71" s="7"/>
      <c r="B71" s="7"/>
      <c r="C71" s="7"/>
      <c r="D71" s="7"/>
      <c r="E71" s="7"/>
      <c r="F71" s="7"/>
      <c r="G71" s="7"/>
      <c r="H71" s="7"/>
      <c r="I71" s="7"/>
      <c r="J71" s="7"/>
      <c r="K71" s="7"/>
      <c r="L71" s="7"/>
    </row>
    <row r="72" spans="1:13" x14ac:dyDescent="0.3">
      <c r="A72" s="7" t="s">
        <v>1</v>
      </c>
      <c r="B72" s="7"/>
      <c r="C72" s="7"/>
      <c r="D72" s="7"/>
      <c r="E72" s="7"/>
      <c r="F72" s="7"/>
      <c r="G72" s="7"/>
      <c r="H72" s="7"/>
      <c r="I72" s="7"/>
      <c r="J72" s="7"/>
      <c r="K72" s="7"/>
      <c r="L72" s="7"/>
    </row>
    <row r="73" spans="1:13" x14ac:dyDescent="0.3">
      <c r="A73" s="7"/>
      <c r="B73" s="7"/>
      <c r="C73" s="7"/>
      <c r="D73" s="7"/>
      <c r="E73" s="7"/>
      <c r="F73" s="7"/>
      <c r="G73" s="7"/>
      <c r="H73" s="7"/>
      <c r="I73" s="7"/>
      <c r="J73" s="7"/>
      <c r="K73" s="7"/>
      <c r="L73" s="7"/>
    </row>
    <row r="74" spans="1:13" x14ac:dyDescent="0.3">
      <c r="A74" s="7"/>
      <c r="B74" s="7" t="s">
        <v>90</v>
      </c>
      <c r="C74" s="7" t="s">
        <v>477</v>
      </c>
      <c r="D74" s="7"/>
      <c r="E74" s="7"/>
      <c r="F74" s="7"/>
      <c r="G74" s="7"/>
      <c r="H74" s="7"/>
      <c r="I74" s="7"/>
      <c r="J74" s="7"/>
      <c r="K74" s="7"/>
      <c r="L74" s="7"/>
    </row>
    <row r="75" spans="1:13" x14ac:dyDescent="0.3">
      <c r="A75" s="7"/>
      <c r="B75" s="7"/>
      <c r="C75" s="7"/>
      <c r="D75" s="7"/>
      <c r="E75" s="7"/>
      <c r="F75" s="7"/>
      <c r="G75" s="7"/>
      <c r="H75" s="7"/>
      <c r="I75" s="7"/>
      <c r="J75" s="7"/>
      <c r="K75" s="7"/>
      <c r="L75" s="7"/>
    </row>
    <row r="76" spans="1:13" x14ac:dyDescent="0.3">
      <c r="M76" s="7"/>
    </row>
    <row r="77" spans="1:13" x14ac:dyDescent="0.3">
      <c r="B77" s="1" t="s">
        <v>91</v>
      </c>
      <c r="C77" s="1" t="s">
        <v>478</v>
      </c>
      <c r="M77" s="7"/>
    </row>
    <row r="78" spans="1:13" x14ac:dyDescent="0.3">
      <c r="M78" s="7"/>
    </row>
    <row r="79" spans="1:13" x14ac:dyDescent="0.3">
      <c r="M79" s="7"/>
    </row>
    <row r="80" spans="1:13" x14ac:dyDescent="0.3">
      <c r="B80" s="1" t="s">
        <v>92</v>
      </c>
      <c r="C80" s="1" t="s">
        <v>479</v>
      </c>
    </row>
    <row r="83" spans="2:3" x14ac:dyDescent="0.3">
      <c r="B83" s="1" t="s">
        <v>93</v>
      </c>
      <c r="C83" s="1" t="s">
        <v>480</v>
      </c>
    </row>
  </sheetData>
  <mergeCells count="7">
    <mergeCell ref="C47:F47"/>
    <mergeCell ref="C48:D48"/>
    <mergeCell ref="E48:F48"/>
    <mergeCell ref="C10:C11"/>
    <mergeCell ref="D10:E10"/>
    <mergeCell ref="C21:H21"/>
    <mergeCell ref="D35:E35"/>
  </mergeCells>
  <pageMargins left="0.7" right="0.7" top="0.75" bottom="0.75" header="0.3" footer="0.3"/>
  <pageSetup scale="66"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894F0-202A-4B69-8574-C20AEC2A2376}">
  <dimension ref="A1:L4"/>
  <sheetViews>
    <sheetView zoomScaleNormal="100" workbookViewId="0"/>
  </sheetViews>
  <sheetFormatPr defaultColWidth="8.88671875" defaultRowHeight="15.6" x14ac:dyDescent="0.3"/>
  <cols>
    <col min="1" max="6" width="8.88671875" style="1" customWidth="1"/>
    <col min="7" max="7" width="8.88671875" style="1"/>
    <col min="8" max="8" width="8.88671875" style="1" customWidth="1"/>
    <col min="9" max="16384" width="8.88671875" style="1"/>
  </cols>
  <sheetData>
    <row r="1" spans="1:12" ht="17.399999999999999" x14ac:dyDescent="0.3">
      <c r="A1" s="2" t="s">
        <v>94</v>
      </c>
      <c r="B1" s="4"/>
      <c r="C1" s="9" t="s">
        <v>12</v>
      </c>
      <c r="D1" s="4"/>
      <c r="E1" s="4"/>
      <c r="F1" s="4"/>
      <c r="G1" s="4"/>
      <c r="H1" s="4"/>
      <c r="I1" s="4"/>
      <c r="J1" s="4"/>
      <c r="K1" s="4"/>
      <c r="L1" s="3"/>
    </row>
    <row r="2" spans="1:12" x14ac:dyDescent="0.3">
      <c r="A2" s="4"/>
      <c r="B2" s="4"/>
      <c r="C2" s="4"/>
      <c r="D2" s="4"/>
      <c r="E2" s="4"/>
      <c r="F2" s="4"/>
      <c r="G2" s="4"/>
      <c r="H2" s="4"/>
      <c r="I2" s="4"/>
      <c r="J2" s="4"/>
      <c r="K2" s="4"/>
      <c r="L2" s="3"/>
    </row>
    <row r="3" spans="1:12" ht="16.2" x14ac:dyDescent="0.35">
      <c r="A3" s="23" t="s">
        <v>95</v>
      </c>
      <c r="B3" s="4"/>
      <c r="C3" s="4"/>
      <c r="D3" s="4"/>
      <c r="E3" s="4"/>
      <c r="F3" s="4"/>
      <c r="G3" s="4"/>
      <c r="H3" s="9"/>
      <c r="I3" s="9"/>
      <c r="J3" s="9"/>
      <c r="K3" s="9"/>
      <c r="L3" s="9"/>
    </row>
    <row r="4" spans="1:12" x14ac:dyDescent="0.3">
      <c r="A4" s="4"/>
      <c r="B4" s="4"/>
      <c r="C4" s="4"/>
      <c r="D4" s="4"/>
      <c r="E4" s="4"/>
      <c r="F4" s="4"/>
      <c r="G4" s="4"/>
      <c r="H4" s="9"/>
      <c r="I4" s="9"/>
      <c r="J4" s="9"/>
      <c r="K4" s="9"/>
      <c r="L4" s="9"/>
    </row>
  </sheetData>
  <pageMargins left="0.7" right="0.7" top="0.75" bottom="0.75" header="0.3" footer="0.3"/>
  <pageSetup scale="84"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76B15-9641-4D36-A16F-667754E9BC72}">
  <dimension ref="A1:R103"/>
  <sheetViews>
    <sheetView zoomScaleNormal="100" workbookViewId="0"/>
  </sheetViews>
  <sheetFormatPr defaultColWidth="8.88671875" defaultRowHeight="15.6" x14ac:dyDescent="0.3"/>
  <cols>
    <col min="1" max="1" width="8.88671875" style="1" customWidth="1"/>
    <col min="2" max="4" width="20.6640625" style="1" customWidth="1"/>
    <col min="5" max="6" width="14.77734375" style="1" customWidth="1"/>
    <col min="7" max="7" width="15.77734375" style="1" customWidth="1"/>
    <col min="8" max="8" width="8.88671875" style="1" customWidth="1"/>
    <col min="9" max="16384" width="8.88671875" style="1"/>
  </cols>
  <sheetData>
    <row r="1" spans="1:12" ht="17.399999999999999" x14ac:dyDescent="0.3">
      <c r="A1" s="2" t="s">
        <v>96</v>
      </c>
      <c r="B1" s="4"/>
      <c r="C1" s="9" t="s">
        <v>10</v>
      </c>
      <c r="D1" s="4"/>
      <c r="E1" s="4"/>
      <c r="F1" s="4"/>
      <c r="G1" s="4"/>
      <c r="H1" s="4"/>
      <c r="I1" s="4"/>
      <c r="J1" s="4"/>
      <c r="K1" s="4"/>
      <c r="L1" s="3"/>
    </row>
    <row r="2" spans="1:12" x14ac:dyDescent="0.3">
      <c r="A2" s="4"/>
      <c r="B2" s="4"/>
      <c r="C2" s="4"/>
      <c r="D2" s="4"/>
      <c r="E2" s="4"/>
      <c r="F2" s="4"/>
      <c r="G2" s="4"/>
      <c r="H2" s="4"/>
      <c r="I2" s="4"/>
      <c r="J2" s="4"/>
      <c r="K2" s="4"/>
      <c r="L2" s="3"/>
    </row>
    <row r="3" spans="1:12" x14ac:dyDescent="0.3">
      <c r="A3" s="12" t="s">
        <v>97</v>
      </c>
      <c r="B3" s="12"/>
      <c r="C3" s="12"/>
      <c r="D3" s="12"/>
      <c r="E3" s="12"/>
      <c r="F3" s="12"/>
      <c r="G3" s="12"/>
      <c r="H3" s="12"/>
      <c r="I3" s="12"/>
      <c r="J3" s="12"/>
      <c r="K3" s="4"/>
      <c r="L3" s="3"/>
    </row>
    <row r="4" spans="1:12" s="11" customFormat="1" x14ac:dyDescent="0.3">
      <c r="A4" s="13"/>
      <c r="B4" s="12"/>
      <c r="C4" s="12"/>
      <c r="D4" s="12"/>
      <c r="E4" s="12"/>
      <c r="F4" s="12"/>
      <c r="G4" s="12"/>
      <c r="H4" s="10"/>
      <c r="I4" s="10"/>
      <c r="J4" s="10"/>
      <c r="K4" s="10"/>
      <c r="L4" s="10"/>
    </row>
    <row r="5" spans="1:12" s="11" customFormat="1" x14ac:dyDescent="0.3">
      <c r="A5" s="13"/>
      <c r="B5" s="324" t="s">
        <v>98</v>
      </c>
      <c r="C5" s="324" t="s">
        <v>99</v>
      </c>
      <c r="D5" s="324"/>
      <c r="E5" s="12"/>
      <c r="F5" s="12"/>
      <c r="G5" s="12"/>
      <c r="H5" s="10"/>
      <c r="I5" s="10"/>
      <c r="J5" s="10"/>
      <c r="K5" s="10"/>
      <c r="L5" s="10"/>
    </row>
    <row r="6" spans="1:12" s="11" customFormat="1" x14ac:dyDescent="0.3">
      <c r="A6" s="13"/>
      <c r="B6" s="324"/>
      <c r="C6" s="14" t="s">
        <v>100</v>
      </c>
      <c r="D6" s="14" t="s">
        <v>101</v>
      </c>
      <c r="E6" s="12"/>
      <c r="F6" s="12"/>
      <c r="G6" s="12"/>
      <c r="H6" s="10"/>
      <c r="I6" s="10"/>
      <c r="J6" s="10"/>
      <c r="K6" s="10"/>
      <c r="L6" s="10"/>
    </row>
    <row r="7" spans="1:12" s="11" customFormat="1" x14ac:dyDescent="0.3">
      <c r="A7" s="13"/>
      <c r="B7" s="15" t="s">
        <v>102</v>
      </c>
      <c r="C7" s="20">
        <v>210000</v>
      </c>
      <c r="D7" s="20">
        <v>320000</v>
      </c>
      <c r="E7" s="12"/>
      <c r="F7" s="12"/>
      <c r="G7" s="12"/>
      <c r="H7" s="10"/>
      <c r="I7" s="10"/>
      <c r="J7" s="10"/>
      <c r="K7" s="10"/>
      <c r="L7" s="10"/>
    </row>
    <row r="8" spans="1:12" s="11" customFormat="1" x14ac:dyDescent="0.3">
      <c r="A8" s="13"/>
      <c r="B8" s="15" t="s">
        <v>103</v>
      </c>
      <c r="C8" s="20">
        <v>200500</v>
      </c>
      <c r="D8" s="20">
        <v>325000</v>
      </c>
      <c r="E8" s="12"/>
      <c r="F8" s="12"/>
      <c r="G8" s="12"/>
      <c r="H8" s="10"/>
      <c r="I8" s="10"/>
      <c r="J8" s="10"/>
      <c r="K8" s="10"/>
      <c r="L8" s="10"/>
    </row>
    <row r="9" spans="1:12" s="11" customFormat="1" x14ac:dyDescent="0.3">
      <c r="A9" s="12"/>
      <c r="B9" s="15" t="s">
        <v>104</v>
      </c>
      <c r="C9" s="20">
        <v>197500</v>
      </c>
      <c r="D9" s="20">
        <v>330000</v>
      </c>
      <c r="E9" s="12"/>
      <c r="F9" s="12"/>
      <c r="G9" s="12"/>
      <c r="H9" s="10"/>
      <c r="I9" s="10"/>
      <c r="J9" s="10"/>
      <c r="K9" s="10"/>
      <c r="L9" s="10"/>
    </row>
    <row r="10" spans="1:12" s="11" customFormat="1" x14ac:dyDescent="0.3">
      <c r="A10" s="12"/>
      <c r="B10" s="15" t="s">
        <v>105</v>
      </c>
      <c r="C10" s="20">
        <v>205100</v>
      </c>
      <c r="D10" s="20">
        <v>322000</v>
      </c>
      <c r="E10" s="12"/>
      <c r="F10" s="12"/>
      <c r="G10" s="12"/>
      <c r="H10" s="10"/>
      <c r="I10" s="10"/>
      <c r="J10" s="10"/>
      <c r="K10" s="10"/>
      <c r="L10" s="10"/>
    </row>
    <row r="11" spans="1:12" s="11" customFormat="1" x14ac:dyDescent="0.3">
      <c r="A11" s="13"/>
      <c r="B11" s="12"/>
      <c r="C11" s="12"/>
      <c r="D11" s="12"/>
      <c r="E11" s="12"/>
      <c r="F11" s="12"/>
      <c r="G11" s="12"/>
      <c r="H11" s="10"/>
      <c r="I11" s="10"/>
      <c r="J11" s="10"/>
      <c r="K11" s="10"/>
      <c r="L11" s="10"/>
    </row>
    <row r="12" spans="1:12" s="11" customFormat="1" x14ac:dyDescent="0.3">
      <c r="A12" s="12" t="s">
        <v>106</v>
      </c>
      <c r="B12" s="12"/>
      <c r="C12" s="12"/>
      <c r="D12" s="12"/>
      <c r="E12" s="12"/>
      <c r="F12" s="12"/>
      <c r="G12" s="12"/>
      <c r="H12" s="10"/>
      <c r="I12" s="10"/>
      <c r="J12" s="10"/>
      <c r="K12" s="10"/>
      <c r="L12" s="10"/>
    </row>
    <row r="13" spans="1:12" s="11" customFormat="1" x14ac:dyDescent="0.3">
      <c r="A13" s="12" t="s">
        <v>107</v>
      </c>
      <c r="B13" s="12"/>
      <c r="C13" s="12"/>
      <c r="D13" s="12"/>
      <c r="E13" s="12"/>
      <c r="F13" s="12"/>
      <c r="G13" s="12"/>
      <c r="H13" s="10"/>
      <c r="I13" s="10"/>
      <c r="J13" s="10"/>
      <c r="K13" s="10"/>
      <c r="L13" s="10"/>
    </row>
    <row r="14" spans="1:12" x14ac:dyDescent="0.3">
      <c r="A14" s="12" t="s">
        <v>108</v>
      </c>
      <c r="B14" s="12"/>
      <c r="C14" s="12"/>
      <c r="D14" s="12"/>
      <c r="E14" s="12"/>
      <c r="F14" s="12"/>
      <c r="G14" s="12"/>
      <c r="H14" s="9"/>
      <c r="I14" s="9"/>
      <c r="J14" s="9"/>
      <c r="K14" s="9"/>
      <c r="L14" s="9"/>
    </row>
    <row r="15" spans="1:12" x14ac:dyDescent="0.3">
      <c r="A15" s="9"/>
      <c r="B15" s="9"/>
      <c r="C15" s="9"/>
      <c r="D15" s="9"/>
      <c r="E15" s="9"/>
      <c r="F15" s="9"/>
      <c r="G15" s="9"/>
      <c r="H15" s="9"/>
      <c r="I15" s="9"/>
      <c r="J15" s="9"/>
      <c r="K15" s="9"/>
      <c r="L15" s="9"/>
    </row>
    <row r="16" spans="1:12" x14ac:dyDescent="0.3">
      <c r="A16" s="7"/>
      <c r="B16" s="7"/>
      <c r="C16" s="7"/>
      <c r="D16" s="7"/>
      <c r="E16" s="7"/>
      <c r="F16" s="7"/>
      <c r="G16" s="7"/>
      <c r="H16" s="7"/>
      <c r="I16" s="7"/>
      <c r="J16" s="7"/>
      <c r="K16" s="7"/>
      <c r="L16" s="7"/>
    </row>
    <row r="17" spans="1:18" x14ac:dyDescent="0.3">
      <c r="A17" s="6" t="s">
        <v>4</v>
      </c>
      <c r="B17" s="4" t="s">
        <v>109</v>
      </c>
      <c r="C17" s="4"/>
      <c r="D17" s="4"/>
      <c r="E17" s="4"/>
      <c r="F17" s="4"/>
      <c r="G17" s="4"/>
      <c r="H17" s="4"/>
      <c r="I17" s="4"/>
      <c r="J17" s="4"/>
      <c r="K17" s="4"/>
      <c r="L17" s="4"/>
      <c r="M17" s="8"/>
      <c r="N17" s="8"/>
      <c r="O17" s="8"/>
      <c r="P17" s="8"/>
      <c r="Q17" s="8"/>
      <c r="R17" s="8"/>
    </row>
    <row r="18" spans="1:18" x14ac:dyDescent="0.3">
      <c r="A18" s="3"/>
      <c r="B18" s="3"/>
      <c r="C18" s="3"/>
      <c r="D18" s="3"/>
      <c r="E18" s="3"/>
      <c r="F18" s="3"/>
      <c r="G18" s="4"/>
      <c r="H18" s="4"/>
      <c r="I18" s="4"/>
      <c r="J18" s="4"/>
      <c r="K18" s="4"/>
      <c r="L18" s="4"/>
    </row>
    <row r="19" spans="1:18" x14ac:dyDescent="0.3">
      <c r="A19" s="7"/>
      <c r="B19" s="7"/>
      <c r="C19" s="7"/>
      <c r="D19" s="7"/>
      <c r="E19" s="7"/>
      <c r="F19" s="7"/>
      <c r="G19" s="7"/>
      <c r="H19" s="7"/>
      <c r="I19" s="7"/>
      <c r="J19" s="7"/>
      <c r="K19" s="7"/>
      <c r="L19" s="7"/>
      <c r="M19" s="7"/>
    </row>
    <row r="20" spans="1:18" x14ac:dyDescent="0.3">
      <c r="A20" s="7" t="s">
        <v>1</v>
      </c>
      <c r="B20" s="7"/>
      <c r="C20" s="7"/>
      <c r="D20" s="7"/>
      <c r="E20" s="7"/>
      <c r="F20" s="7"/>
      <c r="G20" s="7"/>
      <c r="H20" s="7"/>
      <c r="I20" s="7"/>
      <c r="J20" s="7"/>
      <c r="K20" s="7"/>
      <c r="L20" s="7"/>
      <c r="M20" s="7"/>
      <c r="N20" s="8"/>
    </row>
    <row r="21" spans="1:18" x14ac:dyDescent="0.3">
      <c r="A21" s="7"/>
      <c r="B21" s="306"/>
      <c r="C21" s="307"/>
      <c r="D21" s="307"/>
      <c r="E21" s="337" t="s">
        <v>660</v>
      </c>
      <c r="F21" s="337"/>
      <c r="I21" s="7"/>
      <c r="J21" s="7"/>
      <c r="K21" s="7"/>
      <c r="L21" s="7"/>
      <c r="M21" s="7"/>
      <c r="N21" s="8"/>
    </row>
    <row r="22" spans="1:18" ht="31.2" x14ac:dyDescent="0.3">
      <c r="A22" s="7"/>
      <c r="B22" s="227" t="s">
        <v>98</v>
      </c>
      <c r="C22" s="227" t="s">
        <v>661</v>
      </c>
      <c r="D22" s="227" t="s">
        <v>662</v>
      </c>
      <c r="E22" s="227" t="s">
        <v>100</v>
      </c>
      <c r="F22" s="227" t="s">
        <v>101</v>
      </c>
      <c r="I22" s="7"/>
      <c r="J22" s="7"/>
      <c r="K22" s="7"/>
      <c r="L22" s="7"/>
      <c r="M22" s="7"/>
      <c r="N22" s="8"/>
    </row>
    <row r="23" spans="1:18" x14ac:dyDescent="0.3">
      <c r="A23" s="7"/>
      <c r="B23" s="308" t="s">
        <v>102</v>
      </c>
      <c r="C23" s="309">
        <v>1.5</v>
      </c>
      <c r="D23" s="309">
        <f>C23/12</f>
        <v>0.125</v>
      </c>
      <c r="E23" s="310">
        <f>C7*$D23</f>
        <v>26250</v>
      </c>
      <c r="F23" s="310">
        <f>D7*$D23</f>
        <v>40000</v>
      </c>
      <c r="I23" s="7"/>
      <c r="J23" s="7"/>
      <c r="K23" s="7"/>
      <c r="L23" s="7"/>
      <c r="M23" s="7"/>
      <c r="N23" s="8"/>
    </row>
    <row r="24" spans="1:18" x14ac:dyDescent="0.3">
      <c r="A24" s="7"/>
      <c r="B24" s="308" t="s">
        <v>103</v>
      </c>
      <c r="C24" s="309">
        <f>C23+3</f>
        <v>4.5</v>
      </c>
      <c r="D24" s="309">
        <f>C24/12</f>
        <v>0.375</v>
      </c>
      <c r="E24" s="310">
        <f t="shared" ref="E24:E26" si="0">C8*$D24</f>
        <v>75187.5</v>
      </c>
      <c r="F24" s="310">
        <f t="shared" ref="F24:F26" si="1">D8*$D24</f>
        <v>121875</v>
      </c>
      <c r="I24" s="7"/>
      <c r="J24" s="7"/>
      <c r="K24" s="7"/>
      <c r="L24" s="7"/>
      <c r="M24" s="7"/>
      <c r="N24" s="8"/>
    </row>
    <row r="25" spans="1:18" x14ac:dyDescent="0.3">
      <c r="B25" s="308" t="s">
        <v>104</v>
      </c>
      <c r="C25" s="309">
        <f t="shared" ref="C25:C26" si="2">C24+3</f>
        <v>7.5</v>
      </c>
      <c r="D25" s="309">
        <f>C25/12</f>
        <v>0.625</v>
      </c>
      <c r="E25" s="310">
        <f t="shared" si="0"/>
        <v>123437.5</v>
      </c>
      <c r="F25" s="310">
        <f t="shared" si="1"/>
        <v>206250</v>
      </c>
      <c r="M25" s="8"/>
      <c r="N25" s="8"/>
    </row>
    <row r="26" spans="1:18" x14ac:dyDescent="0.3">
      <c r="B26" s="312" t="s">
        <v>105</v>
      </c>
      <c r="C26" s="215">
        <f t="shared" si="2"/>
        <v>10.5</v>
      </c>
      <c r="D26" s="215">
        <f>C26/12</f>
        <v>0.875</v>
      </c>
      <c r="E26" s="313">
        <f t="shared" si="0"/>
        <v>179462.5</v>
      </c>
      <c r="F26" s="313">
        <f t="shared" si="1"/>
        <v>281750</v>
      </c>
      <c r="M26" s="8"/>
      <c r="N26" s="8"/>
    </row>
    <row r="27" spans="1:18" x14ac:dyDescent="0.3">
      <c r="B27" s="311" t="s">
        <v>663</v>
      </c>
      <c r="C27" s="311"/>
      <c r="D27" s="311"/>
      <c r="E27" s="310">
        <f>SUM(E23:E26)</f>
        <v>404337.5</v>
      </c>
      <c r="F27" s="310">
        <f>SUM(F23:F26)</f>
        <v>649875</v>
      </c>
      <c r="M27" s="8"/>
      <c r="N27" s="8"/>
    </row>
    <row r="28" spans="1:18" x14ac:dyDescent="0.3">
      <c r="M28" s="8"/>
      <c r="N28" s="8"/>
    </row>
    <row r="29" spans="1:18" x14ac:dyDescent="0.3">
      <c r="A29" s="12" t="s">
        <v>110</v>
      </c>
      <c r="B29" s="12"/>
      <c r="C29" s="12"/>
      <c r="D29" s="12"/>
      <c r="E29" s="12"/>
      <c r="F29" s="12"/>
      <c r="G29" s="12"/>
      <c r="H29" s="12"/>
      <c r="I29" s="12"/>
      <c r="J29" s="12"/>
      <c r="K29" s="4"/>
      <c r="L29" s="3"/>
      <c r="M29" s="8"/>
      <c r="N29" s="8"/>
    </row>
    <row r="30" spans="1:18" x14ac:dyDescent="0.3">
      <c r="A30" s="12"/>
      <c r="B30" s="12"/>
      <c r="C30" s="12"/>
      <c r="D30" s="12"/>
      <c r="E30" s="12"/>
      <c r="F30" s="12"/>
      <c r="G30" s="12"/>
      <c r="H30" s="12"/>
      <c r="I30" s="12"/>
      <c r="J30" s="12"/>
      <c r="K30" s="4"/>
      <c r="L30" s="3"/>
      <c r="M30" s="8"/>
      <c r="N30" s="8"/>
    </row>
    <row r="31" spans="1:18" x14ac:dyDescent="0.3">
      <c r="A31" s="12"/>
      <c r="B31" s="324" t="s">
        <v>111</v>
      </c>
      <c r="C31" s="324"/>
      <c r="D31" s="324"/>
      <c r="E31" s="12"/>
      <c r="F31" s="12"/>
      <c r="G31" s="12"/>
      <c r="H31" s="12"/>
      <c r="I31" s="12"/>
      <c r="J31" s="12"/>
      <c r="K31" s="4"/>
      <c r="L31" s="3"/>
      <c r="M31" s="8"/>
      <c r="N31" s="8"/>
    </row>
    <row r="32" spans="1:18" x14ac:dyDescent="0.3">
      <c r="A32" s="12"/>
      <c r="B32" s="38"/>
      <c r="C32" s="14" t="s">
        <v>100</v>
      </c>
      <c r="D32" s="14" t="s">
        <v>101</v>
      </c>
      <c r="E32" s="12"/>
      <c r="F32" s="12"/>
      <c r="G32" s="12"/>
      <c r="H32" s="12"/>
      <c r="I32" s="12"/>
      <c r="J32" s="12"/>
      <c r="K32" s="4"/>
      <c r="L32" s="3"/>
      <c r="M32" s="8"/>
      <c r="N32" s="8"/>
    </row>
    <row r="33" spans="1:14" x14ac:dyDescent="0.3">
      <c r="A33" s="12"/>
      <c r="B33" s="15" t="s">
        <v>102</v>
      </c>
      <c r="C33" s="24">
        <v>0.73599999999999999</v>
      </c>
      <c r="D33" s="24">
        <v>0.71199999999999997</v>
      </c>
      <c r="E33" s="12"/>
      <c r="F33" s="12"/>
      <c r="G33" s="12"/>
      <c r="H33" s="12"/>
      <c r="I33" s="12"/>
      <c r="J33" s="12"/>
      <c r="K33" s="4"/>
      <c r="L33" s="3"/>
      <c r="M33" s="8"/>
      <c r="N33" s="8"/>
    </row>
    <row r="34" spans="1:14" x14ac:dyDescent="0.3">
      <c r="A34" s="12"/>
      <c r="B34" s="15" t="s">
        <v>103</v>
      </c>
      <c r="C34" s="24">
        <v>0.71899999999999997</v>
      </c>
      <c r="D34" s="24">
        <v>0.72499999999999998</v>
      </c>
      <c r="E34" s="12"/>
      <c r="F34" s="12"/>
      <c r="G34" s="12"/>
      <c r="H34" s="12"/>
      <c r="I34" s="12"/>
      <c r="J34" s="12"/>
      <c r="K34" s="4"/>
      <c r="L34" s="3"/>
      <c r="M34" s="8"/>
      <c r="N34" s="8"/>
    </row>
    <row r="35" spans="1:14" x14ac:dyDescent="0.3">
      <c r="A35" s="12"/>
      <c r="B35" s="15" t="s">
        <v>104</v>
      </c>
      <c r="C35" s="24">
        <v>0.71499999999999997</v>
      </c>
      <c r="D35" s="24">
        <v>0.77700000000000002</v>
      </c>
      <c r="E35" s="12"/>
      <c r="F35" s="12"/>
      <c r="G35" s="12"/>
      <c r="H35" s="12"/>
      <c r="I35" s="12"/>
      <c r="J35" s="12"/>
      <c r="K35" s="4"/>
      <c r="L35" s="3"/>
      <c r="M35" s="8"/>
      <c r="N35" s="8"/>
    </row>
    <row r="36" spans="1:14" x14ac:dyDescent="0.3">
      <c r="A36" s="12"/>
      <c r="B36" s="15" t="s">
        <v>105</v>
      </c>
      <c r="C36" s="24">
        <v>0.73099999999999998</v>
      </c>
      <c r="D36" s="24">
        <v>0.69799999999999995</v>
      </c>
      <c r="E36" s="12"/>
      <c r="F36" s="12"/>
      <c r="G36" s="12"/>
      <c r="H36" s="12"/>
      <c r="I36" s="12"/>
      <c r="J36" s="12"/>
      <c r="K36" s="4"/>
      <c r="L36" s="3"/>
      <c r="M36" s="8"/>
      <c r="N36" s="8"/>
    </row>
    <row r="37" spans="1:14" x14ac:dyDescent="0.3">
      <c r="A37" s="12"/>
      <c r="B37" s="12"/>
      <c r="C37" s="12"/>
      <c r="D37" s="12"/>
      <c r="E37" s="12"/>
      <c r="F37" s="12"/>
      <c r="G37" s="12"/>
      <c r="H37" s="12"/>
      <c r="I37" s="12"/>
      <c r="J37" s="12"/>
      <c r="K37" s="4"/>
      <c r="L37" s="3"/>
      <c r="M37" s="8"/>
      <c r="N37" s="8"/>
    </row>
    <row r="38" spans="1:14" x14ac:dyDescent="0.3">
      <c r="A38" s="12"/>
      <c r="B38" s="324" t="s">
        <v>112</v>
      </c>
      <c r="C38" s="324"/>
      <c r="D38" s="324"/>
      <c r="E38" s="12"/>
      <c r="F38" s="12"/>
      <c r="G38" s="12"/>
      <c r="H38" s="12"/>
      <c r="I38" s="12"/>
      <c r="J38" s="12"/>
      <c r="K38" s="4"/>
      <c r="L38" s="3"/>
      <c r="M38" s="8"/>
      <c r="N38" s="8"/>
    </row>
    <row r="39" spans="1:14" x14ac:dyDescent="0.3">
      <c r="A39" s="12"/>
      <c r="B39" s="38"/>
      <c r="C39" s="14" t="s">
        <v>100</v>
      </c>
      <c r="D39" s="14" t="s">
        <v>101</v>
      </c>
      <c r="E39" s="12"/>
      <c r="F39" s="12"/>
      <c r="G39" s="12"/>
      <c r="H39" s="12"/>
      <c r="I39" s="12"/>
      <c r="J39" s="12"/>
      <c r="K39" s="4"/>
      <c r="L39" s="3"/>
      <c r="M39" s="8"/>
      <c r="N39" s="8"/>
    </row>
    <row r="40" spans="1:14" x14ac:dyDescent="0.3">
      <c r="A40" s="12"/>
      <c r="B40" s="15" t="s">
        <v>113</v>
      </c>
      <c r="C40" s="24">
        <v>0.72</v>
      </c>
      <c r="D40" s="24">
        <v>0.7</v>
      </c>
      <c r="E40" s="12"/>
      <c r="F40" s="12"/>
      <c r="G40" s="12"/>
      <c r="H40" s="12"/>
      <c r="I40" s="12"/>
      <c r="J40" s="12"/>
      <c r="K40" s="4"/>
      <c r="L40" s="3"/>
      <c r="M40" s="8"/>
      <c r="N40" s="8"/>
    </row>
    <row r="41" spans="1:14" x14ac:dyDescent="0.3">
      <c r="A41" s="12"/>
      <c r="B41" s="15" t="s">
        <v>114</v>
      </c>
      <c r="C41" s="24">
        <v>0.72</v>
      </c>
      <c r="D41" s="24">
        <v>0.7</v>
      </c>
      <c r="E41" s="12"/>
      <c r="F41" s="12"/>
      <c r="G41" s="12"/>
      <c r="H41" s="12"/>
      <c r="I41" s="12"/>
      <c r="J41" s="12"/>
      <c r="K41" s="4"/>
      <c r="L41" s="3"/>
      <c r="M41" s="8"/>
      <c r="N41" s="8"/>
    </row>
    <row r="42" spans="1:14" x14ac:dyDescent="0.3">
      <c r="A42" s="12"/>
      <c r="B42" s="15" t="s">
        <v>115</v>
      </c>
      <c r="C42" s="24">
        <v>0.72</v>
      </c>
      <c r="D42" s="24">
        <v>0.8</v>
      </c>
      <c r="E42" s="12"/>
      <c r="F42" s="12"/>
      <c r="G42" s="12"/>
      <c r="H42" s="12"/>
      <c r="I42" s="12"/>
      <c r="J42" s="12"/>
      <c r="K42" s="4"/>
      <c r="L42" s="3"/>
      <c r="M42" s="8"/>
      <c r="N42" s="8"/>
    </row>
    <row r="43" spans="1:14" x14ac:dyDescent="0.3">
      <c r="A43" s="12"/>
      <c r="B43" s="15" t="s">
        <v>116</v>
      </c>
      <c r="C43" s="24">
        <v>0.72</v>
      </c>
      <c r="D43" s="24">
        <v>0.7</v>
      </c>
      <c r="E43" s="12"/>
      <c r="F43" s="12"/>
      <c r="G43" s="12"/>
      <c r="H43" s="12"/>
      <c r="I43" s="12"/>
      <c r="J43" s="12"/>
      <c r="K43" s="4"/>
      <c r="L43" s="3"/>
      <c r="M43" s="8"/>
      <c r="N43" s="8"/>
    </row>
    <row r="44" spans="1:14" x14ac:dyDescent="0.3">
      <c r="A44" s="12"/>
      <c r="B44" s="12"/>
      <c r="C44" s="12"/>
      <c r="D44" s="12"/>
      <c r="E44" s="12"/>
      <c r="F44" s="12"/>
      <c r="G44" s="12"/>
      <c r="H44" s="12"/>
      <c r="I44" s="12"/>
      <c r="J44" s="12"/>
      <c r="K44" s="4"/>
      <c r="L44" s="3"/>
      <c r="M44" s="8"/>
      <c r="N44" s="8"/>
    </row>
    <row r="45" spans="1:14" x14ac:dyDescent="0.3">
      <c r="A45" s="12" t="s">
        <v>330</v>
      </c>
      <c r="B45" s="12"/>
      <c r="C45" s="12"/>
      <c r="D45" s="12"/>
      <c r="E45" s="12"/>
      <c r="F45" s="12"/>
      <c r="G45" s="12"/>
      <c r="H45" s="12"/>
      <c r="I45" s="12"/>
      <c r="J45" s="12"/>
      <c r="K45" s="4"/>
      <c r="L45" s="3"/>
      <c r="M45" s="8"/>
      <c r="N45" s="8"/>
    </row>
    <row r="46" spans="1:14" x14ac:dyDescent="0.3">
      <c r="A46" s="12" t="s">
        <v>117</v>
      </c>
      <c r="B46" s="12"/>
      <c r="C46" s="12"/>
      <c r="D46" s="12"/>
      <c r="E46" s="12"/>
      <c r="F46" s="12"/>
      <c r="G46" s="12"/>
      <c r="H46" s="12"/>
      <c r="I46" s="12"/>
      <c r="J46" s="12"/>
      <c r="K46" s="4"/>
      <c r="L46" s="3"/>
      <c r="M46" s="8"/>
      <c r="N46" s="8"/>
    </row>
    <row r="47" spans="1:14" x14ac:dyDescent="0.3">
      <c r="A47" s="12"/>
      <c r="B47" s="12"/>
      <c r="C47" s="83"/>
      <c r="D47" s="12"/>
      <c r="E47" s="12"/>
      <c r="F47" s="84"/>
      <c r="G47" s="12"/>
      <c r="H47" s="12"/>
      <c r="I47" s="12"/>
      <c r="J47" s="12"/>
      <c r="K47" s="4"/>
      <c r="L47" s="3"/>
      <c r="M47" s="8"/>
      <c r="N47" s="8"/>
    </row>
    <row r="48" spans="1:14" x14ac:dyDescent="0.3">
      <c r="A48" s="12"/>
      <c r="B48" s="336" t="s">
        <v>383</v>
      </c>
      <c r="C48" s="93">
        <v>7.4999999999999997E-2</v>
      </c>
      <c r="D48" s="97" t="s">
        <v>385</v>
      </c>
      <c r="E48" s="98"/>
      <c r="F48" s="84"/>
      <c r="G48" s="12"/>
      <c r="H48" s="12"/>
      <c r="I48" s="12"/>
      <c r="J48" s="12"/>
      <c r="K48" s="4"/>
      <c r="L48" s="3"/>
      <c r="M48" s="8"/>
      <c r="N48" s="8"/>
    </row>
    <row r="49" spans="1:14" x14ac:dyDescent="0.3">
      <c r="A49" s="12"/>
      <c r="B49" s="336"/>
      <c r="C49" s="93">
        <v>0.1</v>
      </c>
      <c r="D49" s="97" t="s">
        <v>386</v>
      </c>
      <c r="E49" s="98"/>
      <c r="F49" s="84"/>
      <c r="G49" s="12"/>
      <c r="H49" s="12"/>
      <c r="I49" s="12"/>
      <c r="J49" s="12"/>
      <c r="K49" s="4"/>
      <c r="L49" s="3"/>
      <c r="M49" s="8"/>
      <c r="N49" s="8"/>
    </row>
    <row r="50" spans="1:14" x14ac:dyDescent="0.3">
      <c r="A50" s="12"/>
      <c r="B50" s="95" t="s">
        <v>384</v>
      </c>
      <c r="C50" s="93">
        <v>0.05</v>
      </c>
      <c r="D50" s="97" t="s">
        <v>387</v>
      </c>
      <c r="E50" s="98"/>
      <c r="F50" s="84"/>
      <c r="G50" s="12"/>
      <c r="H50" s="12"/>
      <c r="I50" s="12"/>
      <c r="J50" s="12"/>
      <c r="K50" s="4"/>
      <c r="L50" s="3"/>
      <c r="M50" s="8"/>
      <c r="N50" s="8"/>
    </row>
    <row r="51" spans="1:14" ht="31.2" x14ac:dyDescent="0.3">
      <c r="A51" s="12"/>
      <c r="B51" s="100" t="s">
        <v>388</v>
      </c>
      <c r="C51" s="101">
        <v>0.15</v>
      </c>
      <c r="D51" s="102" t="s">
        <v>387</v>
      </c>
      <c r="E51" s="98"/>
      <c r="F51" s="84"/>
      <c r="G51" s="12"/>
      <c r="H51" s="12"/>
      <c r="I51" s="12"/>
      <c r="J51" s="12"/>
      <c r="K51" s="4"/>
      <c r="L51" s="3"/>
      <c r="M51" s="8"/>
      <c r="N51" s="8"/>
    </row>
    <row r="52" spans="1:14" x14ac:dyDescent="0.3">
      <c r="A52" s="12"/>
      <c r="B52" s="12"/>
      <c r="C52" s="12"/>
      <c r="D52" s="84"/>
      <c r="E52" s="12"/>
      <c r="F52" s="12"/>
      <c r="G52" s="12"/>
      <c r="H52" s="12"/>
      <c r="I52" s="12"/>
      <c r="J52" s="12"/>
      <c r="K52" s="4"/>
      <c r="L52" s="3"/>
      <c r="M52" s="8"/>
      <c r="N52" s="8"/>
    </row>
    <row r="53" spans="1:14" x14ac:dyDescent="0.3">
      <c r="A53" s="12" t="s">
        <v>118</v>
      </c>
      <c r="B53" s="12"/>
      <c r="C53" s="12"/>
      <c r="D53" s="12"/>
      <c r="E53" s="12"/>
      <c r="F53" s="12"/>
      <c r="G53" s="12"/>
      <c r="H53" s="12"/>
      <c r="I53" s="12"/>
      <c r="J53" s="12"/>
      <c r="K53" s="4"/>
      <c r="L53" s="3"/>
      <c r="M53" s="8"/>
      <c r="N53" s="8"/>
    </row>
    <row r="54" spans="1:14" x14ac:dyDescent="0.3">
      <c r="A54" s="13"/>
      <c r="B54" s="12"/>
      <c r="C54" s="12"/>
      <c r="D54" s="12"/>
      <c r="E54" s="12"/>
      <c r="F54" s="12"/>
      <c r="G54" s="12"/>
      <c r="H54" s="10"/>
      <c r="I54" s="10"/>
      <c r="J54" s="10"/>
      <c r="K54" s="10"/>
      <c r="L54" s="10"/>
      <c r="M54" s="8"/>
      <c r="N54" s="8"/>
    </row>
    <row r="56" spans="1:14" x14ac:dyDescent="0.3">
      <c r="A56" s="6" t="s">
        <v>5</v>
      </c>
      <c r="B56" s="4" t="s">
        <v>119</v>
      </c>
      <c r="C56" s="4"/>
      <c r="D56" s="4"/>
      <c r="E56" s="4"/>
      <c r="F56" s="4"/>
      <c r="G56" s="4"/>
      <c r="H56" s="4"/>
      <c r="I56" s="4"/>
      <c r="J56" s="4"/>
      <c r="K56" s="4"/>
      <c r="L56" s="4"/>
    </row>
    <row r="57" spans="1:14" x14ac:dyDescent="0.3">
      <c r="A57" s="3"/>
      <c r="B57" s="3"/>
      <c r="C57" s="3"/>
      <c r="D57" s="3"/>
      <c r="E57" s="3"/>
      <c r="F57" s="3"/>
      <c r="G57" s="4"/>
      <c r="H57" s="4"/>
      <c r="I57" s="4"/>
      <c r="J57" s="4"/>
      <c r="K57" s="4"/>
      <c r="L57" s="4"/>
    </row>
    <row r="58" spans="1:14" x14ac:dyDescent="0.3">
      <c r="A58" s="7"/>
      <c r="B58" s="7"/>
      <c r="C58" s="7"/>
      <c r="D58" s="7"/>
      <c r="E58" s="7"/>
      <c r="F58" s="7"/>
      <c r="G58" s="7"/>
      <c r="H58" s="7"/>
      <c r="I58" s="7"/>
      <c r="J58" s="7"/>
      <c r="K58" s="7"/>
      <c r="L58" s="7"/>
    </row>
    <row r="59" spans="1:14" x14ac:dyDescent="0.3">
      <c r="A59" s="7" t="s">
        <v>1</v>
      </c>
      <c r="B59" s="7"/>
      <c r="C59" s="7"/>
      <c r="D59" s="7"/>
      <c r="E59" s="7"/>
      <c r="F59" s="7"/>
      <c r="G59" s="7"/>
      <c r="H59" s="7"/>
      <c r="I59" s="7"/>
      <c r="J59" s="7"/>
      <c r="K59" s="7"/>
      <c r="L59" s="7"/>
    </row>
    <row r="60" spans="1:14" x14ac:dyDescent="0.3">
      <c r="A60" s="7"/>
      <c r="B60" s="338" t="s">
        <v>672</v>
      </c>
      <c r="C60" s="338"/>
      <c r="D60" s="338"/>
      <c r="E60" s="338"/>
      <c r="F60" s="338"/>
      <c r="G60" s="338"/>
      <c r="H60" s="7"/>
      <c r="I60" s="7"/>
      <c r="J60" s="7"/>
    </row>
    <row r="61" spans="1:14" ht="31.2" x14ac:dyDescent="0.3">
      <c r="A61" s="7"/>
      <c r="B61" s="303" t="s">
        <v>98</v>
      </c>
      <c r="C61" s="305" t="s">
        <v>664</v>
      </c>
      <c r="D61" s="305" t="s">
        <v>665</v>
      </c>
      <c r="E61" s="305" t="s">
        <v>666</v>
      </c>
      <c r="F61" s="305" t="s">
        <v>667</v>
      </c>
      <c r="G61" s="303" t="s">
        <v>668</v>
      </c>
      <c r="H61" s="7"/>
      <c r="I61" s="7"/>
      <c r="J61" s="7"/>
    </row>
    <row r="62" spans="1:14" x14ac:dyDescent="0.3">
      <c r="B62" s="304" t="s">
        <v>102</v>
      </c>
      <c r="C62" s="305">
        <v>1.5</v>
      </c>
      <c r="D62" s="305"/>
      <c r="E62" s="305"/>
      <c r="F62" s="305"/>
      <c r="G62" s="305">
        <f>SUM(C62:F62)</f>
        <v>1.5</v>
      </c>
    </row>
    <row r="63" spans="1:14" x14ac:dyDescent="0.3">
      <c r="B63" s="304" t="s">
        <v>103</v>
      </c>
      <c r="C63" s="305">
        <v>3</v>
      </c>
      <c r="D63" s="305">
        <v>1.5</v>
      </c>
      <c r="E63" s="305"/>
      <c r="F63" s="305"/>
      <c r="G63" s="305">
        <f t="shared" ref="G63:G65" si="3">SUM(C63:F63)</f>
        <v>4.5</v>
      </c>
    </row>
    <row r="64" spans="1:14" x14ac:dyDescent="0.3">
      <c r="B64" s="304" t="s">
        <v>104</v>
      </c>
      <c r="C64" s="305">
        <v>3</v>
      </c>
      <c r="D64" s="305">
        <v>3</v>
      </c>
      <c r="E64" s="305">
        <v>1.5</v>
      </c>
      <c r="F64" s="305"/>
      <c r="G64" s="305">
        <f t="shared" si="3"/>
        <v>7.5</v>
      </c>
    </row>
    <row r="65" spans="2:8" x14ac:dyDescent="0.3">
      <c r="B65" s="304" t="s">
        <v>105</v>
      </c>
      <c r="C65" s="305">
        <v>3</v>
      </c>
      <c r="D65" s="305">
        <v>3</v>
      </c>
      <c r="E65" s="305">
        <v>3</v>
      </c>
      <c r="F65" s="305">
        <v>1.5</v>
      </c>
      <c r="G65" s="305">
        <f t="shared" si="3"/>
        <v>10.5</v>
      </c>
    </row>
    <row r="67" spans="2:8" x14ac:dyDescent="0.3">
      <c r="B67" s="338" t="s">
        <v>669</v>
      </c>
      <c r="C67" s="338"/>
      <c r="D67" s="338"/>
      <c r="E67" s="338"/>
      <c r="F67" s="338"/>
      <c r="G67" s="338"/>
    </row>
    <row r="68" spans="2:8" x14ac:dyDescent="0.3">
      <c r="B68" s="303" t="s">
        <v>98</v>
      </c>
      <c r="C68" s="305" t="s">
        <v>664</v>
      </c>
      <c r="D68" s="305" t="s">
        <v>665</v>
      </c>
      <c r="E68" s="305" t="s">
        <v>666</v>
      </c>
      <c r="F68" s="305" t="s">
        <v>667</v>
      </c>
      <c r="G68" s="305" t="s">
        <v>31</v>
      </c>
    </row>
    <row r="69" spans="2:8" x14ac:dyDescent="0.3">
      <c r="B69" s="304" t="s">
        <v>102</v>
      </c>
      <c r="C69" s="314">
        <f>$F23*C62/$G62</f>
        <v>40000</v>
      </c>
      <c r="D69" s="314"/>
      <c r="E69" s="314"/>
      <c r="F69" s="314"/>
      <c r="G69" s="315">
        <f>SUM(C69:F69)</f>
        <v>40000</v>
      </c>
    </row>
    <row r="70" spans="2:8" x14ac:dyDescent="0.3">
      <c r="B70" s="304" t="s">
        <v>103</v>
      </c>
      <c r="C70" s="314">
        <f>$F24*C63/$G63</f>
        <v>81250</v>
      </c>
      <c r="D70" s="314">
        <f>$F24*D63/$G63</f>
        <v>40625</v>
      </c>
      <c r="E70" s="314"/>
      <c r="F70" s="314"/>
      <c r="G70" s="315">
        <f>SUM(C70:F70)</f>
        <v>121875</v>
      </c>
    </row>
    <row r="71" spans="2:8" x14ac:dyDescent="0.3">
      <c r="B71" s="304" t="s">
        <v>104</v>
      </c>
      <c r="C71" s="314">
        <f>$F25*C64/$G64</f>
        <v>82500</v>
      </c>
      <c r="D71" s="314">
        <f>$F25*D64/$G64</f>
        <v>82500</v>
      </c>
      <c r="E71" s="314">
        <f>$F25*E64/$G64</f>
        <v>41250</v>
      </c>
      <c r="F71" s="314"/>
      <c r="G71" s="315">
        <f>SUM(C71:F71)</f>
        <v>206250</v>
      </c>
    </row>
    <row r="72" spans="2:8" x14ac:dyDescent="0.3">
      <c r="B72" s="304" t="s">
        <v>105</v>
      </c>
      <c r="C72" s="314">
        <f>$F26*C65/$G65</f>
        <v>80500</v>
      </c>
      <c r="D72" s="314">
        <f>$F26*D65/$G65</f>
        <v>80500</v>
      </c>
      <c r="E72" s="314">
        <f>$F26*E65/$G65</f>
        <v>80500</v>
      </c>
      <c r="F72" s="314">
        <f>$F26*F65/$G65</f>
        <v>40250</v>
      </c>
      <c r="G72" s="315">
        <f>SUM(C72:F72)</f>
        <v>281750</v>
      </c>
    </row>
    <row r="73" spans="2:8" x14ac:dyDescent="0.3">
      <c r="B73" s="305" t="s">
        <v>31</v>
      </c>
      <c r="C73" s="314">
        <f>SUM(C69:C72)</f>
        <v>284250</v>
      </c>
      <c r="D73" s="314">
        <f>SUM(D69:D72)</f>
        <v>203625</v>
      </c>
      <c r="E73" s="314">
        <f>SUM(E69:E72)</f>
        <v>121750</v>
      </c>
      <c r="F73" s="314">
        <f>SUM(F69:F72)</f>
        <v>40250</v>
      </c>
      <c r="G73" s="314">
        <f>SUM(G69:G72)</f>
        <v>649875</v>
      </c>
    </row>
    <row r="74" spans="2:8" x14ac:dyDescent="0.3">
      <c r="B74" s="316" t="s">
        <v>670</v>
      </c>
      <c r="C74" s="317">
        <f>D40</f>
        <v>0.7</v>
      </c>
      <c r="D74" s="317">
        <f>D41</f>
        <v>0.7</v>
      </c>
      <c r="E74" s="317">
        <f>D42</f>
        <v>0.8</v>
      </c>
      <c r="F74" s="317">
        <f>D43</f>
        <v>0.7</v>
      </c>
      <c r="G74" s="305"/>
    </row>
    <row r="75" spans="2:8" x14ac:dyDescent="0.3">
      <c r="B75" s="316" t="s">
        <v>671</v>
      </c>
      <c r="C75" s="314">
        <f>C73*C74</f>
        <v>198975</v>
      </c>
      <c r="D75" s="314">
        <f t="shared" ref="D75:F75" si="4">D73*D74</f>
        <v>142537.5</v>
      </c>
      <c r="E75" s="314">
        <f t="shared" si="4"/>
        <v>97400</v>
      </c>
      <c r="F75" s="314">
        <f t="shared" si="4"/>
        <v>28175</v>
      </c>
      <c r="G75" s="314">
        <f>SUM(C75:F75)</f>
        <v>467087.5</v>
      </c>
    </row>
    <row r="77" spans="2:8" x14ac:dyDescent="0.3">
      <c r="B77" s="318" t="s">
        <v>673</v>
      </c>
      <c r="C77" s="318"/>
      <c r="D77" s="318"/>
      <c r="E77" s="318"/>
      <c r="F77" s="318"/>
      <c r="G77" s="319">
        <f>C40*E27</f>
        <v>291123</v>
      </c>
      <c r="H77" s="269"/>
    </row>
    <row r="78" spans="2:8" x14ac:dyDescent="0.3">
      <c r="B78" s="269"/>
      <c r="C78" s="269"/>
      <c r="D78" s="269"/>
      <c r="E78" s="269"/>
      <c r="F78" s="269"/>
      <c r="G78" s="269"/>
      <c r="H78" s="269"/>
    </row>
    <row r="79" spans="2:8" x14ac:dyDescent="0.3">
      <c r="B79" s="7"/>
      <c r="C79" s="214" t="s">
        <v>100</v>
      </c>
      <c r="D79" s="320" t="s">
        <v>101</v>
      </c>
    </row>
    <row r="80" spans="2:8" x14ac:dyDescent="0.3">
      <c r="B80" s="7" t="s">
        <v>674</v>
      </c>
      <c r="C80" s="279">
        <f>E27</f>
        <v>404337.5</v>
      </c>
      <c r="D80" s="279">
        <f>F27</f>
        <v>649875</v>
      </c>
    </row>
    <row r="81" spans="1:12" x14ac:dyDescent="0.3">
      <c r="B81" s="7" t="s">
        <v>675</v>
      </c>
      <c r="C81" s="279">
        <f>G77</f>
        <v>291123</v>
      </c>
      <c r="D81" s="279">
        <f>G75</f>
        <v>467087.5</v>
      </c>
    </row>
    <row r="82" spans="1:12" x14ac:dyDescent="0.3">
      <c r="B82" s="7"/>
      <c r="C82" s="7"/>
      <c r="D82" s="321"/>
    </row>
    <row r="83" spans="1:12" x14ac:dyDescent="0.3">
      <c r="B83" s="7"/>
      <c r="C83" s="151">
        <f>C48</f>
        <v>7.4999999999999997E-2</v>
      </c>
      <c r="D83" s="151">
        <f>C49</f>
        <v>0.1</v>
      </c>
    </row>
    <row r="84" spans="1:12" x14ac:dyDescent="0.3">
      <c r="B84" s="7" t="s">
        <v>383</v>
      </c>
      <c r="C84" s="279">
        <f>C81*C83</f>
        <v>21834.224999999999</v>
      </c>
      <c r="D84" s="279">
        <f>D81*D83</f>
        <v>46708.75</v>
      </c>
    </row>
    <row r="85" spans="1:12" x14ac:dyDescent="0.3">
      <c r="B85" s="7" t="s">
        <v>676</v>
      </c>
      <c r="C85" s="279">
        <f>$C50*C80</f>
        <v>20216.875</v>
      </c>
      <c r="D85" s="279">
        <f>$C50*D80</f>
        <v>32493.75</v>
      </c>
    </row>
    <row r="86" spans="1:12" x14ac:dyDescent="0.3">
      <c r="B86" s="7" t="s">
        <v>677</v>
      </c>
      <c r="C86" s="279">
        <f>C81+C84+C85</f>
        <v>333174.09999999998</v>
      </c>
      <c r="D86" s="279">
        <f>D81+D84+D85</f>
        <v>546290</v>
      </c>
    </row>
    <row r="87" spans="1:12" x14ac:dyDescent="0.3">
      <c r="B87" s="7"/>
      <c r="C87" s="279"/>
      <c r="D87" s="279"/>
    </row>
    <row r="88" spans="1:12" x14ac:dyDescent="0.3">
      <c r="B88" s="7" t="s">
        <v>678</v>
      </c>
      <c r="C88" s="279">
        <f>C80-C86</f>
        <v>71163.400000000023</v>
      </c>
      <c r="D88" s="279">
        <f>D80-D86</f>
        <v>103585</v>
      </c>
    </row>
    <row r="90" spans="1:12" x14ac:dyDescent="0.3">
      <c r="A90" s="335" t="s">
        <v>331</v>
      </c>
      <c r="B90" s="335"/>
      <c r="C90" s="335"/>
      <c r="D90" s="335"/>
      <c r="E90" s="335"/>
      <c r="F90" s="335"/>
      <c r="G90" s="335"/>
      <c r="H90" s="335"/>
      <c r="I90" s="335"/>
      <c r="J90" s="335"/>
      <c r="K90" s="335"/>
      <c r="L90" s="10"/>
    </row>
    <row r="91" spans="1:12" x14ac:dyDescent="0.3">
      <c r="A91" s="335"/>
      <c r="B91" s="335"/>
      <c r="C91" s="335"/>
      <c r="D91" s="335"/>
      <c r="E91" s="335"/>
      <c r="F91" s="335"/>
      <c r="G91" s="335"/>
      <c r="H91" s="335"/>
      <c r="I91" s="335"/>
      <c r="J91" s="335"/>
      <c r="K91" s="335"/>
      <c r="L91" s="10"/>
    </row>
    <row r="92" spans="1:12" x14ac:dyDescent="0.3">
      <c r="A92" s="13"/>
      <c r="B92" s="12"/>
      <c r="C92" s="12"/>
      <c r="D92" s="12"/>
      <c r="E92" s="12"/>
      <c r="F92" s="12"/>
      <c r="G92" s="12"/>
      <c r="H92" s="10"/>
      <c r="I92" s="10"/>
      <c r="J92" s="10"/>
      <c r="K92" s="10"/>
      <c r="L92" s="10"/>
    </row>
    <row r="94" spans="1:12" x14ac:dyDescent="0.3">
      <c r="A94" s="6" t="s">
        <v>0</v>
      </c>
      <c r="B94" s="4" t="s">
        <v>120</v>
      </c>
      <c r="C94" s="4"/>
      <c r="D94" s="4"/>
      <c r="E94" s="4"/>
      <c r="F94" s="4"/>
      <c r="G94" s="4"/>
      <c r="H94" s="4"/>
      <c r="I94" s="4"/>
      <c r="J94" s="4"/>
      <c r="K94" s="4"/>
      <c r="L94" s="4"/>
    </row>
    <row r="95" spans="1:12" x14ac:dyDescent="0.3">
      <c r="A95" s="3"/>
      <c r="B95" s="3"/>
      <c r="C95" s="3"/>
      <c r="D95" s="3"/>
      <c r="E95" s="3"/>
      <c r="F95" s="3"/>
      <c r="G95" s="4"/>
      <c r="H95" s="4"/>
      <c r="I95" s="4"/>
      <c r="J95" s="4"/>
      <c r="K95" s="4"/>
      <c r="L95" s="4"/>
    </row>
    <row r="96" spans="1:12" x14ac:dyDescent="0.3">
      <c r="A96" s="7"/>
      <c r="B96" s="7"/>
      <c r="C96" s="7"/>
      <c r="D96" s="7"/>
      <c r="E96" s="7"/>
      <c r="F96" s="7"/>
      <c r="G96" s="7"/>
      <c r="H96" s="7"/>
      <c r="I96" s="7"/>
      <c r="J96" s="7"/>
      <c r="K96" s="7"/>
      <c r="L96" s="7"/>
    </row>
    <row r="97" spans="1:14" x14ac:dyDescent="0.3">
      <c r="A97" s="7" t="s">
        <v>1</v>
      </c>
      <c r="B97" s="7"/>
      <c r="C97" s="7"/>
      <c r="D97" s="7"/>
      <c r="E97" s="7"/>
      <c r="F97" s="7"/>
      <c r="G97" s="7"/>
      <c r="H97" s="7"/>
      <c r="I97" s="7"/>
      <c r="J97" s="7"/>
      <c r="K97" s="7"/>
      <c r="L97" s="7"/>
    </row>
    <row r="98" spans="1:14" x14ac:dyDescent="0.3">
      <c r="A98" s="7"/>
      <c r="B98" s="7" t="s">
        <v>679</v>
      </c>
      <c r="C98" s="7"/>
      <c r="D98" s="7"/>
      <c r="E98" s="7"/>
      <c r="F98" s="7"/>
      <c r="G98" s="7"/>
      <c r="H98" s="7"/>
      <c r="I98" s="7"/>
      <c r="J98" s="7"/>
      <c r="K98" s="7"/>
      <c r="L98" s="7"/>
    </row>
    <row r="99" spans="1:14" x14ac:dyDescent="0.3">
      <c r="B99" s="1" t="s">
        <v>680</v>
      </c>
    </row>
    <row r="101" spans="1:14" x14ac:dyDescent="0.3">
      <c r="M101" s="7"/>
      <c r="N101" s="7"/>
    </row>
    <row r="102" spans="1:14" x14ac:dyDescent="0.3">
      <c r="M102" s="7"/>
      <c r="N102" s="7"/>
    </row>
    <row r="103" spans="1:14" x14ac:dyDescent="0.3">
      <c r="M103" s="7"/>
      <c r="N103" s="7"/>
    </row>
  </sheetData>
  <mergeCells count="9">
    <mergeCell ref="B5:B6"/>
    <mergeCell ref="C5:D5"/>
    <mergeCell ref="B31:D31"/>
    <mergeCell ref="B38:D38"/>
    <mergeCell ref="A90:K91"/>
    <mergeCell ref="B48:B49"/>
    <mergeCell ref="E21:F21"/>
    <mergeCell ref="B60:G60"/>
    <mergeCell ref="B67:G67"/>
  </mergeCells>
  <pageMargins left="0.7" right="0.7" top="0.75" bottom="0.75" header="0.3" footer="0.3"/>
  <pageSetup scale="6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B0EA-AB32-441B-9333-3D70F69B2ED3}">
  <dimension ref="A1:R110"/>
  <sheetViews>
    <sheetView zoomScaleNormal="100" workbookViewId="0"/>
  </sheetViews>
  <sheetFormatPr defaultColWidth="8.88671875" defaultRowHeight="15.6" x14ac:dyDescent="0.3"/>
  <cols>
    <col min="1" max="1" width="8.88671875" style="1" customWidth="1"/>
    <col min="2" max="6" width="14.6640625" style="1" customWidth="1"/>
    <col min="7" max="7" width="8.88671875" style="1"/>
    <col min="8" max="8" width="14.33203125" style="1" customWidth="1"/>
    <col min="9" max="16384" width="8.88671875" style="1"/>
  </cols>
  <sheetData>
    <row r="1" spans="1:12" ht="17.399999999999999" x14ac:dyDescent="0.3">
      <c r="A1" s="2" t="s">
        <v>121</v>
      </c>
      <c r="B1" s="4"/>
      <c r="C1" s="9" t="s">
        <v>21</v>
      </c>
      <c r="D1" s="4"/>
      <c r="E1" s="4"/>
      <c r="F1" s="4"/>
      <c r="G1" s="4"/>
      <c r="H1" s="4"/>
      <c r="I1" s="4"/>
      <c r="J1" s="4"/>
      <c r="K1" s="4"/>
      <c r="L1" s="3"/>
    </row>
    <row r="2" spans="1:12" x14ac:dyDescent="0.3">
      <c r="A2" s="4"/>
      <c r="B2" s="4"/>
      <c r="C2" s="4"/>
      <c r="D2" s="4"/>
      <c r="E2" s="4"/>
      <c r="F2" s="4"/>
      <c r="G2" s="4"/>
      <c r="H2" s="4"/>
      <c r="I2" s="4"/>
      <c r="J2" s="4"/>
      <c r="K2" s="4"/>
      <c r="L2" s="3"/>
    </row>
    <row r="3" spans="1:12" x14ac:dyDescent="0.3">
      <c r="A3" s="4" t="s">
        <v>123</v>
      </c>
      <c r="B3" s="4"/>
      <c r="C3" s="4"/>
      <c r="D3" s="4"/>
      <c r="E3" s="4"/>
      <c r="F3" s="4"/>
      <c r="G3" s="4"/>
      <c r="H3" s="4"/>
      <c r="I3" s="4"/>
      <c r="J3" s="4"/>
      <c r="K3" s="4"/>
      <c r="L3" s="3"/>
    </row>
    <row r="4" spans="1:12" x14ac:dyDescent="0.3">
      <c r="A4" s="4"/>
      <c r="B4" s="4"/>
      <c r="C4" s="4"/>
      <c r="D4" s="4"/>
      <c r="E4" s="4"/>
      <c r="F4" s="4"/>
      <c r="G4" s="4"/>
      <c r="H4" s="4"/>
      <c r="I4" s="4"/>
      <c r="J4" s="4"/>
      <c r="K4" s="4"/>
      <c r="L4" s="3"/>
    </row>
    <row r="6" spans="1:12" x14ac:dyDescent="0.3">
      <c r="A6" s="5" t="s">
        <v>9</v>
      </c>
      <c r="B6" s="3"/>
      <c r="C6" s="3"/>
      <c r="D6" s="3"/>
      <c r="E6" s="3"/>
      <c r="F6" s="3"/>
      <c r="G6" s="3"/>
      <c r="H6" s="3"/>
      <c r="I6" s="3"/>
      <c r="J6" s="3"/>
      <c r="K6" s="3"/>
      <c r="L6" s="3"/>
    </row>
    <row r="7" spans="1:12" x14ac:dyDescent="0.3">
      <c r="A7" s="7"/>
      <c r="B7" s="7"/>
      <c r="C7" s="7"/>
      <c r="D7" s="7"/>
      <c r="E7" s="7"/>
      <c r="F7" s="7"/>
      <c r="G7" s="7"/>
      <c r="H7" s="7"/>
      <c r="I7" s="7"/>
      <c r="J7" s="7"/>
      <c r="K7" s="7"/>
      <c r="L7" s="7"/>
    </row>
    <row r="8" spans="1:12" x14ac:dyDescent="0.3">
      <c r="A8" s="9" t="s">
        <v>122</v>
      </c>
      <c r="B8" s="9"/>
      <c r="C8" s="9"/>
      <c r="D8" s="9"/>
      <c r="E8" s="9"/>
      <c r="F8" s="9"/>
      <c r="G8" s="9"/>
      <c r="H8" s="9"/>
      <c r="I8" s="9"/>
      <c r="J8" s="9"/>
      <c r="K8" s="9"/>
      <c r="L8" s="9"/>
    </row>
    <row r="9" spans="1:12" x14ac:dyDescent="0.3">
      <c r="A9" s="9"/>
      <c r="B9" s="9"/>
      <c r="C9" s="9"/>
      <c r="D9" s="9"/>
      <c r="E9" s="9"/>
      <c r="F9" s="9"/>
      <c r="G9" s="9"/>
      <c r="H9" s="9"/>
      <c r="I9" s="9"/>
      <c r="J9" s="9"/>
      <c r="K9" s="9"/>
      <c r="L9" s="9"/>
    </row>
    <row r="10" spans="1:12" ht="46.8" x14ac:dyDescent="0.3">
      <c r="A10" s="9"/>
      <c r="B10" s="322" t="s">
        <v>37</v>
      </c>
      <c r="C10" s="325" t="s">
        <v>28</v>
      </c>
      <c r="D10" s="18" t="s">
        <v>124</v>
      </c>
      <c r="E10" s="18" t="s">
        <v>125</v>
      </c>
      <c r="F10" s="333" t="s">
        <v>126</v>
      </c>
      <c r="G10" s="9"/>
      <c r="H10" s="9"/>
      <c r="I10" s="9"/>
      <c r="J10" s="9"/>
      <c r="K10" s="9"/>
      <c r="L10" s="9"/>
    </row>
    <row r="11" spans="1:12" x14ac:dyDescent="0.3">
      <c r="A11" s="9"/>
      <c r="B11" s="322"/>
      <c r="C11" s="325"/>
      <c r="D11" s="45" t="s">
        <v>128</v>
      </c>
      <c r="E11" s="45" t="s">
        <v>128</v>
      </c>
      <c r="F11" s="333"/>
      <c r="G11" s="9"/>
      <c r="H11" s="9"/>
      <c r="I11" s="9"/>
      <c r="J11" s="9"/>
      <c r="K11" s="9"/>
      <c r="L11" s="9"/>
    </row>
    <row r="12" spans="1:12" x14ac:dyDescent="0.3">
      <c r="A12" s="9"/>
      <c r="B12" s="29">
        <v>2012</v>
      </c>
      <c r="C12" s="39">
        <v>8391</v>
      </c>
      <c r="D12" s="43">
        <v>828</v>
      </c>
      <c r="E12" s="44">
        <v>1002</v>
      </c>
      <c r="F12" s="46">
        <v>1.008</v>
      </c>
      <c r="G12" s="9"/>
      <c r="H12" s="9"/>
      <c r="I12" s="9"/>
      <c r="J12" s="9"/>
      <c r="K12" s="9"/>
      <c r="L12" s="9"/>
    </row>
    <row r="13" spans="1:12" x14ac:dyDescent="0.3">
      <c r="A13" s="9"/>
      <c r="B13" s="29">
        <v>2013</v>
      </c>
      <c r="C13" s="39">
        <v>8402</v>
      </c>
      <c r="D13" s="40">
        <v>831</v>
      </c>
      <c r="E13" s="39">
        <v>1045</v>
      </c>
      <c r="F13" s="46">
        <v>1.012</v>
      </c>
      <c r="G13" s="9"/>
      <c r="H13" s="9"/>
      <c r="I13" s="9"/>
      <c r="J13" s="9"/>
      <c r="K13" s="9"/>
      <c r="L13" s="9"/>
    </row>
    <row r="14" spans="1:12" x14ac:dyDescent="0.3">
      <c r="A14" s="9"/>
      <c r="B14" s="29">
        <v>2014</v>
      </c>
      <c r="C14" s="39">
        <v>8788</v>
      </c>
      <c r="D14" s="40">
        <v>922</v>
      </c>
      <c r="E14" s="39">
        <v>1216</v>
      </c>
      <c r="F14" s="46">
        <v>1.018</v>
      </c>
      <c r="G14" s="9"/>
      <c r="H14" s="9"/>
      <c r="I14" s="9"/>
      <c r="J14" s="9"/>
      <c r="K14" s="9"/>
      <c r="L14" s="9"/>
    </row>
    <row r="15" spans="1:12" x14ac:dyDescent="0.3">
      <c r="A15" s="9"/>
      <c r="B15" s="29">
        <v>2015</v>
      </c>
      <c r="C15" s="39">
        <v>9088</v>
      </c>
      <c r="D15" s="40">
        <v>473</v>
      </c>
      <c r="E15" s="40">
        <v>664</v>
      </c>
      <c r="F15" s="46">
        <v>1.024</v>
      </c>
      <c r="G15" s="9"/>
      <c r="H15" s="9"/>
      <c r="I15" s="9"/>
      <c r="J15" s="9"/>
      <c r="K15" s="9"/>
      <c r="L15" s="9"/>
    </row>
    <row r="16" spans="1:12" x14ac:dyDescent="0.3">
      <c r="A16" s="9"/>
      <c r="B16" s="29">
        <v>2016</v>
      </c>
      <c r="C16" s="39">
        <v>9325</v>
      </c>
      <c r="D16" s="40">
        <v>467</v>
      </c>
      <c r="E16" s="40">
        <v>710</v>
      </c>
      <c r="F16" s="46">
        <v>1.032</v>
      </c>
      <c r="G16" s="9"/>
      <c r="H16" s="9"/>
      <c r="I16" s="9"/>
      <c r="J16" s="9"/>
      <c r="K16" s="9"/>
      <c r="L16" s="9"/>
    </row>
    <row r="17" spans="1:18" x14ac:dyDescent="0.3">
      <c r="A17" s="9"/>
      <c r="B17" s="29">
        <v>2017</v>
      </c>
      <c r="C17" s="39">
        <v>9704</v>
      </c>
      <c r="D17" s="40">
        <v>353</v>
      </c>
      <c r="E17" s="40">
        <v>593</v>
      </c>
      <c r="F17" s="46">
        <v>1.044</v>
      </c>
      <c r="G17" s="9"/>
      <c r="H17" s="9"/>
      <c r="I17" s="9"/>
      <c r="J17" s="9"/>
      <c r="K17" s="9"/>
      <c r="L17" s="9"/>
    </row>
    <row r="18" spans="1:18" x14ac:dyDescent="0.3">
      <c r="A18" s="9"/>
      <c r="B18" s="29">
        <v>2018</v>
      </c>
      <c r="C18" s="39">
        <v>10073</v>
      </c>
      <c r="D18" s="40">
        <v>390</v>
      </c>
      <c r="E18" s="40">
        <v>739</v>
      </c>
      <c r="F18" s="46">
        <v>1.071</v>
      </c>
      <c r="G18" s="9"/>
      <c r="H18" s="9"/>
      <c r="I18" s="9"/>
      <c r="J18" s="9"/>
      <c r="K18" s="9"/>
      <c r="L18" s="9"/>
    </row>
    <row r="19" spans="1:18" x14ac:dyDescent="0.3">
      <c r="A19" s="9"/>
      <c r="B19" s="29">
        <v>2019</v>
      </c>
      <c r="C19" s="39">
        <v>10339</v>
      </c>
      <c r="D19" s="40">
        <v>299</v>
      </c>
      <c r="E19" s="40">
        <v>632</v>
      </c>
      <c r="F19" s="46">
        <v>1.167</v>
      </c>
      <c r="G19" s="9"/>
      <c r="H19" s="9"/>
      <c r="I19" s="9"/>
      <c r="J19" s="9"/>
      <c r="K19" s="9"/>
      <c r="L19" s="9"/>
    </row>
    <row r="20" spans="1:18" x14ac:dyDescent="0.3">
      <c r="A20" s="9"/>
      <c r="B20" s="29">
        <v>2020</v>
      </c>
      <c r="C20" s="39">
        <v>10591</v>
      </c>
      <c r="D20" s="40">
        <v>183</v>
      </c>
      <c r="E20" s="40">
        <v>448</v>
      </c>
      <c r="F20" s="46">
        <v>1.5</v>
      </c>
      <c r="G20" s="9"/>
      <c r="H20" s="9"/>
      <c r="I20" s="9"/>
      <c r="J20" s="9"/>
      <c r="K20" s="9"/>
      <c r="L20" s="9"/>
    </row>
    <row r="21" spans="1:18" x14ac:dyDescent="0.3">
      <c r="A21" s="9"/>
      <c r="B21" s="27" t="s">
        <v>31</v>
      </c>
      <c r="C21" s="41">
        <v>84701</v>
      </c>
      <c r="D21" s="41">
        <v>4746</v>
      </c>
      <c r="E21" s="41">
        <v>7049</v>
      </c>
      <c r="F21" s="42"/>
      <c r="G21" s="9"/>
      <c r="H21" s="9"/>
      <c r="I21" s="9"/>
      <c r="J21" s="9"/>
      <c r="K21" s="9"/>
      <c r="L21" s="9"/>
    </row>
    <row r="22" spans="1:18" x14ac:dyDescent="0.3">
      <c r="A22" s="9"/>
      <c r="B22" s="9"/>
      <c r="C22" s="9"/>
      <c r="D22" s="9"/>
      <c r="E22" s="9"/>
      <c r="F22" s="9"/>
      <c r="G22" s="9"/>
      <c r="H22" s="9"/>
      <c r="I22" s="9"/>
      <c r="J22" s="9"/>
      <c r="K22" s="9"/>
      <c r="L22" s="9"/>
    </row>
    <row r="23" spans="1:18" x14ac:dyDescent="0.3">
      <c r="A23" s="9" t="s">
        <v>127</v>
      </c>
      <c r="B23" s="9"/>
      <c r="C23" s="9"/>
      <c r="D23" s="9"/>
      <c r="E23" s="9"/>
      <c r="F23" s="9"/>
      <c r="G23" s="9"/>
      <c r="H23" s="9"/>
      <c r="I23" s="9"/>
      <c r="J23" s="9"/>
      <c r="K23" s="9"/>
      <c r="L23" s="9"/>
    </row>
    <row r="24" spans="1:18" x14ac:dyDescent="0.3">
      <c r="A24" s="9" t="s">
        <v>340</v>
      </c>
      <c r="B24" s="9"/>
      <c r="C24" s="9"/>
      <c r="D24" s="89">
        <v>-0.01</v>
      </c>
      <c r="E24" s="103"/>
      <c r="F24" s="9"/>
      <c r="G24" s="9"/>
      <c r="H24" s="9"/>
      <c r="I24" s="9"/>
      <c r="J24" s="9"/>
      <c r="K24" s="9"/>
      <c r="L24" s="9"/>
    </row>
    <row r="25" spans="1:18" x14ac:dyDescent="0.3">
      <c r="A25" s="9" t="s">
        <v>342</v>
      </c>
      <c r="B25" s="9"/>
      <c r="C25" s="9"/>
      <c r="D25" s="9"/>
      <c r="E25" s="89">
        <v>0.05</v>
      </c>
      <c r="F25" s="9" t="s">
        <v>341</v>
      </c>
      <c r="G25" s="9"/>
      <c r="H25" s="9"/>
      <c r="I25" s="9"/>
      <c r="J25" s="9"/>
      <c r="K25" s="9"/>
      <c r="L25" s="9"/>
    </row>
    <row r="26" spans="1:18" x14ac:dyDescent="0.3">
      <c r="A26" s="9"/>
      <c r="B26" s="9"/>
      <c r="C26" s="9"/>
      <c r="D26" s="9"/>
      <c r="E26" s="9"/>
      <c r="F26" s="9"/>
      <c r="G26" s="9"/>
      <c r="H26" s="9"/>
      <c r="I26" s="9"/>
      <c r="J26" s="9"/>
      <c r="K26" s="9"/>
      <c r="L26" s="9"/>
    </row>
    <row r="27" spans="1:18" x14ac:dyDescent="0.3">
      <c r="A27" s="7"/>
      <c r="B27" s="7"/>
      <c r="C27" s="7"/>
      <c r="D27" s="7"/>
      <c r="E27" s="7"/>
      <c r="F27" s="7"/>
      <c r="G27" s="7"/>
      <c r="H27" s="7"/>
      <c r="I27" s="7"/>
      <c r="J27" s="7"/>
      <c r="K27" s="7"/>
      <c r="L27" s="7"/>
    </row>
    <row r="28" spans="1:18" x14ac:dyDescent="0.3">
      <c r="A28" s="6" t="s">
        <v>5</v>
      </c>
      <c r="B28" s="4" t="s">
        <v>129</v>
      </c>
      <c r="C28" s="4"/>
      <c r="D28" s="4"/>
      <c r="E28" s="4"/>
      <c r="F28" s="4"/>
      <c r="G28" s="4"/>
      <c r="H28" s="4"/>
      <c r="I28" s="4"/>
      <c r="J28" s="4"/>
      <c r="K28" s="4"/>
      <c r="L28" s="4"/>
      <c r="M28" s="8"/>
      <c r="N28" s="8"/>
      <c r="O28" s="8"/>
      <c r="P28" s="8"/>
      <c r="Q28" s="8"/>
      <c r="R28" s="8"/>
    </row>
    <row r="29" spans="1:18" x14ac:dyDescent="0.3">
      <c r="A29" s="3"/>
      <c r="B29" s="3"/>
      <c r="C29" s="3"/>
      <c r="D29" s="3"/>
      <c r="E29" s="3"/>
      <c r="F29" s="3"/>
      <c r="G29" s="4"/>
      <c r="H29" s="4"/>
      <c r="I29" s="4"/>
      <c r="J29" s="4"/>
      <c r="K29" s="4"/>
      <c r="L29" s="4"/>
    </row>
    <row r="30" spans="1:18" x14ac:dyDescent="0.3">
      <c r="A30" s="7"/>
      <c r="B30" s="7"/>
      <c r="C30" s="7"/>
      <c r="D30" s="7"/>
      <c r="E30" s="7"/>
      <c r="F30" s="7"/>
      <c r="G30" s="7"/>
      <c r="H30" s="7"/>
      <c r="I30" s="7"/>
      <c r="J30" s="7"/>
      <c r="K30" s="7"/>
      <c r="L30" s="7"/>
      <c r="M30" s="7"/>
    </row>
    <row r="31" spans="1:18" x14ac:dyDescent="0.3">
      <c r="A31" s="7" t="s">
        <v>1</v>
      </c>
      <c r="B31" s="7"/>
      <c r="C31" s="7"/>
      <c r="D31" s="7"/>
      <c r="E31" s="7"/>
      <c r="F31" s="7"/>
      <c r="G31" s="7"/>
      <c r="H31" s="7"/>
      <c r="I31" s="7"/>
      <c r="J31" s="7"/>
      <c r="K31" s="7"/>
      <c r="L31" s="7"/>
      <c r="M31" s="7"/>
      <c r="N31" s="8"/>
    </row>
    <row r="32" spans="1:18" ht="42" x14ac:dyDescent="0.3">
      <c r="A32" s="7"/>
      <c r="B32" s="160" t="s">
        <v>447</v>
      </c>
      <c r="C32" s="160" t="s">
        <v>30</v>
      </c>
      <c r="D32" s="160" t="s">
        <v>441</v>
      </c>
      <c r="E32" s="160" t="s">
        <v>442</v>
      </c>
      <c r="F32" s="160" t="s">
        <v>445</v>
      </c>
      <c r="G32" s="160" t="s">
        <v>443</v>
      </c>
      <c r="H32" s="160" t="s">
        <v>444</v>
      </c>
      <c r="K32" s="7"/>
      <c r="L32" s="7"/>
      <c r="M32" s="7"/>
      <c r="N32" s="8"/>
    </row>
    <row r="33" spans="1:14" x14ac:dyDescent="0.3">
      <c r="A33" s="7"/>
      <c r="B33" s="169">
        <f t="shared" ref="B33:B40" si="0">B34-1</f>
        <v>2012</v>
      </c>
      <c r="C33" s="162">
        <f>F12</f>
        <v>1.008</v>
      </c>
      <c r="D33" s="163">
        <f t="shared" ref="D33:D41" si="1">1/C33</f>
        <v>0.99206349206349209</v>
      </c>
      <c r="E33" s="161">
        <f t="shared" ref="E33:E41" si="2">C12*D33</f>
        <v>8324.4047619047615</v>
      </c>
      <c r="F33" s="162">
        <f t="shared" ref="F33:F41" si="3">(1+$D$24)^($B$41-B33)</f>
        <v>0.92274469442791995</v>
      </c>
      <c r="G33" s="162">
        <f>1-$E$25</f>
        <v>0.95</v>
      </c>
      <c r="H33" s="161">
        <f t="shared" ref="H33:H41" si="4">E12*F33*G33</f>
        <v>878.36067462593701</v>
      </c>
      <c r="K33" s="7"/>
      <c r="L33" s="7"/>
      <c r="M33" s="7"/>
      <c r="N33" s="8"/>
    </row>
    <row r="34" spans="1:14" x14ac:dyDescent="0.3">
      <c r="A34" s="7"/>
      <c r="B34" s="169">
        <f t="shared" si="0"/>
        <v>2013</v>
      </c>
      <c r="C34" s="162">
        <f>PRODUCT(F$12:F13)</f>
        <v>1.0200960000000001</v>
      </c>
      <c r="D34" s="163">
        <f t="shared" si="1"/>
        <v>0.98029989334337153</v>
      </c>
      <c r="E34" s="161">
        <f t="shared" si="2"/>
        <v>8236.4797038710076</v>
      </c>
      <c r="F34" s="162">
        <f t="shared" si="3"/>
        <v>0.93206534790698992</v>
      </c>
      <c r="G34" s="162">
        <f t="shared" ref="G34:G39" si="5">1-$E$25</f>
        <v>0.95</v>
      </c>
      <c r="H34" s="161">
        <f t="shared" si="4"/>
        <v>925.30787413466419</v>
      </c>
      <c r="K34" s="7"/>
      <c r="L34" s="7"/>
      <c r="M34" s="7"/>
      <c r="N34" s="8"/>
    </row>
    <row r="35" spans="1:14" x14ac:dyDescent="0.3">
      <c r="A35" s="7"/>
      <c r="B35" s="169">
        <f t="shared" si="0"/>
        <v>2014</v>
      </c>
      <c r="C35" s="162">
        <f>PRODUCT(F$12:F14)</f>
        <v>1.038457728</v>
      </c>
      <c r="D35" s="163">
        <f t="shared" si="1"/>
        <v>0.96296649640802712</v>
      </c>
      <c r="E35" s="161">
        <f t="shared" si="2"/>
        <v>8462.5495704337427</v>
      </c>
      <c r="F35" s="162">
        <f t="shared" si="3"/>
        <v>0.94148014940099989</v>
      </c>
      <c r="G35" s="162">
        <f t="shared" si="5"/>
        <v>0.95</v>
      </c>
      <c r="H35" s="161">
        <f t="shared" si="4"/>
        <v>1087.597868588035</v>
      </c>
      <c r="K35" s="7"/>
      <c r="L35" s="7"/>
      <c r="M35" s="7"/>
      <c r="N35" s="8"/>
    </row>
    <row r="36" spans="1:14" x14ac:dyDescent="0.3">
      <c r="A36" s="7"/>
      <c r="B36" s="169">
        <f t="shared" si="0"/>
        <v>2015</v>
      </c>
      <c r="C36" s="162">
        <f>PRODUCT(F$12:F15)</f>
        <v>1.0633807134720001</v>
      </c>
      <c r="D36" s="163">
        <f t="shared" si="1"/>
        <v>0.94039696914846382</v>
      </c>
      <c r="E36" s="161">
        <f t="shared" si="2"/>
        <v>8546.3276556212386</v>
      </c>
      <c r="F36" s="162">
        <f t="shared" si="3"/>
        <v>0.95099004989999991</v>
      </c>
      <c r="G36" s="162">
        <f t="shared" si="5"/>
        <v>0.95</v>
      </c>
      <c r="H36" s="161">
        <f t="shared" si="4"/>
        <v>599.88452347691987</v>
      </c>
      <c r="K36" s="7"/>
      <c r="L36" s="7"/>
      <c r="M36" s="7"/>
      <c r="N36" s="8"/>
    </row>
    <row r="37" spans="1:14" x14ac:dyDescent="0.3">
      <c r="A37" s="7"/>
      <c r="B37" s="169">
        <f t="shared" si="0"/>
        <v>2016</v>
      </c>
      <c r="C37" s="162">
        <f>PRODUCT(F$12:F16)</f>
        <v>1.0974088963031041</v>
      </c>
      <c r="D37" s="163">
        <f t="shared" si="1"/>
        <v>0.91123737320587583</v>
      </c>
      <c r="E37" s="161">
        <f t="shared" si="2"/>
        <v>8497.288505144792</v>
      </c>
      <c r="F37" s="162">
        <f t="shared" si="3"/>
        <v>0.96059600999999994</v>
      </c>
      <c r="G37" s="162">
        <f t="shared" si="5"/>
        <v>0.95</v>
      </c>
      <c r="H37" s="161">
        <f t="shared" si="4"/>
        <v>647.92200874499986</v>
      </c>
      <c r="K37" s="7"/>
      <c r="L37" s="7"/>
      <c r="M37" s="7"/>
      <c r="N37" s="8"/>
    </row>
    <row r="38" spans="1:14" x14ac:dyDescent="0.3">
      <c r="A38" s="7"/>
      <c r="B38" s="169">
        <f t="shared" si="0"/>
        <v>2017</v>
      </c>
      <c r="C38" s="162">
        <f>PRODUCT(F$12:F17)</f>
        <v>1.1456948877404407</v>
      </c>
      <c r="D38" s="163">
        <f t="shared" si="1"/>
        <v>0.87283273295581976</v>
      </c>
      <c r="E38" s="161">
        <f t="shared" si="2"/>
        <v>8469.9688406032747</v>
      </c>
      <c r="F38" s="162">
        <f t="shared" si="3"/>
        <v>0.97029899999999991</v>
      </c>
      <c r="G38" s="162">
        <f t="shared" si="5"/>
        <v>0.95</v>
      </c>
      <c r="H38" s="161">
        <f t="shared" si="4"/>
        <v>546.61794164999992</v>
      </c>
      <c r="K38" s="7"/>
      <c r="L38" s="7"/>
      <c r="M38" s="7"/>
      <c r="N38" s="8"/>
    </row>
    <row r="39" spans="1:14" x14ac:dyDescent="0.3">
      <c r="A39" s="7"/>
      <c r="B39" s="169">
        <f t="shared" si="0"/>
        <v>2018</v>
      </c>
      <c r="C39" s="162">
        <f>PRODUCT(F$12:F18)</f>
        <v>1.2270392247700119</v>
      </c>
      <c r="D39" s="163">
        <f t="shared" si="1"/>
        <v>0.81496987204091487</v>
      </c>
      <c r="E39" s="161">
        <f t="shared" si="2"/>
        <v>8209.1915210681364</v>
      </c>
      <c r="F39" s="162">
        <f t="shared" si="3"/>
        <v>0.98009999999999997</v>
      </c>
      <c r="G39" s="162">
        <f t="shared" si="5"/>
        <v>0.95</v>
      </c>
      <c r="H39" s="161">
        <f t="shared" si="4"/>
        <v>688.079205</v>
      </c>
      <c r="K39" s="7"/>
      <c r="L39" s="7"/>
      <c r="M39" s="7"/>
      <c r="N39" s="8"/>
    </row>
    <row r="40" spans="1:14" x14ac:dyDescent="0.3">
      <c r="A40" s="7"/>
      <c r="B40" s="169">
        <f t="shared" si="0"/>
        <v>2019</v>
      </c>
      <c r="C40" s="162">
        <f>PRODUCT(F$12:F19)</f>
        <v>1.431954775306604</v>
      </c>
      <c r="D40" s="163">
        <f t="shared" si="1"/>
        <v>0.69834607715588248</v>
      </c>
      <c r="E40" s="161">
        <f t="shared" si="2"/>
        <v>7220.2000917146688</v>
      </c>
      <c r="F40" s="162">
        <f t="shared" si="3"/>
        <v>0.99</v>
      </c>
      <c r="G40" s="162">
        <v>1</v>
      </c>
      <c r="H40" s="161">
        <f t="shared" si="4"/>
        <v>625.67999999999995</v>
      </c>
      <c r="K40" s="7"/>
      <c r="L40" s="7"/>
      <c r="M40" s="7"/>
      <c r="N40" s="8"/>
    </row>
    <row r="41" spans="1:14" x14ac:dyDescent="0.3">
      <c r="A41" s="7"/>
      <c r="B41" s="170">
        <v>2020</v>
      </c>
      <c r="C41" s="165">
        <f>PRODUCT(F$12:F20)</f>
        <v>2.147932162959906</v>
      </c>
      <c r="D41" s="166">
        <f t="shared" si="1"/>
        <v>0.46556405143725499</v>
      </c>
      <c r="E41" s="164">
        <f t="shared" si="2"/>
        <v>4930.7888687719678</v>
      </c>
      <c r="F41" s="165">
        <f t="shared" si="3"/>
        <v>1</v>
      </c>
      <c r="G41" s="165">
        <v>1</v>
      </c>
      <c r="H41" s="164">
        <f t="shared" si="4"/>
        <v>448</v>
      </c>
      <c r="K41" s="7"/>
      <c r="L41" s="7"/>
      <c r="M41" s="7"/>
      <c r="N41" s="8"/>
    </row>
    <row r="42" spans="1:14" x14ac:dyDescent="0.3">
      <c r="A42" s="7"/>
      <c r="B42" s="169" t="s">
        <v>31</v>
      </c>
      <c r="C42" s="167"/>
      <c r="D42" s="162"/>
      <c r="E42" s="161">
        <f>SUM(E33:E41)</f>
        <v>70897.199519133588</v>
      </c>
      <c r="F42" s="162"/>
      <c r="G42" s="162"/>
      <c r="H42" s="161">
        <f>SUM(H33:H41)</f>
        <v>6447.4500962205566</v>
      </c>
      <c r="K42" s="7"/>
      <c r="L42" s="7"/>
      <c r="M42" s="7"/>
      <c r="N42" s="8"/>
    </row>
    <row r="43" spans="1:14" x14ac:dyDescent="0.3">
      <c r="A43" s="7"/>
      <c r="B43" s="169"/>
      <c r="C43"/>
      <c r="D43"/>
      <c r="E43"/>
      <c r="F43"/>
      <c r="G43"/>
      <c r="H43"/>
      <c r="I43"/>
      <c r="J43"/>
      <c r="K43" s="7"/>
      <c r="L43" s="7"/>
      <c r="M43" s="7"/>
      <c r="N43" s="8"/>
    </row>
    <row r="44" spans="1:14" x14ac:dyDescent="0.3">
      <c r="A44" s="7"/>
      <c r="B44" s="171"/>
      <c r="C44" s="158"/>
      <c r="D44" s="158"/>
      <c r="E44" s="158"/>
      <c r="F44" s="158"/>
      <c r="G44" s="168" t="s">
        <v>446</v>
      </c>
      <c r="H44" s="163">
        <f>H42/E42</f>
        <v>9.0940828974218263E-2</v>
      </c>
      <c r="K44" s="7"/>
      <c r="L44" s="7"/>
      <c r="M44" s="7"/>
      <c r="N44" s="8"/>
    </row>
    <row r="46" spans="1:14" x14ac:dyDescent="0.3">
      <c r="A46" s="6" t="s">
        <v>0</v>
      </c>
      <c r="B46" s="4" t="s">
        <v>130</v>
      </c>
      <c r="C46" s="4"/>
      <c r="D46" s="4"/>
      <c r="E46" s="4"/>
      <c r="F46" s="4"/>
      <c r="G46" s="4"/>
      <c r="H46" s="4"/>
      <c r="I46" s="4"/>
      <c r="J46" s="4"/>
      <c r="K46" s="4"/>
      <c r="L46" s="4"/>
    </row>
    <row r="47" spans="1:14" x14ac:dyDescent="0.3">
      <c r="A47" s="3"/>
      <c r="B47" s="3"/>
      <c r="C47" s="3"/>
      <c r="D47" s="3"/>
      <c r="E47" s="3"/>
      <c r="F47" s="3"/>
      <c r="G47" s="4"/>
      <c r="H47" s="4"/>
      <c r="I47" s="4"/>
      <c r="J47" s="4"/>
      <c r="K47" s="4"/>
      <c r="L47" s="4"/>
    </row>
    <row r="48" spans="1:14" x14ac:dyDescent="0.3">
      <c r="A48" s="7"/>
      <c r="B48" s="7"/>
      <c r="C48" s="7"/>
      <c r="D48" s="7"/>
      <c r="E48" s="7"/>
      <c r="F48" s="7"/>
      <c r="G48" s="7"/>
      <c r="H48" s="7"/>
      <c r="I48" s="7"/>
      <c r="J48" s="7"/>
      <c r="K48" s="7"/>
      <c r="L48" s="7"/>
    </row>
    <row r="49" spans="1:12" x14ac:dyDescent="0.3">
      <c r="A49" s="7" t="s">
        <v>1</v>
      </c>
      <c r="B49" s="7"/>
      <c r="C49" s="7"/>
      <c r="D49" s="7"/>
      <c r="E49" s="7"/>
      <c r="F49" s="7"/>
      <c r="G49" s="7"/>
      <c r="H49" s="7"/>
      <c r="I49" s="7"/>
      <c r="J49" s="7"/>
      <c r="K49" s="7"/>
      <c r="L49" s="7"/>
    </row>
    <row r="50" spans="1:12" ht="28.2" x14ac:dyDescent="0.3">
      <c r="A50" s="7"/>
      <c r="B50" s="172" t="s">
        <v>447</v>
      </c>
      <c r="C50" s="172" t="s">
        <v>448</v>
      </c>
      <c r="D50" s="172" t="s">
        <v>449</v>
      </c>
      <c r="E50" s="172" t="s">
        <v>436</v>
      </c>
      <c r="F50" s="172" t="s">
        <v>450</v>
      </c>
      <c r="G50" s="7"/>
      <c r="H50" s="7"/>
      <c r="I50" s="7"/>
      <c r="J50" s="7"/>
      <c r="K50" s="7"/>
      <c r="L50" s="7"/>
    </row>
    <row r="51" spans="1:12" x14ac:dyDescent="0.3">
      <c r="A51" s="7"/>
      <c r="B51" s="159">
        <f t="shared" ref="B51:B58" si="6">B52-1</f>
        <v>2012</v>
      </c>
      <c r="C51" s="161">
        <f>($H$44*C12)/(F33*G33)</f>
        <v>870.49737881324404</v>
      </c>
      <c r="D51" s="154">
        <f>1-D33</f>
        <v>7.9365079365079083E-3</v>
      </c>
      <c r="E51" s="161">
        <f t="shared" ref="E51:E59" si="7">C51*D51</f>
        <v>6.9087093556606423</v>
      </c>
      <c r="F51" s="161">
        <f>E51+E12</f>
        <v>1008.9087093556607</v>
      </c>
      <c r="G51" s="7"/>
      <c r="H51" s="7"/>
      <c r="I51" s="7"/>
      <c r="J51" s="7"/>
      <c r="K51" s="7"/>
      <c r="L51" s="7"/>
    </row>
    <row r="52" spans="1:12" x14ac:dyDescent="0.3">
      <c r="A52" s="7"/>
      <c r="B52" s="159">
        <f t="shared" si="6"/>
        <v>2013</v>
      </c>
      <c r="C52" s="161">
        <f t="shared" ref="C52:C59" si="8">($H$44*C13)/(F34*G34)</f>
        <v>862.92215314277053</v>
      </c>
      <c r="D52" s="154">
        <f t="shared" ref="D52:D59" si="9">1-D34</f>
        <v>1.9700106656628469E-2</v>
      </c>
      <c r="E52" s="161">
        <f t="shared" si="7"/>
        <v>16.999658453280066</v>
      </c>
      <c r="F52" s="161">
        <f t="shared" ref="F52:F59" si="10">E52+E13</f>
        <v>1061.9996584532801</v>
      </c>
      <c r="G52" s="7"/>
      <c r="H52" s="7"/>
      <c r="I52" s="7"/>
      <c r="J52" s="7"/>
      <c r="K52" s="7"/>
      <c r="L52" s="7"/>
    </row>
    <row r="53" spans="1:12" x14ac:dyDescent="0.3">
      <c r="A53" s="7"/>
      <c r="B53" s="159">
        <f t="shared" si="6"/>
        <v>2014</v>
      </c>
      <c r="C53" s="161">
        <f t="shared" si="8"/>
        <v>893.54038121881467</v>
      </c>
      <c r="D53" s="154">
        <f t="shared" si="9"/>
        <v>3.7033503591972883E-2</v>
      </c>
      <c r="E53" s="161">
        <f t="shared" si="7"/>
        <v>33.090930917439792</v>
      </c>
      <c r="F53" s="161">
        <f t="shared" si="10"/>
        <v>1249.0909309174399</v>
      </c>
      <c r="G53" s="7"/>
      <c r="H53" s="7"/>
      <c r="I53" s="7"/>
      <c r="J53" s="7"/>
      <c r="K53" s="7"/>
      <c r="L53" s="7"/>
    </row>
    <row r="54" spans="1:12" x14ac:dyDescent="0.3">
      <c r="A54" s="7"/>
      <c r="B54" s="159">
        <f t="shared" si="6"/>
        <v>2015</v>
      </c>
      <c r="C54" s="161">
        <f t="shared" si="8"/>
        <v>914.80314459164993</v>
      </c>
      <c r="D54" s="154">
        <f t="shared" si="9"/>
        <v>5.9603030851536176E-2</v>
      </c>
      <c r="E54" s="161">
        <f t="shared" si="7"/>
        <v>54.525040050178418</v>
      </c>
      <c r="F54" s="161">
        <f t="shared" si="10"/>
        <v>718.5250400501784</v>
      </c>
      <c r="G54" s="7"/>
      <c r="H54" s="7"/>
      <c r="I54" s="7"/>
      <c r="J54" s="7"/>
      <c r="K54" s="7"/>
      <c r="L54" s="7"/>
    </row>
    <row r="55" spans="1:12" x14ac:dyDescent="0.3">
      <c r="A55" s="7"/>
      <c r="B55" s="159">
        <f t="shared" si="6"/>
        <v>2016</v>
      </c>
      <c r="C55" s="161">
        <f t="shared" si="8"/>
        <v>929.2730997011405</v>
      </c>
      <c r="D55" s="154">
        <f t="shared" si="9"/>
        <v>8.8762626794124166E-2</v>
      </c>
      <c r="E55" s="161">
        <f t="shared" si="7"/>
        <v>82.484721338591271</v>
      </c>
      <c r="F55" s="161">
        <f t="shared" si="10"/>
        <v>792.48472133859127</v>
      </c>
      <c r="G55" s="7"/>
      <c r="H55" s="7"/>
      <c r="I55" s="7"/>
      <c r="J55" s="7"/>
      <c r="K55" s="7"/>
      <c r="L55" s="7"/>
    </row>
    <row r="56" spans="1:12" x14ac:dyDescent="0.3">
      <c r="A56" s="7"/>
      <c r="B56" s="159">
        <f t="shared" si="6"/>
        <v>2017</v>
      </c>
      <c r="C56" s="161">
        <f t="shared" si="8"/>
        <v>957.37152792545521</v>
      </c>
      <c r="D56" s="154">
        <f t="shared" si="9"/>
        <v>0.12716726704418024</v>
      </c>
      <c r="E56" s="161">
        <f t="shared" si="7"/>
        <v>121.74632075219122</v>
      </c>
      <c r="F56" s="161">
        <f t="shared" si="10"/>
        <v>714.7463207521912</v>
      </c>
      <c r="G56" s="7"/>
      <c r="H56" s="7"/>
      <c r="I56" s="7"/>
      <c r="J56" s="7"/>
      <c r="K56" s="7"/>
      <c r="L56" s="7"/>
    </row>
    <row r="57" spans="1:12" x14ac:dyDescent="0.3">
      <c r="A57" s="7"/>
      <c r="B57" s="159">
        <f t="shared" si="6"/>
        <v>2018</v>
      </c>
      <c r="C57" s="161">
        <f t="shared" si="8"/>
        <v>983.83835189459796</v>
      </c>
      <c r="D57" s="154">
        <f t="shared" si="9"/>
        <v>0.18503012795908513</v>
      </c>
      <c r="E57" s="161">
        <f t="shared" si="7"/>
        <v>182.0397361421129</v>
      </c>
      <c r="F57" s="161">
        <f t="shared" si="10"/>
        <v>921.03973614211293</v>
      </c>
      <c r="G57" s="7"/>
      <c r="H57" s="7"/>
      <c r="I57" s="7"/>
      <c r="J57" s="7"/>
      <c r="K57" s="7"/>
      <c r="L57" s="7"/>
    </row>
    <row r="58" spans="1:12" x14ac:dyDescent="0.3">
      <c r="A58" s="7"/>
      <c r="B58" s="159">
        <f t="shared" si="6"/>
        <v>2019</v>
      </c>
      <c r="C58" s="161">
        <f t="shared" si="8"/>
        <v>949.73457652974002</v>
      </c>
      <c r="D58" s="154">
        <f t="shared" si="9"/>
        <v>0.30165392284411752</v>
      </c>
      <c r="E58" s="161">
        <f t="shared" si="7"/>
        <v>286.49116067089284</v>
      </c>
      <c r="F58" s="161">
        <f t="shared" si="10"/>
        <v>918.4911606708929</v>
      </c>
      <c r="G58" s="7"/>
      <c r="H58" s="7"/>
      <c r="I58" s="7"/>
      <c r="J58" s="7"/>
      <c r="K58" s="7"/>
      <c r="L58" s="7"/>
    </row>
    <row r="59" spans="1:12" x14ac:dyDescent="0.3">
      <c r="A59" s="7"/>
      <c r="B59" s="173">
        <v>2020</v>
      </c>
      <c r="C59" s="164">
        <f t="shared" si="8"/>
        <v>963.15431966594565</v>
      </c>
      <c r="D59" s="155">
        <f t="shared" si="9"/>
        <v>0.53443594856274501</v>
      </c>
      <c r="E59" s="164">
        <f t="shared" si="7"/>
        <v>514.74429244297505</v>
      </c>
      <c r="F59" s="164">
        <f t="shared" si="10"/>
        <v>962.74429244297505</v>
      </c>
      <c r="G59" s="7"/>
      <c r="H59" s="7"/>
      <c r="I59" s="7"/>
      <c r="J59" s="7"/>
      <c r="K59" s="7"/>
      <c r="L59" s="7"/>
    </row>
    <row r="60" spans="1:12" x14ac:dyDescent="0.3">
      <c r="A60" s="7"/>
      <c r="B60" s="175" t="s">
        <v>31</v>
      </c>
      <c r="C60" s="161">
        <f>SUM(C51:C59)</f>
        <v>8325.1349334833576</v>
      </c>
      <c r="D60" s="174"/>
      <c r="E60" s="161">
        <f>SUM(E51:E59)</f>
        <v>1299.0305701233224</v>
      </c>
      <c r="F60" s="161">
        <f>SUM(F51:F59)</f>
        <v>8348.0305701233228</v>
      </c>
      <c r="G60" s="7"/>
      <c r="H60" s="7"/>
      <c r="I60" s="7"/>
      <c r="J60" s="7"/>
      <c r="K60" s="7"/>
      <c r="L60" s="7"/>
    </row>
    <row r="62" spans="1:12" x14ac:dyDescent="0.3">
      <c r="A62" s="6" t="s">
        <v>2</v>
      </c>
      <c r="B62" s="323" t="s">
        <v>131</v>
      </c>
      <c r="C62" s="323"/>
      <c r="D62" s="323"/>
      <c r="E62" s="323"/>
      <c r="F62" s="323"/>
      <c r="G62" s="323"/>
      <c r="H62" s="323"/>
      <c r="I62" s="323"/>
      <c r="J62" s="323"/>
      <c r="K62" s="323"/>
      <c r="L62" s="4"/>
    </row>
    <row r="63" spans="1:12" x14ac:dyDescent="0.3">
      <c r="A63" s="6"/>
      <c r="B63" s="323"/>
      <c r="C63" s="323"/>
      <c r="D63" s="323"/>
      <c r="E63" s="323"/>
      <c r="F63" s="323"/>
      <c r="G63" s="323"/>
      <c r="H63" s="323"/>
      <c r="I63" s="323"/>
      <c r="J63" s="323"/>
      <c r="K63" s="323"/>
      <c r="L63" s="4"/>
    </row>
    <row r="64" spans="1:12" x14ac:dyDescent="0.3">
      <c r="A64" s="3"/>
      <c r="B64" s="3"/>
      <c r="C64" s="3"/>
      <c r="D64" s="3"/>
      <c r="E64" s="3"/>
      <c r="F64" s="3"/>
      <c r="G64" s="4"/>
      <c r="H64" s="4"/>
      <c r="I64" s="4"/>
      <c r="J64" s="4"/>
      <c r="K64" s="4"/>
      <c r="L64" s="4"/>
    </row>
    <row r="65" spans="1:14" x14ac:dyDescent="0.3">
      <c r="A65" s="7"/>
      <c r="B65" s="7"/>
      <c r="C65" s="7"/>
      <c r="D65" s="7"/>
      <c r="E65" s="7"/>
      <c r="F65" s="7"/>
      <c r="G65" s="7"/>
      <c r="H65" s="7"/>
      <c r="I65" s="7"/>
      <c r="J65" s="7"/>
      <c r="K65" s="7"/>
      <c r="L65" s="7"/>
    </row>
    <row r="66" spans="1:14" x14ac:dyDescent="0.3">
      <c r="A66" s="7" t="s">
        <v>1</v>
      </c>
      <c r="B66" s="7"/>
      <c r="C66" s="7"/>
      <c r="D66" s="7"/>
      <c r="E66" s="7"/>
      <c r="F66" s="7"/>
      <c r="G66" s="7"/>
      <c r="H66" s="7"/>
      <c r="I66" s="7"/>
      <c r="J66" s="7"/>
      <c r="K66" s="7"/>
      <c r="L66" s="7"/>
    </row>
    <row r="67" spans="1:14" ht="42" x14ac:dyDescent="0.3">
      <c r="A67" s="7"/>
      <c r="B67" s="172" t="s">
        <v>447</v>
      </c>
      <c r="C67" s="172" t="s">
        <v>134</v>
      </c>
      <c r="D67" s="172" t="s">
        <v>438</v>
      </c>
      <c r="E67" s="172" t="s">
        <v>136</v>
      </c>
      <c r="F67" s="7"/>
      <c r="G67" s="7"/>
      <c r="H67" s="7"/>
      <c r="I67" s="7"/>
      <c r="J67" s="7"/>
      <c r="K67" s="7"/>
      <c r="L67" s="7"/>
    </row>
    <row r="68" spans="1:14" x14ac:dyDescent="0.3">
      <c r="A68" s="7"/>
      <c r="B68" s="159">
        <f t="shared" ref="B68:B75" si="11">B69-1</f>
        <v>2012</v>
      </c>
      <c r="C68" s="161">
        <f>E12</f>
        <v>1002</v>
      </c>
      <c r="D68" s="161">
        <f>C51-E51</f>
        <v>863.58866945758336</v>
      </c>
      <c r="E68" s="161">
        <f>C68-D68</f>
        <v>138.41133054241664</v>
      </c>
      <c r="F68" s="7"/>
      <c r="G68" s="7"/>
      <c r="H68" s="7"/>
      <c r="I68" s="7"/>
      <c r="J68" s="7"/>
      <c r="K68" s="7"/>
      <c r="L68" s="7"/>
    </row>
    <row r="69" spans="1:14" x14ac:dyDescent="0.3">
      <c r="A69" s="7"/>
      <c r="B69" s="159">
        <f t="shared" si="11"/>
        <v>2013</v>
      </c>
      <c r="C69" s="161">
        <f t="shared" ref="C69:C76" si="12">E13</f>
        <v>1045</v>
      </c>
      <c r="D69" s="161">
        <f t="shared" ref="D69:D76" si="13">C52-E52</f>
        <v>845.92249468949046</v>
      </c>
      <c r="E69" s="161">
        <f t="shared" ref="E69:E76" si="14">C69-D69</f>
        <v>199.07750531050954</v>
      </c>
      <c r="F69" s="7"/>
      <c r="G69" s="7"/>
      <c r="H69" s="7"/>
      <c r="I69" s="7"/>
      <c r="J69" s="7"/>
      <c r="K69" s="7"/>
      <c r="L69" s="7"/>
    </row>
    <row r="70" spans="1:14" x14ac:dyDescent="0.3">
      <c r="A70" s="7"/>
      <c r="B70" s="159">
        <f t="shared" si="11"/>
        <v>2014</v>
      </c>
      <c r="C70" s="161">
        <f t="shared" si="12"/>
        <v>1216</v>
      </c>
      <c r="D70" s="161">
        <f t="shared" si="13"/>
        <v>860.4494503013749</v>
      </c>
      <c r="E70" s="161">
        <f t="shared" si="14"/>
        <v>355.5505496986251</v>
      </c>
      <c r="F70" s="7"/>
      <c r="G70" s="7"/>
      <c r="H70" s="7"/>
      <c r="I70" s="7"/>
      <c r="J70" s="7"/>
      <c r="K70" s="7"/>
      <c r="L70" s="7"/>
    </row>
    <row r="71" spans="1:14" x14ac:dyDescent="0.3">
      <c r="A71" s="7"/>
      <c r="B71" s="159">
        <f t="shared" si="11"/>
        <v>2015</v>
      </c>
      <c r="C71" s="161">
        <f t="shared" si="12"/>
        <v>664</v>
      </c>
      <c r="D71" s="161">
        <f t="shared" si="13"/>
        <v>860.27810454147152</v>
      </c>
      <c r="E71" s="161">
        <f t="shared" si="14"/>
        <v>-196.27810454147152</v>
      </c>
      <c r="F71" s="7"/>
      <c r="G71" s="7"/>
      <c r="H71" s="7"/>
      <c r="I71" s="7"/>
      <c r="J71" s="7"/>
      <c r="K71" s="7"/>
      <c r="L71" s="7"/>
    </row>
    <row r="72" spans="1:14" x14ac:dyDescent="0.3">
      <c r="A72" s="7"/>
      <c r="B72" s="159">
        <f t="shared" si="11"/>
        <v>2016</v>
      </c>
      <c r="C72" s="161">
        <f t="shared" si="12"/>
        <v>710</v>
      </c>
      <c r="D72" s="161">
        <f t="shared" si="13"/>
        <v>846.78837836254922</v>
      </c>
      <c r="E72" s="161">
        <f t="shared" si="14"/>
        <v>-136.78837836254922</v>
      </c>
      <c r="F72" s="7"/>
      <c r="G72" s="7"/>
      <c r="H72" s="7"/>
      <c r="I72" s="7"/>
      <c r="J72" s="7"/>
      <c r="K72" s="7"/>
      <c r="L72" s="7"/>
    </row>
    <row r="73" spans="1:14" x14ac:dyDescent="0.3">
      <c r="A73" s="7"/>
      <c r="B73" s="159">
        <f t="shared" si="11"/>
        <v>2017</v>
      </c>
      <c r="C73" s="161">
        <f t="shared" si="12"/>
        <v>593</v>
      </c>
      <c r="D73" s="161">
        <f t="shared" si="13"/>
        <v>835.62520717326402</v>
      </c>
      <c r="E73" s="161">
        <f t="shared" si="14"/>
        <v>-242.62520717326402</v>
      </c>
      <c r="F73" s="7"/>
      <c r="G73" s="7"/>
      <c r="H73" s="7"/>
      <c r="I73" s="7"/>
      <c r="J73" s="7"/>
      <c r="K73" s="7"/>
      <c r="L73" s="7"/>
    </row>
    <row r="74" spans="1:14" x14ac:dyDescent="0.3">
      <c r="A74" s="7"/>
      <c r="B74" s="159">
        <f t="shared" si="11"/>
        <v>2018</v>
      </c>
      <c r="C74" s="161">
        <f t="shared" si="12"/>
        <v>739</v>
      </c>
      <c r="D74" s="161">
        <f t="shared" si="13"/>
        <v>801.79861575248503</v>
      </c>
      <c r="E74" s="161">
        <f t="shared" si="14"/>
        <v>-62.798615752485034</v>
      </c>
      <c r="F74" s="7"/>
      <c r="G74" s="7"/>
      <c r="H74" s="7"/>
      <c r="I74" s="7"/>
      <c r="J74" s="7"/>
      <c r="K74" s="7"/>
      <c r="L74" s="7"/>
    </row>
    <row r="75" spans="1:14" x14ac:dyDescent="0.3">
      <c r="B75" s="159">
        <f t="shared" si="11"/>
        <v>2019</v>
      </c>
      <c r="C75" s="161">
        <f t="shared" si="12"/>
        <v>632</v>
      </c>
      <c r="D75" s="161">
        <f t="shared" si="13"/>
        <v>663.24341585884713</v>
      </c>
      <c r="E75" s="161">
        <f t="shared" si="14"/>
        <v>-31.243415858847129</v>
      </c>
    </row>
    <row r="76" spans="1:14" x14ac:dyDescent="0.3">
      <c r="B76" s="173">
        <v>2020</v>
      </c>
      <c r="C76" s="164">
        <f t="shared" si="12"/>
        <v>448</v>
      </c>
      <c r="D76" s="164">
        <f t="shared" si="13"/>
        <v>448.4100272229706</v>
      </c>
      <c r="E76" s="164">
        <f t="shared" si="14"/>
        <v>-0.4100272229705979</v>
      </c>
    </row>
    <row r="77" spans="1:14" x14ac:dyDescent="0.3">
      <c r="B77" s="175" t="s">
        <v>31</v>
      </c>
      <c r="C77" s="161">
        <f>SUM(C68:C76)</f>
        <v>7049</v>
      </c>
      <c r="D77" s="161">
        <f>SUM(D68:D76)</f>
        <v>7026.1043633600357</v>
      </c>
      <c r="E77" s="161">
        <f>SUM(E68:E76)</f>
        <v>22.895636639963755</v>
      </c>
      <c r="M77" s="7"/>
      <c r="N77" s="7"/>
    </row>
    <row r="79" spans="1:14" x14ac:dyDescent="0.3">
      <c r="A79" s="331" t="s">
        <v>132</v>
      </c>
      <c r="B79" s="331"/>
      <c r="C79" s="331"/>
      <c r="D79" s="331"/>
      <c r="E79" s="331"/>
      <c r="F79" s="331"/>
      <c r="G79" s="331"/>
      <c r="H79" s="331"/>
      <c r="I79" s="331"/>
      <c r="J79" s="331"/>
      <c r="K79" s="331"/>
      <c r="L79" s="9"/>
    </row>
    <row r="80" spans="1:14" x14ac:dyDescent="0.3">
      <c r="A80" s="331"/>
      <c r="B80" s="331"/>
      <c r="C80" s="331"/>
      <c r="D80" s="331"/>
      <c r="E80" s="331"/>
      <c r="F80" s="331"/>
      <c r="G80" s="331"/>
      <c r="H80" s="331"/>
      <c r="I80" s="331"/>
      <c r="J80" s="331"/>
      <c r="K80" s="331"/>
      <c r="L80" s="9"/>
    </row>
    <row r="81" spans="1:12" x14ac:dyDescent="0.3">
      <c r="A81" s="9"/>
      <c r="B81" s="9"/>
      <c r="C81" s="9"/>
      <c r="D81" s="9"/>
      <c r="E81" s="9"/>
      <c r="F81" s="9"/>
      <c r="G81" s="9"/>
      <c r="H81" s="9"/>
      <c r="I81" s="9"/>
      <c r="J81" s="9"/>
      <c r="K81" s="9"/>
      <c r="L81" s="9"/>
    </row>
    <row r="82" spans="1:12" x14ac:dyDescent="0.3">
      <c r="A82" s="9"/>
      <c r="B82" s="53"/>
      <c r="C82" s="339" t="s">
        <v>133</v>
      </c>
      <c r="D82" s="340"/>
      <c r="E82" s="340"/>
      <c r="F82" s="9"/>
      <c r="G82" s="9"/>
      <c r="H82" s="9"/>
      <c r="I82" s="9"/>
      <c r="J82" s="9"/>
      <c r="K82" s="9"/>
      <c r="L82" s="9"/>
    </row>
    <row r="83" spans="1:12" ht="46.8" x14ac:dyDescent="0.3">
      <c r="A83" s="9"/>
      <c r="B83" s="54" t="s">
        <v>37</v>
      </c>
      <c r="C83" s="50" t="s">
        <v>134</v>
      </c>
      <c r="D83" s="14" t="s">
        <v>135</v>
      </c>
      <c r="E83" s="14" t="s">
        <v>136</v>
      </c>
      <c r="F83" s="9"/>
      <c r="G83" s="9"/>
      <c r="H83" s="9"/>
      <c r="I83" s="9"/>
      <c r="J83" s="9"/>
      <c r="K83" s="9"/>
      <c r="L83" s="9"/>
    </row>
    <row r="84" spans="1:12" x14ac:dyDescent="0.3">
      <c r="A84" s="9"/>
      <c r="B84" s="51">
        <v>2012</v>
      </c>
      <c r="C84" s="55">
        <v>8363</v>
      </c>
      <c r="D84" s="55">
        <v>7570</v>
      </c>
      <c r="E84" s="57">
        <v>793</v>
      </c>
      <c r="F84" s="9"/>
      <c r="G84" s="9"/>
      <c r="H84" s="9"/>
      <c r="I84" s="9"/>
      <c r="J84" s="9"/>
      <c r="K84" s="9"/>
      <c r="L84" s="9"/>
    </row>
    <row r="85" spans="1:12" x14ac:dyDescent="0.3">
      <c r="A85" s="9"/>
      <c r="B85" s="29">
        <v>2013</v>
      </c>
      <c r="C85" s="55">
        <v>8186</v>
      </c>
      <c r="D85" s="55">
        <v>7331</v>
      </c>
      <c r="E85" s="57">
        <v>855</v>
      </c>
      <c r="F85" s="9"/>
      <c r="G85" s="9"/>
      <c r="H85" s="9"/>
      <c r="I85" s="9"/>
      <c r="J85" s="9"/>
      <c r="K85" s="9"/>
      <c r="L85" s="9"/>
    </row>
    <row r="86" spans="1:12" x14ac:dyDescent="0.3">
      <c r="A86" s="9"/>
      <c r="B86" s="29">
        <v>2014</v>
      </c>
      <c r="C86" s="55">
        <v>7047</v>
      </c>
      <c r="D86" s="55">
        <v>6145</v>
      </c>
      <c r="E86" s="57">
        <v>902</v>
      </c>
      <c r="F86" s="9"/>
      <c r="G86" s="9"/>
      <c r="H86" s="9"/>
      <c r="I86" s="9"/>
      <c r="J86" s="9"/>
      <c r="K86" s="9"/>
      <c r="L86" s="9"/>
    </row>
    <row r="87" spans="1:12" x14ac:dyDescent="0.3">
      <c r="A87" s="9"/>
      <c r="B87" s="29">
        <v>2015</v>
      </c>
      <c r="C87" s="55">
        <v>5540</v>
      </c>
      <c r="D87" s="55">
        <v>4612</v>
      </c>
      <c r="E87" s="57">
        <v>928</v>
      </c>
      <c r="F87" s="9"/>
      <c r="G87" s="9"/>
      <c r="H87" s="9"/>
      <c r="I87" s="9"/>
      <c r="J87" s="9"/>
      <c r="K87" s="9"/>
      <c r="L87" s="9"/>
    </row>
    <row r="88" spans="1:12" x14ac:dyDescent="0.3">
      <c r="A88" s="9"/>
      <c r="B88" s="29">
        <v>2016</v>
      </c>
      <c r="C88" s="55">
        <v>6035</v>
      </c>
      <c r="D88" s="55">
        <v>7629</v>
      </c>
      <c r="E88" s="57">
        <v>-1594</v>
      </c>
      <c r="F88" s="9"/>
      <c r="G88" s="9"/>
      <c r="H88" s="9"/>
      <c r="I88" s="9"/>
      <c r="J88" s="9"/>
      <c r="K88" s="9"/>
      <c r="L88" s="9"/>
    </row>
    <row r="89" spans="1:12" x14ac:dyDescent="0.3">
      <c r="A89" s="9"/>
      <c r="B89" s="29">
        <v>2017</v>
      </c>
      <c r="C89" s="55">
        <v>5041</v>
      </c>
      <c r="D89" s="55">
        <v>7521</v>
      </c>
      <c r="E89" s="57">
        <v>-2480</v>
      </c>
      <c r="F89" s="9"/>
      <c r="G89" s="9"/>
      <c r="H89" s="9"/>
      <c r="I89" s="9"/>
      <c r="J89" s="9"/>
      <c r="K89" s="9"/>
      <c r="L89" s="9"/>
    </row>
    <row r="90" spans="1:12" x14ac:dyDescent="0.3">
      <c r="A90" s="9"/>
      <c r="B90" s="29">
        <v>2018</v>
      </c>
      <c r="C90" s="55">
        <v>6282</v>
      </c>
      <c r="D90" s="55">
        <v>7406</v>
      </c>
      <c r="E90" s="57">
        <v>-1124</v>
      </c>
      <c r="F90" s="9"/>
      <c r="G90" s="9"/>
      <c r="H90" s="9"/>
      <c r="I90" s="9"/>
      <c r="J90" s="9"/>
      <c r="K90" s="9"/>
      <c r="L90" s="9"/>
    </row>
    <row r="91" spans="1:12" x14ac:dyDescent="0.3">
      <c r="A91" s="9"/>
      <c r="B91" s="29">
        <v>2019</v>
      </c>
      <c r="C91" s="55">
        <v>5372</v>
      </c>
      <c r="D91" s="55">
        <v>6233</v>
      </c>
      <c r="E91" s="57">
        <v>-861</v>
      </c>
      <c r="F91" s="9"/>
      <c r="G91" s="9"/>
      <c r="H91" s="9"/>
      <c r="I91" s="9"/>
      <c r="J91" s="9"/>
      <c r="K91" s="9"/>
      <c r="L91" s="9"/>
    </row>
    <row r="92" spans="1:12" x14ac:dyDescent="0.3">
      <c r="A92" s="9"/>
      <c r="B92" s="29">
        <v>2020</v>
      </c>
      <c r="C92" s="55">
        <v>3808</v>
      </c>
      <c r="D92" s="55">
        <v>4465</v>
      </c>
      <c r="E92" s="57">
        <v>-657</v>
      </c>
      <c r="F92" s="9"/>
      <c r="G92" s="9"/>
      <c r="H92" s="9"/>
      <c r="I92" s="9"/>
      <c r="J92" s="9"/>
      <c r="K92" s="9"/>
      <c r="L92" s="9"/>
    </row>
    <row r="93" spans="1:12" x14ac:dyDescent="0.3">
      <c r="A93" s="9"/>
      <c r="B93" s="78" t="s">
        <v>31</v>
      </c>
      <c r="C93" s="56">
        <v>55674</v>
      </c>
      <c r="D93" s="56">
        <v>58912</v>
      </c>
      <c r="E93" s="58">
        <v>-3238</v>
      </c>
      <c r="F93" s="9"/>
      <c r="G93" s="9"/>
      <c r="H93" s="9"/>
      <c r="I93" s="9"/>
      <c r="J93" s="9"/>
      <c r="K93" s="9"/>
      <c r="L93" s="9"/>
    </row>
    <row r="94" spans="1:12" x14ac:dyDescent="0.3">
      <c r="A94" s="9"/>
      <c r="B94" s="9"/>
      <c r="C94" s="9"/>
      <c r="D94" s="9"/>
      <c r="E94" s="9"/>
      <c r="F94" s="9"/>
      <c r="G94" s="9"/>
      <c r="H94" s="9"/>
      <c r="I94" s="9"/>
      <c r="J94" s="9"/>
      <c r="K94" s="9"/>
      <c r="L94" s="9"/>
    </row>
    <row r="95" spans="1:12" x14ac:dyDescent="0.3">
      <c r="A95" s="331" t="s">
        <v>137</v>
      </c>
      <c r="B95" s="331"/>
      <c r="C95" s="331"/>
      <c r="D95" s="331"/>
      <c r="E95" s="331"/>
      <c r="F95" s="331"/>
      <c r="G95" s="331"/>
      <c r="H95" s="331"/>
      <c r="I95" s="331"/>
      <c r="J95" s="331"/>
      <c r="K95" s="331"/>
      <c r="L95" s="9"/>
    </row>
    <row r="96" spans="1:12" x14ac:dyDescent="0.3">
      <c r="A96" s="331"/>
      <c r="B96" s="331"/>
      <c r="C96" s="331"/>
      <c r="D96" s="331"/>
      <c r="E96" s="331"/>
      <c r="F96" s="331"/>
      <c r="G96" s="331"/>
      <c r="H96" s="331"/>
      <c r="I96" s="331"/>
      <c r="J96" s="331"/>
      <c r="K96" s="331"/>
      <c r="L96" s="9"/>
    </row>
    <row r="97" spans="1:13" x14ac:dyDescent="0.3">
      <c r="A97" s="331"/>
      <c r="B97" s="331"/>
      <c r="C97" s="331"/>
      <c r="D97" s="331"/>
      <c r="E97" s="331"/>
      <c r="F97" s="331"/>
      <c r="G97" s="331"/>
      <c r="H97" s="331"/>
      <c r="I97" s="331"/>
      <c r="J97" s="331"/>
      <c r="K97" s="331"/>
      <c r="L97" s="9"/>
    </row>
    <row r="98" spans="1:13" x14ac:dyDescent="0.3">
      <c r="A98" s="331"/>
      <c r="B98" s="331"/>
      <c r="C98" s="331"/>
      <c r="D98" s="331"/>
      <c r="E98" s="331"/>
      <c r="F98" s="331"/>
      <c r="G98" s="331"/>
      <c r="H98" s="331"/>
      <c r="I98" s="331"/>
      <c r="J98" s="331"/>
      <c r="K98" s="331"/>
      <c r="L98" s="9"/>
    </row>
    <row r="99" spans="1:13" x14ac:dyDescent="0.3">
      <c r="A99" s="9"/>
      <c r="B99" s="9"/>
      <c r="C99" s="9"/>
      <c r="D99" s="9"/>
      <c r="E99" s="9"/>
      <c r="F99" s="9"/>
      <c r="G99" s="9"/>
      <c r="H99" s="9"/>
      <c r="I99" s="9"/>
      <c r="J99" s="9"/>
      <c r="K99" s="9"/>
      <c r="L99" s="9"/>
    </row>
    <row r="101" spans="1:13" x14ac:dyDescent="0.3">
      <c r="A101" s="6" t="s">
        <v>3</v>
      </c>
      <c r="B101" s="4" t="s">
        <v>138</v>
      </c>
      <c r="C101" s="4"/>
      <c r="D101" s="4"/>
      <c r="E101" s="4"/>
      <c r="F101" s="4"/>
      <c r="G101" s="4"/>
      <c r="H101" s="4"/>
      <c r="I101" s="4"/>
      <c r="J101" s="4"/>
      <c r="K101" s="4"/>
      <c r="L101" s="4"/>
    </row>
    <row r="102" spans="1:13" x14ac:dyDescent="0.3">
      <c r="A102" s="3"/>
      <c r="B102" s="3"/>
      <c r="C102" s="3"/>
      <c r="D102" s="3"/>
      <c r="E102" s="3"/>
      <c r="F102" s="3"/>
      <c r="G102" s="4"/>
      <c r="H102" s="4"/>
      <c r="I102" s="4"/>
      <c r="J102" s="4"/>
      <c r="K102" s="4"/>
      <c r="L102" s="4"/>
    </row>
    <row r="103" spans="1:13" x14ac:dyDescent="0.3">
      <c r="A103" s="7"/>
      <c r="B103" s="7"/>
      <c r="C103" s="7"/>
      <c r="D103" s="7"/>
      <c r="E103" s="7"/>
      <c r="F103" s="7"/>
      <c r="G103" s="7"/>
      <c r="H103" s="7"/>
      <c r="I103" s="7"/>
      <c r="J103" s="7"/>
      <c r="K103" s="7"/>
      <c r="L103" s="7"/>
    </row>
    <row r="104" spans="1:13" x14ac:dyDescent="0.3">
      <c r="A104" s="7" t="s">
        <v>1</v>
      </c>
      <c r="B104" s="7"/>
      <c r="C104" s="7"/>
      <c r="D104" s="7"/>
      <c r="E104" s="7"/>
      <c r="F104" s="7"/>
      <c r="G104" s="7"/>
      <c r="H104" s="7"/>
      <c r="I104" s="7"/>
      <c r="J104" s="7"/>
      <c r="K104" s="7"/>
      <c r="L104" s="7"/>
    </row>
    <row r="105" spans="1:13" x14ac:dyDescent="0.3">
      <c r="A105" s="7"/>
      <c r="B105" s="7"/>
      <c r="C105" s="7"/>
      <c r="D105" s="7"/>
      <c r="E105" s="7"/>
      <c r="F105" s="7"/>
      <c r="G105" s="7"/>
      <c r="H105" s="7"/>
      <c r="I105" s="7"/>
      <c r="J105" s="7"/>
      <c r="K105" s="7"/>
      <c r="L105" s="7"/>
    </row>
    <row r="106" spans="1:13" x14ac:dyDescent="0.3">
      <c r="A106" s="7" t="s">
        <v>451</v>
      </c>
      <c r="B106" s="7"/>
      <c r="C106" s="7"/>
      <c r="D106" s="7"/>
      <c r="E106" s="7"/>
      <c r="F106" s="7"/>
      <c r="G106" s="7"/>
      <c r="H106" s="7"/>
      <c r="I106" s="7"/>
      <c r="J106" s="7"/>
      <c r="K106" s="7"/>
      <c r="L106" s="7"/>
    </row>
    <row r="107" spans="1:13" x14ac:dyDescent="0.3">
      <c r="A107" s="1" t="s">
        <v>452</v>
      </c>
    </row>
    <row r="108" spans="1:13" x14ac:dyDescent="0.3">
      <c r="A108" s="1" t="s">
        <v>453</v>
      </c>
    </row>
    <row r="109" spans="1:13" x14ac:dyDescent="0.3">
      <c r="M109" s="7"/>
    </row>
    <row r="110" spans="1:13" x14ac:dyDescent="0.3">
      <c r="M110" s="7"/>
    </row>
  </sheetData>
  <mergeCells count="7">
    <mergeCell ref="A95:K98"/>
    <mergeCell ref="B10:B11"/>
    <mergeCell ref="C10:C11"/>
    <mergeCell ref="F10:F11"/>
    <mergeCell ref="B62:K63"/>
    <mergeCell ref="C82:E82"/>
    <mergeCell ref="A79:K80"/>
  </mergeCells>
  <pageMargins left="0.7" right="0.7" top="0.75" bottom="0.75" header="0.3" footer="0.3"/>
  <pageSetup scale="6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22</vt:i4>
      </vt:variant>
    </vt:vector>
  </HeadingPairs>
  <TitlesOfParts>
    <vt:vector size="42"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1'!Print_Area</vt:lpstr>
      <vt:lpstr>'Question 10'!Print_Area</vt:lpstr>
      <vt:lpstr>'Question 11'!Print_Area</vt:lpstr>
      <vt:lpstr>'Question 12'!Print_Area</vt:lpstr>
      <vt:lpstr>'Question 13'!Print_Area</vt:lpstr>
      <vt:lpstr>'Question 14'!Print_Area</vt:lpstr>
      <vt:lpstr>'Question 15'!Print_Area</vt:lpstr>
      <vt:lpstr>'Question 16'!Print_Area</vt:lpstr>
      <vt:lpstr>'Question 17'!Print_Area</vt:lpstr>
      <vt:lpstr>'Question 18'!Print_Area</vt:lpstr>
      <vt:lpstr>'Question 19'!Print_Area</vt:lpstr>
      <vt:lpstr>'Question 2'!Print_Area</vt:lpstr>
      <vt:lpstr>'Question 20'!Print_Area</vt:lpstr>
      <vt:lpstr>'Question 3'!Print_Area</vt:lpstr>
      <vt:lpstr>'Question 4'!Print_Area</vt:lpstr>
      <vt:lpstr>'Question 5'!Print_Area</vt:lpstr>
      <vt:lpstr>'Question 6'!Print_Area</vt:lpstr>
      <vt:lpstr>'Question 7'!Print_Area</vt:lpstr>
      <vt:lpstr>'Question 8'!Print_Area</vt:lpstr>
      <vt:lpstr>'Question 9'!Print_Area</vt:lpstr>
      <vt:lpstr>Tail</vt:lpstr>
      <vt:lpstr>Trend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 Zionce</cp:lastModifiedBy>
  <cp:lastPrinted>2018-12-31T14:01:19Z</cp:lastPrinted>
  <dcterms:created xsi:type="dcterms:W3CDTF">2016-11-07T18:30:57Z</dcterms:created>
  <dcterms:modified xsi:type="dcterms:W3CDTF">2022-02-07T13:55:05Z</dcterms:modified>
</cp:coreProperties>
</file>