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Q:\Aleshia\Fall 2020 solutions\"/>
    </mc:Choice>
  </mc:AlternateContent>
  <xr:revisionPtr revIDLastSave="0" documentId="8_{24D04D89-D0BC-48DC-B035-C617BF005E9F}" xr6:coauthVersionLast="45" xr6:coauthVersionMax="45" xr10:uidLastSave="{00000000-0000-0000-0000-000000000000}"/>
  <bookViews>
    <workbookView xWindow="1416" yWindow="1032" windowWidth="21600" windowHeight="11328" tabRatio="784" xr2:uid="{00000000-000D-0000-FFFF-FFFF00000000}"/>
  </bookViews>
  <sheets>
    <sheet name="Question 1" sheetId="35" r:id="rId1"/>
    <sheet name="Question 2" sheetId="39" r:id="rId2"/>
    <sheet name="Question 3" sheetId="40" r:id="rId3"/>
    <sheet name="Question 4" sheetId="41" r:id="rId4"/>
    <sheet name="Question 5" sheetId="42" r:id="rId5"/>
    <sheet name="Question 6" sheetId="43" r:id="rId6"/>
    <sheet name="Question 7" sheetId="44" r:id="rId7"/>
    <sheet name="Question 8" sheetId="45" r:id="rId8"/>
    <sheet name="Question 9" sheetId="46" r:id="rId9"/>
    <sheet name="Question 10" sheetId="47" r:id="rId10"/>
    <sheet name="Question 11" sheetId="48" r:id="rId11"/>
    <sheet name="Question 12" sheetId="49" r:id="rId12"/>
    <sheet name="Question 13" sheetId="50" r:id="rId13"/>
    <sheet name="Question 14" sheetId="51" r:id="rId14"/>
    <sheet name="Question 15" sheetId="52" r:id="rId15"/>
    <sheet name="Question 16" sheetId="53" r:id="rId16"/>
    <sheet name="Question 17" sheetId="54" r:id="rId17"/>
    <sheet name="Question 18" sheetId="55" r:id="rId18"/>
    <sheet name="Question 19" sheetId="56" r:id="rId19"/>
    <sheet name="Question 20" sheetId="57" r:id="rId20"/>
  </sheets>
  <definedNames>
    <definedName name="_xlnm.Print_Area" localSheetId="0">'Question 1'!$A$3:$L$83</definedName>
    <definedName name="_xlnm.Print_Area" localSheetId="9">'Question 10'!$A$3:$L$71</definedName>
    <definedName name="_xlnm.Print_Area" localSheetId="10">'Question 11'!$A$3:$L$56</definedName>
    <definedName name="_xlnm.Print_Area" localSheetId="11">'Question 12'!$A$3:$L$37</definedName>
    <definedName name="_xlnm.Print_Area" localSheetId="12">'Question 13'!$A$3:$L$57</definedName>
    <definedName name="_xlnm.Print_Area" localSheetId="13">'Question 14'!$A$3:$L$110</definedName>
    <definedName name="_xlnm.Print_Area" localSheetId="14">'Question 15'!$A$3:$L$51</definedName>
    <definedName name="_xlnm.Print_Area" localSheetId="15">'Question 16'!$A$3:$AB$128</definedName>
    <definedName name="_xlnm.Print_Area" localSheetId="17">'Question 18'!$A$3:$L$121</definedName>
    <definedName name="_xlnm.Print_Area" localSheetId="18">'Question 19'!$A$3:$L$81</definedName>
    <definedName name="_xlnm.Print_Area" localSheetId="1">'Question 2'!$A$3:$L$59</definedName>
    <definedName name="_xlnm.Print_Area" localSheetId="19">'Question 20'!$A$3:$L$56</definedName>
    <definedName name="_xlnm.Print_Area" localSheetId="2">'Question 3'!$A$3:$L$46</definedName>
    <definedName name="_xlnm.Print_Area" localSheetId="3">'Question 4'!$A$3:$L$81</definedName>
    <definedName name="_xlnm.Print_Area" localSheetId="4">'Question 5'!$A$3:$L$44</definedName>
    <definedName name="_xlnm.Print_Area" localSheetId="5">'Question 6'!$A$3:$L$123</definedName>
    <definedName name="_xlnm.Print_Area" localSheetId="6">'Question 7'!$A$1:$L$4</definedName>
    <definedName name="_xlnm.Print_Area" localSheetId="7">'Question 8'!$A$3:$L$29</definedName>
    <definedName name="_xlnm.Print_Area" localSheetId="8">'Question 9'!$A$3:$AB$55</definedName>
    <definedName name="_xlnm.Print_Titles" localSheetId="0">'Question 1'!$1:$2</definedName>
    <definedName name="_xlnm.Print_Titles" localSheetId="9">'Question 10'!$1:$2</definedName>
    <definedName name="_xlnm.Print_Titles" localSheetId="10">'Question 11'!$1:$2</definedName>
    <definedName name="_xlnm.Print_Titles" localSheetId="11">'Question 12'!$1:$2</definedName>
    <definedName name="_xlnm.Print_Titles" localSheetId="12">'Question 13'!$1:$2</definedName>
    <definedName name="_xlnm.Print_Titles" localSheetId="13">'Question 14'!$1:$2</definedName>
    <definedName name="_xlnm.Print_Titles" localSheetId="14">'Question 15'!$1:$2</definedName>
    <definedName name="_xlnm.Print_Titles" localSheetId="15">'Question 16'!$1:$2</definedName>
    <definedName name="_xlnm.Print_Titles" localSheetId="17">'Question 18'!$1:$2</definedName>
    <definedName name="_xlnm.Print_Titles" localSheetId="18">'Question 19'!$1:$2</definedName>
    <definedName name="_xlnm.Print_Titles" localSheetId="1">'Question 2'!$1:$2</definedName>
    <definedName name="_xlnm.Print_Titles" localSheetId="19">'Question 20'!$1:$2</definedName>
    <definedName name="_xlnm.Print_Titles" localSheetId="2">'Question 3'!$1:$2</definedName>
    <definedName name="_xlnm.Print_Titles" localSheetId="3">'Question 4'!$1:$2</definedName>
    <definedName name="_xlnm.Print_Titles" localSheetId="4">'Question 5'!$1:$2</definedName>
    <definedName name="_xlnm.Print_Titles" localSheetId="5">'Question 6'!$1:$2</definedName>
    <definedName name="_xlnm.Print_Titles" localSheetId="7">'Question 8'!$1:$2</definedName>
    <definedName name="_xlnm.Print_Titles" localSheetId="8">'Question 9'!$1:$2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0" i="57" l="1"/>
  <c r="E59" i="57" s="1"/>
  <c r="B29" i="57"/>
  <c r="B28" i="57"/>
  <c r="B27" i="57"/>
  <c r="B26" i="57"/>
  <c r="B25" i="57"/>
  <c r="C29" i="57" l="1"/>
  <c r="C27" i="57"/>
  <c r="C28" i="57"/>
  <c r="C30" i="57"/>
  <c r="C26" i="57"/>
  <c r="H78" i="56"/>
  <c r="H77" i="56"/>
  <c r="H76" i="56"/>
  <c r="H75" i="56"/>
  <c r="H74" i="56"/>
  <c r="G77" i="56"/>
  <c r="G75" i="56"/>
  <c r="E77" i="56"/>
  <c r="E75" i="56"/>
  <c r="C75" i="56"/>
  <c r="C74" i="56"/>
  <c r="B78" i="56"/>
  <c r="B77" i="56"/>
  <c r="B76" i="56"/>
  <c r="B75" i="56"/>
  <c r="B74" i="56"/>
  <c r="G70" i="56"/>
  <c r="D74" i="56" s="1"/>
  <c r="G61" i="56"/>
  <c r="F62" i="56"/>
  <c r="E63" i="56"/>
  <c r="C76" i="56" s="1"/>
  <c r="D64" i="56"/>
  <c r="C77" i="56" s="1"/>
  <c r="C65" i="56"/>
  <c r="C78" i="56" s="1"/>
  <c r="D60" i="56"/>
  <c r="E60" i="56" s="1"/>
  <c r="C29" i="56"/>
  <c r="H29" i="56" s="1"/>
  <c r="D28" i="56"/>
  <c r="H28" i="56" s="1"/>
  <c r="C28" i="56" s="1"/>
  <c r="C64" i="56" s="1"/>
  <c r="E27" i="56"/>
  <c r="H27" i="56" s="1"/>
  <c r="F26" i="56"/>
  <c r="H26" i="56" s="1"/>
  <c r="E26" i="56" s="1"/>
  <c r="E62" i="56" s="1"/>
  <c r="G25" i="56"/>
  <c r="H25" i="56" s="1"/>
  <c r="D24" i="56"/>
  <c r="E24" i="56" s="1"/>
  <c r="F24" i="56" s="1"/>
  <c r="G24" i="56" s="1"/>
  <c r="C36" i="57" l="1"/>
  <c r="C37" i="57"/>
  <c r="D39" i="57" s="1"/>
  <c r="E58" i="57" s="1"/>
  <c r="E61" i="57" s="1"/>
  <c r="C68" i="56"/>
  <c r="F60" i="56"/>
  <c r="E68" i="56" s="1"/>
  <c r="D68" i="56"/>
  <c r="F74" i="56"/>
  <c r="C79" i="56"/>
  <c r="C27" i="56"/>
  <c r="C63" i="56" s="1"/>
  <c r="D27" i="56"/>
  <c r="D63" i="56" s="1"/>
  <c r="F25" i="56"/>
  <c r="F61" i="56" s="1"/>
  <c r="E25" i="56"/>
  <c r="E61" i="56" s="1"/>
  <c r="C25" i="56"/>
  <c r="C61" i="56" s="1"/>
  <c r="D25" i="56"/>
  <c r="D61" i="56" s="1"/>
  <c r="C26" i="56"/>
  <c r="C62" i="56" s="1"/>
  <c r="D26" i="56"/>
  <c r="D62" i="56" s="1"/>
  <c r="C124" i="55"/>
  <c r="B95" i="55"/>
  <c r="B94" i="55" s="1"/>
  <c r="B93" i="55" s="1"/>
  <c r="B92" i="55" s="1"/>
  <c r="B91" i="55" s="1"/>
  <c r="B82" i="55"/>
  <c r="C38" i="55"/>
  <c r="D37" i="55"/>
  <c r="D46" i="55" s="1"/>
  <c r="C37" i="55"/>
  <c r="C46" i="55" s="1"/>
  <c r="E36" i="55"/>
  <c r="E45" i="55" s="1"/>
  <c r="D36" i="55"/>
  <c r="D45" i="55" s="1"/>
  <c r="C36" i="55"/>
  <c r="C45" i="55" s="1"/>
  <c r="F35" i="55"/>
  <c r="F44" i="55" s="1"/>
  <c r="E35" i="55"/>
  <c r="E44" i="55" s="1"/>
  <c r="D35" i="55"/>
  <c r="D44" i="55" s="1"/>
  <c r="C35" i="55"/>
  <c r="C44" i="55" s="1"/>
  <c r="G34" i="55"/>
  <c r="G43" i="55" s="1"/>
  <c r="F34" i="55"/>
  <c r="F43" i="55" s="1"/>
  <c r="E34" i="55"/>
  <c r="E43" i="55" s="1"/>
  <c r="D34" i="55"/>
  <c r="D43" i="55" s="1"/>
  <c r="C34" i="55"/>
  <c r="C43" i="55" s="1"/>
  <c r="G33" i="55"/>
  <c r="G42" i="55" s="1"/>
  <c r="F33" i="55"/>
  <c r="F42" i="55" s="1"/>
  <c r="E33" i="55"/>
  <c r="E42" i="55" s="1"/>
  <c r="D33" i="55"/>
  <c r="D42" i="55" s="1"/>
  <c r="C33" i="55"/>
  <c r="C42" i="55" s="1"/>
  <c r="H33" i="55"/>
  <c r="H42" i="55" s="1"/>
  <c r="B79" i="55"/>
  <c r="B78" i="55" s="1"/>
  <c r="B77" i="55" s="1"/>
  <c r="E70" i="55"/>
  <c r="C68" i="55"/>
  <c r="E67" i="55"/>
  <c r="C96" i="55" s="1"/>
  <c r="E66" i="55"/>
  <c r="C95" i="55" s="1"/>
  <c r="E65" i="55"/>
  <c r="C78" i="55" s="1"/>
  <c r="E64" i="55"/>
  <c r="C77" i="55" s="1"/>
  <c r="E63" i="55"/>
  <c r="C76" i="55" s="1"/>
  <c r="B63" i="55"/>
  <c r="B64" i="55" s="1"/>
  <c r="B65" i="55" s="1"/>
  <c r="B66" i="55" s="1"/>
  <c r="B67" i="55" s="1"/>
  <c r="E62" i="55"/>
  <c r="C75" i="55" s="1"/>
  <c r="I50" i="55"/>
  <c r="C47" i="55"/>
  <c r="B47" i="55"/>
  <c r="B46" i="55"/>
  <c r="B45" i="55"/>
  <c r="B44" i="55"/>
  <c r="B43" i="55"/>
  <c r="B42" i="55"/>
  <c r="D69" i="56" l="1"/>
  <c r="E69" i="56"/>
  <c r="F69" i="56"/>
  <c r="C69" i="56"/>
  <c r="G60" i="56"/>
  <c r="G68" i="56" s="1"/>
  <c r="F68" i="56"/>
  <c r="E78" i="55"/>
  <c r="D109" i="55"/>
  <c r="C79" i="55"/>
  <c r="E77" i="55"/>
  <c r="D93" i="55" s="1"/>
  <c r="E79" i="55"/>
  <c r="D95" i="55" s="1"/>
  <c r="E80" i="55"/>
  <c r="D96" i="55" s="1"/>
  <c r="C94" i="55"/>
  <c r="D108" i="55"/>
  <c r="D90" i="55"/>
  <c r="C91" i="55"/>
  <c r="C80" i="55"/>
  <c r="C92" i="55"/>
  <c r="C93" i="55"/>
  <c r="G49" i="55"/>
  <c r="G50" i="55" s="1"/>
  <c r="I44" i="55" s="1"/>
  <c r="D77" i="55" s="1"/>
  <c r="B76" i="55"/>
  <c r="B75" i="55" s="1"/>
  <c r="E68" i="55"/>
  <c r="E74" i="55"/>
  <c r="D94" i="55"/>
  <c r="E49" i="55"/>
  <c r="H49" i="55"/>
  <c r="H50" i="55" s="1"/>
  <c r="I43" i="55" s="1"/>
  <c r="D76" i="55" s="1"/>
  <c r="D49" i="55"/>
  <c r="F49" i="55"/>
  <c r="I42" i="55"/>
  <c r="D75" i="55" s="1"/>
  <c r="D101" i="53"/>
  <c r="C87" i="53"/>
  <c r="C86" i="53"/>
  <c r="C85" i="53"/>
  <c r="C84" i="53"/>
  <c r="C83" i="53"/>
  <c r="D77" i="53"/>
  <c r="D76" i="53"/>
  <c r="D75" i="53"/>
  <c r="D74" i="53"/>
  <c r="D73" i="53"/>
  <c r="C77" i="53"/>
  <c r="E77" i="53" s="1"/>
  <c r="C76" i="53"/>
  <c r="D86" i="53" s="1"/>
  <c r="C75" i="53"/>
  <c r="D85" i="53" s="1"/>
  <c r="C74" i="53"/>
  <c r="E74" i="53" s="1"/>
  <c r="C73" i="53"/>
  <c r="E73" i="53" s="1"/>
  <c r="H38" i="53"/>
  <c r="G38" i="53"/>
  <c r="F36" i="53"/>
  <c r="C36" i="53"/>
  <c r="C37" i="53" s="1"/>
  <c r="F35" i="53"/>
  <c r="C35" i="53"/>
  <c r="F34" i="53"/>
  <c r="C34" i="53"/>
  <c r="F33" i="53"/>
  <c r="E33" i="53"/>
  <c r="D33" i="53"/>
  <c r="E32" i="53"/>
  <c r="D32" i="53"/>
  <c r="D38" i="53" s="1"/>
  <c r="E70" i="56" l="1"/>
  <c r="D76" i="56" s="1"/>
  <c r="F76" i="56" s="1"/>
  <c r="C70" i="56"/>
  <c r="D78" i="56" s="1"/>
  <c r="F78" i="56" s="1"/>
  <c r="F70" i="56"/>
  <c r="D75" i="56" s="1"/>
  <c r="F75" i="56" s="1"/>
  <c r="D70" i="56"/>
  <c r="D77" i="56" s="1"/>
  <c r="F77" i="56" s="1"/>
  <c r="E76" i="55"/>
  <c r="D92" i="55" s="1"/>
  <c r="E75" i="55"/>
  <c r="D91" i="55" s="1"/>
  <c r="F50" i="55"/>
  <c r="I45" i="55" s="1"/>
  <c r="D78" i="55" s="1"/>
  <c r="F78" i="55" s="1"/>
  <c r="D50" i="55"/>
  <c r="I47" i="55" s="1"/>
  <c r="D80" i="55" s="1"/>
  <c r="F77" i="55"/>
  <c r="E50" i="55"/>
  <c r="I46" i="55" s="1"/>
  <c r="D79" i="55" s="1"/>
  <c r="F79" i="55" s="1"/>
  <c r="E75" i="53"/>
  <c r="D84" i="53"/>
  <c r="E76" i="53"/>
  <c r="D83" i="53"/>
  <c r="F83" i="53" s="1"/>
  <c r="D87" i="53"/>
  <c r="F87" i="53" s="1"/>
  <c r="H40" i="53"/>
  <c r="H42" i="53" s="1"/>
  <c r="F77" i="53" s="1"/>
  <c r="G77" i="53" s="1"/>
  <c r="F84" i="53"/>
  <c r="F86" i="53"/>
  <c r="E38" i="53"/>
  <c r="F38" i="53"/>
  <c r="E40" i="53"/>
  <c r="E42" i="53" s="1"/>
  <c r="F74" i="53" s="1"/>
  <c r="F40" i="53"/>
  <c r="F42" i="53" s="1"/>
  <c r="F75" i="53" s="1"/>
  <c r="D40" i="53"/>
  <c r="D42" i="53" s="1"/>
  <c r="F73" i="53" s="1"/>
  <c r="G73" i="53" s="1"/>
  <c r="G40" i="53"/>
  <c r="G42" i="53" s="1"/>
  <c r="F76" i="53" s="1"/>
  <c r="G76" i="53" s="1"/>
  <c r="G35" i="52"/>
  <c r="B39" i="52" s="1"/>
  <c r="D49" i="52" s="1"/>
  <c r="H79" i="56" l="1"/>
  <c r="F79" i="56"/>
  <c r="F75" i="55"/>
  <c r="F76" i="55"/>
  <c r="G86" i="53"/>
  <c r="C99" i="53" s="1"/>
  <c r="G74" i="53"/>
  <c r="G84" i="53" s="1"/>
  <c r="C97" i="53" s="1"/>
  <c r="F85" i="53"/>
  <c r="G75" i="53"/>
  <c r="G87" i="53"/>
  <c r="C100" i="53" s="1"/>
  <c r="G83" i="53"/>
  <c r="C96" i="53" s="1"/>
  <c r="B126" i="51"/>
  <c r="B125" i="51" s="1"/>
  <c r="B124" i="51" s="1"/>
  <c r="B123" i="51" s="1"/>
  <c r="B122" i="51" s="1"/>
  <c r="E123" i="51"/>
  <c r="D123" i="51"/>
  <c r="C118" i="51"/>
  <c r="C127" i="51" s="1"/>
  <c r="D117" i="51"/>
  <c r="D126" i="51" s="1"/>
  <c r="C117" i="51"/>
  <c r="C126" i="51" s="1"/>
  <c r="B117" i="51"/>
  <c r="B116" i="51" s="1"/>
  <c r="B115" i="51" s="1"/>
  <c r="B114" i="51" s="1"/>
  <c r="B113" i="51" s="1"/>
  <c r="E116" i="51"/>
  <c r="E125" i="51" s="1"/>
  <c r="D116" i="51"/>
  <c r="D125" i="51" s="1"/>
  <c r="C116" i="51"/>
  <c r="C125" i="51" s="1"/>
  <c r="F115" i="51"/>
  <c r="F124" i="51" s="1"/>
  <c r="E115" i="51"/>
  <c r="E124" i="51" s="1"/>
  <c r="D115" i="51"/>
  <c r="D124" i="51" s="1"/>
  <c r="C115" i="51"/>
  <c r="C124" i="51" s="1"/>
  <c r="G114" i="51"/>
  <c r="G123" i="51" s="1"/>
  <c r="F114" i="51"/>
  <c r="F123" i="51" s="1"/>
  <c r="E114" i="51"/>
  <c r="D114" i="51"/>
  <c r="C114" i="51"/>
  <c r="C123" i="51" s="1"/>
  <c r="H113" i="51"/>
  <c r="H122" i="51" s="1"/>
  <c r="G113" i="51"/>
  <c r="G122" i="51" s="1"/>
  <c r="F113" i="51"/>
  <c r="F122" i="51" s="1"/>
  <c r="E113" i="51"/>
  <c r="E122" i="51" s="1"/>
  <c r="D113" i="51"/>
  <c r="D122" i="51" s="1"/>
  <c r="C113" i="51"/>
  <c r="C122" i="51" s="1"/>
  <c r="C103" i="51"/>
  <c r="D102" i="51"/>
  <c r="C102" i="51"/>
  <c r="B102" i="51"/>
  <c r="B101" i="51" s="1"/>
  <c r="B100" i="51" s="1"/>
  <c r="B99" i="51" s="1"/>
  <c r="B98" i="51" s="1"/>
  <c r="E101" i="51"/>
  <c r="D101" i="51"/>
  <c r="C101" i="51"/>
  <c r="F100" i="51"/>
  <c r="E100" i="51"/>
  <c r="D100" i="51"/>
  <c r="C100" i="51"/>
  <c r="G99" i="51"/>
  <c r="F99" i="51"/>
  <c r="E99" i="51"/>
  <c r="D99" i="51"/>
  <c r="C99" i="51"/>
  <c r="H98" i="51"/>
  <c r="G98" i="51"/>
  <c r="F98" i="51"/>
  <c r="E98" i="51"/>
  <c r="D98" i="51"/>
  <c r="C98" i="51"/>
  <c r="C92" i="51"/>
  <c r="D91" i="51"/>
  <c r="C91" i="51"/>
  <c r="B91" i="51"/>
  <c r="B90" i="51" s="1"/>
  <c r="B89" i="51" s="1"/>
  <c r="B88" i="51" s="1"/>
  <c r="B87" i="51" s="1"/>
  <c r="E90" i="51"/>
  <c r="D90" i="51"/>
  <c r="C90" i="51"/>
  <c r="F89" i="51"/>
  <c r="E89" i="51"/>
  <c r="D89" i="51"/>
  <c r="C89" i="51"/>
  <c r="G88" i="51"/>
  <c r="F88" i="51"/>
  <c r="E88" i="51"/>
  <c r="D88" i="51"/>
  <c r="C88" i="51"/>
  <c r="H87" i="51"/>
  <c r="G87" i="51"/>
  <c r="F87" i="51"/>
  <c r="E87" i="51"/>
  <c r="D87" i="51"/>
  <c r="C87" i="51"/>
  <c r="E39" i="51"/>
  <c r="E38" i="51"/>
  <c r="E37" i="51"/>
  <c r="E36" i="51"/>
  <c r="E35" i="51"/>
  <c r="E34" i="51"/>
  <c r="D39" i="51"/>
  <c r="D38" i="51"/>
  <c r="D37" i="51"/>
  <c r="D36" i="51"/>
  <c r="D35" i="51"/>
  <c r="D34" i="51"/>
  <c r="C39" i="51"/>
  <c r="C38" i="51"/>
  <c r="C37" i="51"/>
  <c r="C36" i="51"/>
  <c r="C35" i="51"/>
  <c r="C34" i="51"/>
  <c r="H82" i="55" l="1"/>
  <c r="E109" i="55" s="1"/>
  <c r="D124" i="55" s="1"/>
  <c r="E93" i="55"/>
  <c r="F93" i="55" s="1"/>
  <c r="G93" i="55" s="1"/>
  <c r="E92" i="55"/>
  <c r="F92" i="55" s="1"/>
  <c r="G92" i="55" s="1"/>
  <c r="E96" i="55"/>
  <c r="F96" i="55" s="1"/>
  <c r="G96" i="55" s="1"/>
  <c r="G85" i="53"/>
  <c r="C98" i="53" s="1"/>
  <c r="E103" i="53" s="1"/>
  <c r="F119" i="53" s="1"/>
  <c r="I38" i="51"/>
  <c r="E40" i="51"/>
  <c r="F34" i="51"/>
  <c r="G34" i="51" s="1"/>
  <c r="H34" i="51" s="1"/>
  <c r="I36" i="51"/>
  <c r="F37" i="51"/>
  <c r="C40" i="51"/>
  <c r="F35" i="51"/>
  <c r="I34" i="51"/>
  <c r="I39" i="51"/>
  <c r="F39" i="51"/>
  <c r="I37" i="51"/>
  <c r="F36" i="51"/>
  <c r="D40" i="51"/>
  <c r="F38" i="51"/>
  <c r="I35" i="51"/>
  <c r="E39" i="50"/>
  <c r="G42" i="50" s="1"/>
  <c r="E38" i="50"/>
  <c r="F42" i="50" s="1"/>
  <c r="C43" i="50"/>
  <c r="E43" i="50" s="1"/>
  <c r="F43" i="50" s="1"/>
  <c r="E95" i="55" l="1"/>
  <c r="F95" i="55" s="1"/>
  <c r="G95" i="55" s="1"/>
  <c r="E94" i="55"/>
  <c r="E91" i="55"/>
  <c r="F91" i="55" s="1"/>
  <c r="G91" i="55" s="1"/>
  <c r="F109" i="55"/>
  <c r="G109" i="55" s="1"/>
  <c r="F94" i="55"/>
  <c r="G94" i="55" s="1"/>
  <c r="G97" i="55" s="1"/>
  <c r="F121" i="53"/>
  <c r="J34" i="51"/>
  <c r="G35" i="51"/>
  <c r="H35" i="51" s="1"/>
  <c r="G38" i="51"/>
  <c r="H38" i="51" s="1"/>
  <c r="J38" i="51"/>
  <c r="G36" i="51"/>
  <c r="H36" i="51" s="1"/>
  <c r="J36" i="51" s="1"/>
  <c r="G39" i="51"/>
  <c r="H39" i="51"/>
  <c r="J39" i="51" s="1"/>
  <c r="J35" i="51"/>
  <c r="I40" i="51"/>
  <c r="G37" i="51"/>
  <c r="H37" i="51" s="1"/>
  <c r="J37" i="51" s="1"/>
  <c r="G43" i="50"/>
  <c r="C50" i="50"/>
  <c r="C44" i="50"/>
  <c r="E44" i="50" s="1"/>
  <c r="F44" i="50" s="1"/>
  <c r="C32" i="49"/>
  <c r="C33" i="49" s="1"/>
  <c r="F125" i="53" l="1"/>
  <c r="F126" i="53" s="1"/>
  <c r="J40" i="51"/>
  <c r="H40" i="51"/>
  <c r="G44" i="50"/>
  <c r="C45" i="50"/>
  <c r="E45" i="50" s="1"/>
  <c r="G124" i="55" l="1"/>
  <c r="F45" i="50"/>
  <c r="G45" i="50"/>
  <c r="D50" i="50"/>
  <c r="E50" i="50" s="1"/>
  <c r="F50" i="50" s="1"/>
  <c r="D51" i="50"/>
  <c r="C51" i="50"/>
  <c r="C46" i="50"/>
  <c r="E46" i="50" s="1"/>
  <c r="G46" i="50" l="1"/>
  <c r="F46" i="50"/>
  <c r="C52" i="50"/>
  <c r="D52" i="50"/>
  <c r="E51" i="50"/>
  <c r="F51" i="50" s="1"/>
  <c r="A38" i="48"/>
  <c r="A39" i="48" s="1"/>
  <c r="A40" i="48" s="1"/>
  <c r="A41" i="48" s="1"/>
  <c r="A42" i="48" s="1"/>
  <c r="A43" i="48" s="1"/>
  <c r="A44" i="48" s="1"/>
  <c r="A45" i="48" s="1"/>
  <c r="A46" i="48" s="1"/>
  <c r="D42" i="48"/>
  <c r="E42" i="48" s="1"/>
  <c r="F42" i="48" s="1"/>
  <c r="E52" i="50" l="1"/>
  <c r="F52" i="50" s="1"/>
  <c r="D53" i="50"/>
  <c r="C53" i="50"/>
  <c r="G42" i="48"/>
  <c r="H42" i="48" s="1"/>
  <c r="D41" i="48"/>
  <c r="E41" i="48" s="1"/>
  <c r="D46" i="48"/>
  <c r="E46" i="48" s="1"/>
  <c r="D37" i="48"/>
  <c r="E37" i="48" s="1"/>
  <c r="D45" i="48"/>
  <c r="E45" i="48" s="1"/>
  <c r="D44" i="48"/>
  <c r="E44" i="48" s="1"/>
  <c r="D40" i="48"/>
  <c r="E40" i="48" s="1"/>
  <c r="D39" i="48"/>
  <c r="E39" i="48" s="1"/>
  <c r="D38" i="48"/>
  <c r="E38" i="48" s="1"/>
  <c r="D43" i="48"/>
  <c r="E43" i="48" s="1"/>
  <c r="B54" i="47"/>
  <c r="B53" i="47"/>
  <c r="B52" i="47"/>
  <c r="F49" i="47"/>
  <c r="E49" i="47"/>
  <c r="F48" i="47"/>
  <c r="E48" i="47"/>
  <c r="F47" i="47"/>
  <c r="E47" i="47"/>
  <c r="D43" i="47"/>
  <c r="E42" i="47"/>
  <c r="F42" i="47" s="1"/>
  <c r="E41" i="47"/>
  <c r="F41" i="47" s="1"/>
  <c r="E40" i="47"/>
  <c r="F40" i="47" s="1"/>
  <c r="E39" i="47"/>
  <c r="F39" i="47" s="1"/>
  <c r="E53" i="50" l="1"/>
  <c r="F53" i="50" s="1"/>
  <c r="I42" i="48"/>
  <c r="F37" i="48"/>
  <c r="G37" i="48" s="1"/>
  <c r="F46" i="48"/>
  <c r="G46" i="48" s="1"/>
  <c r="F44" i="48"/>
  <c r="G44" i="48" s="1"/>
  <c r="F41" i="48"/>
  <c r="G41" i="48" s="1"/>
  <c r="F38" i="48"/>
  <c r="G38" i="48" s="1"/>
  <c r="F39" i="48"/>
  <c r="G39" i="48" s="1"/>
  <c r="F45" i="48"/>
  <c r="G45" i="48" s="1"/>
  <c r="F43" i="48"/>
  <c r="G43" i="48" s="1"/>
  <c r="F40" i="48"/>
  <c r="G40" i="48" s="1"/>
  <c r="E50" i="47"/>
  <c r="F50" i="47"/>
  <c r="F43" i="47"/>
  <c r="E43" i="47"/>
  <c r="B69" i="47" s="1"/>
  <c r="B81" i="46"/>
  <c r="B80" i="46"/>
  <c r="B79" i="46"/>
  <c r="B78" i="46"/>
  <c r="B77" i="46"/>
  <c r="B69" i="46"/>
  <c r="B70" i="46"/>
  <c r="B68" i="46"/>
  <c r="B67" i="46"/>
  <c r="B66" i="46"/>
  <c r="E61" i="46"/>
  <c r="E60" i="46"/>
  <c r="E59" i="46"/>
  <c r="F59" i="46" s="1"/>
  <c r="C79" i="46" s="1"/>
  <c r="E58" i="46"/>
  <c r="F58" i="46" s="1"/>
  <c r="C78" i="46" s="1"/>
  <c r="E57" i="46"/>
  <c r="F57" i="46" s="1"/>
  <c r="C77" i="46" s="1"/>
  <c r="B61" i="46"/>
  <c r="B60" i="46"/>
  <c r="B59" i="46"/>
  <c r="B58" i="46"/>
  <c r="B57" i="46"/>
  <c r="A70" i="46"/>
  <c r="A69" i="46"/>
  <c r="A68" i="46"/>
  <c r="A67" i="46"/>
  <c r="D66" i="46"/>
  <c r="A66" i="46"/>
  <c r="F61" i="46"/>
  <c r="C81" i="46" s="1"/>
  <c r="F60" i="46"/>
  <c r="C80" i="46" s="1"/>
  <c r="F45" i="46"/>
  <c r="E45" i="46"/>
  <c r="D45" i="46"/>
  <c r="G44" i="46"/>
  <c r="H43" i="46" s="1"/>
  <c r="C44" i="46"/>
  <c r="E47" i="46" s="1"/>
  <c r="H45" i="48" l="1"/>
  <c r="I45" i="48"/>
  <c r="H41" i="48"/>
  <c r="I41" i="48"/>
  <c r="I44" i="48"/>
  <c r="H44" i="48"/>
  <c r="H39" i="48"/>
  <c r="I39" i="48"/>
  <c r="I38" i="48"/>
  <c r="H38" i="48"/>
  <c r="I40" i="48"/>
  <c r="H40" i="48"/>
  <c r="I46" i="48"/>
  <c r="H46" i="48"/>
  <c r="H43" i="48"/>
  <c r="I43" i="48"/>
  <c r="I37" i="48"/>
  <c r="G47" i="48"/>
  <c r="H37" i="48"/>
  <c r="C68" i="46"/>
  <c r="E68" i="46" s="1"/>
  <c r="B82" i="46"/>
  <c r="C69" i="46"/>
  <c r="E69" i="46" s="1"/>
  <c r="F47" i="46"/>
  <c r="D47" i="46"/>
  <c r="B62" i="46"/>
  <c r="C67" i="46"/>
  <c r="E67" i="46" s="1"/>
  <c r="C70" i="46"/>
  <c r="E70" i="46" s="1"/>
  <c r="C66" i="46"/>
  <c r="E66" i="46" s="1"/>
  <c r="G43" i="46"/>
  <c r="E37" i="45"/>
  <c r="C33" i="45" s="1"/>
  <c r="D33" i="45" s="1"/>
  <c r="H47" i="48" l="1"/>
  <c r="H49" i="48" s="1"/>
  <c r="C62" i="48" s="1"/>
  <c r="I47" i="48"/>
  <c r="I49" i="48" s="1"/>
  <c r="C63" i="48" s="1"/>
  <c r="E71" i="46"/>
  <c r="B71" i="46"/>
  <c r="H44" i="46"/>
  <c r="G45" i="46"/>
  <c r="G47" i="46"/>
  <c r="C34" i="45"/>
  <c r="D34" i="45" s="1"/>
  <c r="C32" i="45"/>
  <c r="D32" i="45" s="1"/>
  <c r="D63" i="48" l="1"/>
  <c r="D62" i="48"/>
  <c r="H45" i="46"/>
  <c r="H47" i="46"/>
  <c r="D35" i="45"/>
  <c r="E39" i="45" s="1"/>
  <c r="C35" i="45"/>
  <c r="D43" i="45" s="1"/>
  <c r="E43" i="45" s="1"/>
  <c r="H49" i="46" l="1"/>
  <c r="C61" i="46" s="1"/>
  <c r="D61" i="46" s="1"/>
  <c r="G61" i="46" s="1"/>
  <c r="G49" i="46"/>
  <c r="C60" i="46" s="1"/>
  <c r="D60" i="46" s="1"/>
  <c r="G60" i="46" s="1"/>
  <c r="F49" i="46"/>
  <c r="C59" i="46" s="1"/>
  <c r="D59" i="46" s="1"/>
  <c r="G59" i="46" s="1"/>
  <c r="D49" i="46"/>
  <c r="C57" i="46" s="1"/>
  <c r="D57" i="46" s="1"/>
  <c r="G57" i="46" s="1"/>
  <c r="E49" i="46"/>
  <c r="C58" i="46" s="1"/>
  <c r="D58" i="46" s="1"/>
  <c r="E50" i="45"/>
  <c r="E48" i="45"/>
  <c r="D44" i="45"/>
  <c r="E44" i="45" s="1"/>
  <c r="D62" i="46" l="1"/>
  <c r="G58" i="46"/>
  <c r="G62" i="46" s="1"/>
  <c r="E73" i="46" s="1"/>
  <c r="F66" i="46" s="1"/>
  <c r="D77" i="46" s="1"/>
  <c r="E77" i="46" s="1"/>
  <c r="E40" i="45"/>
  <c r="D45" i="45"/>
  <c r="E45" i="45" s="1"/>
  <c r="E46" i="45" s="1"/>
  <c r="E52" i="45" s="1"/>
  <c r="E53" i="45" s="1"/>
  <c r="F70" i="46" l="1"/>
  <c r="D81" i="46" s="1"/>
  <c r="E81" i="46" s="1"/>
  <c r="F67" i="46"/>
  <c r="D78" i="46" s="1"/>
  <c r="E78" i="46" s="1"/>
  <c r="F69" i="46"/>
  <c r="D80" i="46" s="1"/>
  <c r="E80" i="46" s="1"/>
  <c r="F68" i="46"/>
  <c r="D79" i="46" s="1"/>
  <c r="E79" i="46" s="1"/>
  <c r="H130" i="43"/>
  <c r="G130" i="43"/>
  <c r="F130" i="43"/>
  <c r="E130" i="43"/>
  <c r="D129" i="43"/>
  <c r="E129" i="43" s="1"/>
  <c r="F129" i="43" s="1"/>
  <c r="G129" i="43" s="1"/>
  <c r="H129" i="43" s="1"/>
  <c r="D125" i="43"/>
  <c r="E125" i="43" s="1"/>
  <c r="F125" i="43" s="1"/>
  <c r="G125" i="43" s="1"/>
  <c r="H125" i="43" s="1"/>
  <c r="D100" i="43"/>
  <c r="D126" i="43" s="1"/>
  <c r="E99" i="43"/>
  <c r="D99" i="43"/>
  <c r="F98" i="43"/>
  <c r="E98" i="43"/>
  <c r="D98" i="43"/>
  <c r="G97" i="43"/>
  <c r="F97" i="43"/>
  <c r="E97" i="43"/>
  <c r="D97" i="43"/>
  <c r="H96" i="43"/>
  <c r="G96" i="43"/>
  <c r="F96" i="43"/>
  <c r="E96" i="43"/>
  <c r="D96" i="43"/>
  <c r="C101" i="43"/>
  <c r="C100" i="43"/>
  <c r="C126" i="43" s="1"/>
  <c r="C99" i="43"/>
  <c r="C98" i="43"/>
  <c r="C97" i="43"/>
  <c r="C96" i="43"/>
  <c r="B106" i="43"/>
  <c r="B107" i="43" s="1"/>
  <c r="B108" i="43" s="1"/>
  <c r="B109" i="43" s="1"/>
  <c r="B110" i="43" s="1"/>
  <c r="D104" i="43"/>
  <c r="E104" i="43" s="1"/>
  <c r="F104" i="43" s="1"/>
  <c r="G104" i="43" s="1"/>
  <c r="H104" i="43" s="1"/>
  <c r="I101" i="43"/>
  <c r="I100" i="43"/>
  <c r="I99" i="43"/>
  <c r="I98" i="43"/>
  <c r="I97" i="43"/>
  <c r="B97" i="43"/>
  <c r="B98" i="43" s="1"/>
  <c r="I96" i="43"/>
  <c r="D95" i="43"/>
  <c r="E95" i="43" s="1"/>
  <c r="F95" i="43" s="1"/>
  <c r="G95" i="43" s="1"/>
  <c r="H95" i="43" s="1"/>
  <c r="B68" i="43"/>
  <c r="B69" i="43" s="1"/>
  <c r="B70" i="43" s="1"/>
  <c r="B71" i="43" s="1"/>
  <c r="B72" i="43" s="1"/>
  <c r="B53" i="43"/>
  <c r="B54" i="43" s="1"/>
  <c r="B55" i="43" s="1"/>
  <c r="B56" i="43" s="1"/>
  <c r="B57" i="43" s="1"/>
  <c r="D52" i="43"/>
  <c r="H47" i="43"/>
  <c r="B40" i="43"/>
  <c r="B41" i="43" s="1"/>
  <c r="B42" i="43" s="1"/>
  <c r="B43" i="43" s="1"/>
  <c r="D38" i="43"/>
  <c r="E38" i="43" s="1"/>
  <c r="F38" i="43" s="1"/>
  <c r="G38" i="43" s="1"/>
  <c r="H38" i="43" s="1"/>
  <c r="C35" i="43"/>
  <c r="C57" i="43" s="1"/>
  <c r="D34" i="43"/>
  <c r="C34" i="43"/>
  <c r="E33" i="43"/>
  <c r="C55" i="43" s="1"/>
  <c r="D33" i="43"/>
  <c r="C33" i="43"/>
  <c r="F32" i="43"/>
  <c r="C54" i="43" s="1"/>
  <c r="E32" i="43"/>
  <c r="D32" i="43"/>
  <c r="C32" i="43"/>
  <c r="G31" i="43"/>
  <c r="C53" i="43" s="1"/>
  <c r="F31" i="43"/>
  <c r="E31" i="43"/>
  <c r="D31" i="43"/>
  <c r="C31" i="43"/>
  <c r="B31" i="43"/>
  <c r="B32" i="43" s="1"/>
  <c r="B33" i="43" s="1"/>
  <c r="B34" i="43" s="1"/>
  <c r="B35" i="43" s="1"/>
  <c r="H30" i="43"/>
  <c r="G30" i="43"/>
  <c r="F30" i="43"/>
  <c r="E30" i="43"/>
  <c r="D30" i="43"/>
  <c r="C30" i="43"/>
  <c r="D29" i="43"/>
  <c r="E29" i="43" s="1"/>
  <c r="F29" i="43" s="1"/>
  <c r="G29" i="43" s="1"/>
  <c r="H29" i="43" s="1"/>
  <c r="E82" i="46" l="1"/>
  <c r="D82" i="46"/>
  <c r="F71" i="46"/>
  <c r="F40" i="43"/>
  <c r="C107" i="43"/>
  <c r="D42" i="43"/>
  <c r="D108" i="43"/>
  <c r="C110" i="43"/>
  <c r="D39" i="43"/>
  <c r="E39" i="43"/>
  <c r="D109" i="43"/>
  <c r="E108" i="43"/>
  <c r="I126" i="43"/>
  <c r="C39" i="43"/>
  <c r="C105" i="43"/>
  <c r="G105" i="43"/>
  <c r="E106" i="43"/>
  <c r="D107" i="43"/>
  <c r="C106" i="43"/>
  <c r="C108" i="43"/>
  <c r="C109" i="43"/>
  <c r="F106" i="43"/>
  <c r="E107" i="43"/>
  <c r="D40" i="43"/>
  <c r="F107" i="43"/>
  <c r="G106" i="43"/>
  <c r="F46" i="43"/>
  <c r="C42" i="43"/>
  <c r="D106" i="43"/>
  <c r="G39" i="43"/>
  <c r="G45" i="43" s="1"/>
  <c r="G47" i="43" s="1"/>
  <c r="G48" i="43" s="1"/>
  <c r="C41" i="43"/>
  <c r="H105" i="43"/>
  <c r="H111" i="43" s="1"/>
  <c r="D105" i="43"/>
  <c r="E105" i="43"/>
  <c r="F105" i="43"/>
  <c r="B99" i="43"/>
  <c r="B100" i="43" s="1"/>
  <c r="B101" i="43" s="1"/>
  <c r="D41" i="43"/>
  <c r="E41" i="43"/>
  <c r="E46" i="43"/>
  <c r="C52" i="43"/>
  <c r="E52" i="43" s="1"/>
  <c r="C40" i="43"/>
  <c r="C43" i="43"/>
  <c r="E40" i="43"/>
  <c r="C56" i="43"/>
  <c r="D46" i="43"/>
  <c r="C46" i="43"/>
  <c r="F39" i="43"/>
  <c r="F45" i="43" l="1"/>
  <c r="F47" i="43" s="1"/>
  <c r="F48" i="43" s="1"/>
  <c r="G46" i="43"/>
  <c r="F111" i="43"/>
  <c r="D45" i="43"/>
  <c r="D47" i="43" s="1"/>
  <c r="E111" i="43"/>
  <c r="E126" i="43" s="1"/>
  <c r="E132" i="43" s="1"/>
  <c r="G111" i="43"/>
  <c r="C45" i="43"/>
  <c r="C47" i="43" s="1"/>
  <c r="E45" i="43"/>
  <c r="E47" i="43" s="1"/>
  <c r="D53" i="43"/>
  <c r="E53" i="43" s="1"/>
  <c r="C68" i="43" s="1"/>
  <c r="F126" i="43" l="1"/>
  <c r="F132" i="43" s="1"/>
  <c r="E48" i="43"/>
  <c r="D54" i="43"/>
  <c r="E54" i="43" s="1"/>
  <c r="C69" i="43" s="1"/>
  <c r="G126" i="43" l="1"/>
  <c r="G132" i="43" s="1"/>
  <c r="D55" i="43"/>
  <c r="E55" i="43" s="1"/>
  <c r="C70" i="43" s="1"/>
  <c r="D48" i="43"/>
  <c r="H126" i="43" l="1"/>
  <c r="H132" i="43" s="1"/>
  <c r="I132" i="43" s="1"/>
  <c r="D56" i="43"/>
  <c r="E56" i="43" s="1"/>
  <c r="C71" i="43" s="1"/>
  <c r="C48" i="43"/>
  <c r="D57" i="43" s="1"/>
  <c r="E57" i="43" s="1"/>
  <c r="C72" i="43" l="1"/>
  <c r="C73" i="43" s="1"/>
  <c r="D54" i="42" l="1"/>
  <c r="D53" i="42" s="1"/>
  <c r="E48" i="42"/>
  <c r="C26" i="42"/>
  <c r="B26" i="42"/>
  <c r="B54" i="42" s="1"/>
  <c r="C54" i="42" s="1"/>
  <c r="C25" i="42"/>
  <c r="B25" i="42"/>
  <c r="B53" i="42" s="1"/>
  <c r="C53" i="42" s="1"/>
  <c r="C24" i="42"/>
  <c r="B24" i="42"/>
  <c r="B52" i="42" s="1"/>
  <c r="C52" i="42" s="1"/>
  <c r="C23" i="42"/>
  <c r="B23" i="42"/>
  <c r="C22" i="42"/>
  <c r="B22" i="42"/>
  <c r="C21" i="42"/>
  <c r="B21" i="42"/>
  <c r="D26" i="42" l="1"/>
  <c r="D23" i="42"/>
  <c r="D24" i="42"/>
  <c r="D25" i="42"/>
  <c r="D22" i="42"/>
  <c r="D28" i="42"/>
  <c r="E53" i="42"/>
  <c r="F53" i="42" s="1"/>
  <c r="G53" i="42" s="1"/>
  <c r="H53" i="42" s="1"/>
  <c r="D52" i="42"/>
  <c r="E52" i="42" s="1"/>
  <c r="F52" i="42" s="1"/>
  <c r="G52" i="42" s="1"/>
  <c r="H52" i="42" s="1"/>
  <c r="E54" i="42"/>
  <c r="F54" i="42" s="1"/>
  <c r="G54" i="42" s="1"/>
  <c r="H54" i="42" s="1"/>
  <c r="E79" i="41"/>
  <c r="D78" i="41"/>
  <c r="E78" i="41" s="1"/>
  <c r="G51" i="41"/>
  <c r="F51" i="41" s="1"/>
  <c r="E51" i="41" s="1"/>
  <c r="D51" i="41" s="1"/>
  <c r="C51" i="41" s="1"/>
  <c r="D60" i="41" s="1"/>
  <c r="G50" i="41"/>
  <c r="F50" i="41" s="1"/>
  <c r="E50" i="41" s="1"/>
  <c r="D50" i="41" s="1"/>
  <c r="C50" i="41" s="1"/>
  <c r="C60" i="41" s="1"/>
  <c r="E60" i="41" s="1"/>
  <c r="G41" i="41"/>
  <c r="C38" i="41"/>
  <c r="D37" i="41"/>
  <c r="C37" i="41"/>
  <c r="E36" i="41"/>
  <c r="D36" i="41"/>
  <c r="C36" i="41"/>
  <c r="F35" i="41"/>
  <c r="E35" i="41"/>
  <c r="D35" i="41"/>
  <c r="C35" i="41"/>
  <c r="G34" i="41"/>
  <c r="F34" i="41"/>
  <c r="E34" i="41"/>
  <c r="D34" i="41"/>
  <c r="C34" i="41"/>
  <c r="D29" i="42" l="1"/>
  <c r="H55" i="42"/>
  <c r="C57" i="41"/>
  <c r="D58" i="41"/>
  <c r="D40" i="41"/>
  <c r="C59" i="41"/>
  <c r="C56" i="41"/>
  <c r="D59" i="41"/>
  <c r="D56" i="41"/>
  <c r="E56" i="41" s="1"/>
  <c r="E59" i="41"/>
  <c r="D57" i="41"/>
  <c r="E40" i="41"/>
  <c r="I34" i="41"/>
  <c r="C58" i="41"/>
  <c r="E58" i="41" s="1"/>
  <c r="C40" i="41"/>
  <c r="F40" i="41"/>
  <c r="F41" i="41" s="1"/>
  <c r="E41" i="41" s="1"/>
  <c r="I36" i="41" s="1"/>
  <c r="D50" i="40"/>
  <c r="E51" i="40" s="1"/>
  <c r="F52" i="40" s="1"/>
  <c r="C50" i="40"/>
  <c r="C51" i="40" s="1"/>
  <c r="D52" i="40" s="1"/>
  <c r="D49" i="40"/>
  <c r="E49" i="40" s="1"/>
  <c r="G31" i="40"/>
  <c r="G29" i="40"/>
  <c r="G27" i="40"/>
  <c r="E50" i="40" l="1"/>
  <c r="F51" i="40" s="1"/>
  <c r="G52" i="40" s="1"/>
  <c r="C61" i="41"/>
  <c r="I35" i="41"/>
  <c r="D61" i="41"/>
  <c r="E57" i="41"/>
  <c r="E61" i="41" s="1"/>
  <c r="D41" i="41"/>
  <c r="D51" i="40"/>
  <c r="E52" i="40" s="1"/>
  <c r="F49" i="40"/>
  <c r="F50" i="40"/>
  <c r="G51" i="40" s="1"/>
  <c r="H52" i="40" s="1"/>
  <c r="B63" i="39"/>
  <c r="B64" i="39" s="1"/>
  <c r="B65" i="39" s="1"/>
  <c r="B43" i="39"/>
  <c r="B44" i="39" s="1"/>
  <c r="B45" i="39" s="1"/>
  <c r="C41" i="41" l="1"/>
  <c r="I38" i="41" s="1"/>
  <c r="I37" i="41"/>
  <c r="F54" i="40"/>
  <c r="G50" i="40"/>
  <c r="G49" i="40"/>
  <c r="H50" i="40" s="1"/>
  <c r="I51" i="40" s="1"/>
  <c r="J52" i="40" s="1"/>
  <c r="I39" i="41" l="1"/>
  <c r="H51" i="40"/>
  <c r="I52" i="40" s="1"/>
  <c r="D28" i="39"/>
  <c r="D45" i="39" s="1"/>
  <c r="F45" i="39" s="1"/>
  <c r="H45" i="39" s="1"/>
  <c r="C28" i="39"/>
  <c r="C45" i="39" s="1"/>
  <c r="E45" i="39" s="1"/>
  <c r="G45" i="39" s="1"/>
  <c r="D27" i="39"/>
  <c r="D44" i="39" s="1"/>
  <c r="C27" i="39"/>
  <c r="C44" i="39" s="1"/>
  <c r="E44" i="39" s="1"/>
  <c r="G44" i="39" s="1"/>
  <c r="D26" i="39"/>
  <c r="D43" i="39" s="1"/>
  <c r="C26" i="39"/>
  <c r="C43" i="39" s="1"/>
  <c r="B26" i="39"/>
  <c r="B27" i="39" s="1"/>
  <c r="B28" i="39" s="1"/>
  <c r="D25" i="39"/>
  <c r="D42" i="39" s="1"/>
  <c r="F42" i="39" s="1"/>
  <c r="C25" i="39"/>
  <c r="C42" i="39" s="1"/>
  <c r="E42" i="39" s="1"/>
  <c r="F44" i="39" l="1"/>
  <c r="H44" i="39" s="1"/>
  <c r="E26" i="39"/>
  <c r="C63" i="39" s="1"/>
  <c r="F27" i="39"/>
  <c r="E28" i="39"/>
  <c r="C65" i="39" s="1"/>
  <c r="G42" i="39"/>
  <c r="E46" i="39"/>
  <c r="F46" i="39"/>
  <c r="H42" i="39"/>
  <c r="E25" i="39"/>
  <c r="C62" i="39" s="1"/>
  <c r="E43" i="39"/>
  <c r="G43" i="39" s="1"/>
  <c r="F43" i="39"/>
  <c r="H43" i="39" s="1"/>
  <c r="F26" i="39"/>
  <c r="E27" i="39"/>
  <c r="C64" i="39" s="1"/>
  <c r="F28" i="39"/>
  <c r="F25" i="39"/>
  <c r="F56" i="40"/>
  <c r="F29" i="39" l="1"/>
  <c r="G46" i="39"/>
  <c r="C66" i="39"/>
  <c r="E29" i="39"/>
  <c r="H46" i="39"/>
  <c r="B88" i="35" l="1"/>
  <c r="C78" i="35"/>
  <c r="D77" i="35"/>
  <c r="C77" i="35"/>
  <c r="B76" i="35"/>
  <c r="B77" i="35" s="1"/>
  <c r="B78" i="35" s="1"/>
  <c r="F75" i="35"/>
  <c r="E75" i="35"/>
  <c r="D75" i="35"/>
  <c r="C75" i="35"/>
  <c r="D74" i="35"/>
  <c r="E74" i="35" s="1"/>
  <c r="F74" i="35" s="1"/>
  <c r="C71" i="35"/>
  <c r="D70" i="35"/>
  <c r="C70" i="35"/>
  <c r="B69" i="35"/>
  <c r="B70" i="35" s="1"/>
  <c r="B71" i="35" s="1"/>
  <c r="F68" i="35"/>
  <c r="E68" i="35"/>
  <c r="D68" i="35"/>
  <c r="C68" i="35"/>
  <c r="D67" i="35"/>
  <c r="E67" i="35" s="1"/>
  <c r="F67" i="35" s="1"/>
  <c r="F62" i="35"/>
  <c r="F63" i="35" s="1"/>
  <c r="E76" i="35" s="1"/>
  <c r="F61" i="35"/>
  <c r="C76" i="35" s="1"/>
  <c r="G88" i="35" s="1"/>
  <c r="F57" i="35"/>
  <c r="F58" i="35" s="1"/>
  <c r="E69" i="35" s="1"/>
  <c r="F56" i="35"/>
  <c r="C69" i="35" s="1"/>
  <c r="C37" i="35"/>
  <c r="D36" i="35"/>
  <c r="C36" i="35"/>
  <c r="E35" i="35"/>
  <c r="D35" i="35"/>
  <c r="C35" i="35"/>
  <c r="F34" i="35"/>
  <c r="E34" i="35"/>
  <c r="D34" i="35"/>
  <c r="C34" i="35"/>
  <c r="B35" i="35"/>
  <c r="B36" i="35" s="1"/>
  <c r="B37" i="35" s="1"/>
  <c r="D33" i="35"/>
  <c r="E33" i="35" s="1"/>
  <c r="F33" i="35" s="1"/>
  <c r="D76" i="35" l="1"/>
  <c r="D69" i="35"/>
  <c r="G89" i="35" s="1"/>
  <c r="B87" i="35" l="1"/>
  <c r="G87" i="35"/>
  <c r="G90" i="35" s="1"/>
  <c r="B89" i="35"/>
  <c r="M34" i="46" l="1"/>
  <c r="Q34" i="46" s="1"/>
  <c r="U34" i="46" s="1"/>
  <c r="Y34" i="46" s="1"/>
  <c r="M24" i="53" l="1"/>
  <c r="Q24" i="53" s="1"/>
  <c r="U24" i="53" s="1"/>
  <c r="Y24" i="53" s="1"/>
  <c r="G22" i="41" l="1"/>
  <c r="G49" i="41" s="1"/>
  <c r="F22" i="41"/>
  <c r="F49" i="41" s="1"/>
  <c r="E22" i="41"/>
  <c r="E49" i="41" s="1"/>
  <c r="D22" i="41"/>
  <c r="D49" i="41" s="1"/>
  <c r="C22" i="41"/>
  <c r="C49" i="41" s="1"/>
  <c r="B9" i="39" l="1"/>
  <c r="B10" i="39" s="1"/>
  <c r="B11" i="39" s="1"/>
</calcChain>
</file>

<file path=xl/sharedStrings.xml><?xml version="1.0" encoding="utf-8"?>
<sst xmlns="http://schemas.openxmlformats.org/spreadsheetml/2006/main" count="1033" uniqueCount="552">
  <si>
    <t>Paid</t>
  </si>
  <si>
    <t>Claims</t>
  </si>
  <si>
    <t>Reported</t>
  </si>
  <si>
    <t>Question 1</t>
  </si>
  <si>
    <t>You are given the following information:</t>
  </si>
  <si>
    <t>Accident</t>
  </si>
  <si>
    <t>Earned Premiums</t>
  </si>
  <si>
    <t>Year</t>
  </si>
  <si>
    <t>All policies are written for 12-month policy terms.</t>
  </si>
  <si>
    <t>(c)</t>
  </si>
  <si>
    <t>ANSWER:</t>
  </si>
  <si>
    <t>(d)</t>
  </si>
  <si>
    <t>(e)</t>
  </si>
  <si>
    <t>Question 2</t>
  </si>
  <si>
    <t>(a)</t>
  </si>
  <si>
    <t>(b)</t>
  </si>
  <si>
    <t>(i)</t>
  </si>
  <si>
    <t>(ii)</t>
  </si>
  <si>
    <t>You may choose to draw on this diagram to assist you in responding to this question. Use of this diagram is not required for full credit.</t>
  </si>
  <si>
    <t>You are given the following information for a line of business that started in 2016:</t>
  </si>
  <si>
    <t>Reported Claims (000)</t>
  </si>
  <si>
    <t>Case Estimates (000)</t>
  </si>
  <si>
    <t>(f)</t>
  </si>
  <si>
    <t>(1 point)  Identify the inconsistencies in the data triangles.</t>
  </si>
  <si>
    <t>(1 point)  Calculate the calendar year 2018 reported claims using the revised triangles from part (c).</t>
  </si>
  <si>
    <t>You are provided with the following additional transactions from a single claim that occurred on March 1, 2017 and was not included in the above data:</t>
  </si>
  <si>
    <t>Transaction</t>
  </si>
  <si>
    <t>Transaction Date</t>
  </si>
  <si>
    <t>Case Estimate</t>
  </si>
  <si>
    <t>Indemnity Payment</t>
  </si>
  <si>
    <t>ALAE Payment</t>
  </si>
  <si>
    <t>Open new claim file</t>
  </si>
  <si>
    <t>Payment on reported claim file</t>
  </si>
  <si>
    <t>The response for part (b) is to be provided in the Word document.</t>
  </si>
  <si>
    <r>
      <t>(</t>
    </r>
    <r>
      <rPr>
        <i/>
        <sz val="12"/>
        <color rgb="FF002060"/>
        <rFont val="Times New Roman"/>
        <family val="1"/>
      </rPr>
      <t>4 points</t>
    </r>
    <r>
      <rPr>
        <sz val="12"/>
        <color rgb="FF002060"/>
        <rFont val="Times New Roman"/>
        <family val="1"/>
      </rPr>
      <t>)</t>
    </r>
  </si>
  <si>
    <t>You are estimating ultimate claims as of December 31, 2019 using the Bornhuetter Ferguson method, and are given the following information:</t>
  </si>
  <si>
    <t>Actual Claims</t>
  </si>
  <si>
    <t>Ultimate Claims from</t>
  </si>
  <si>
    <t>as of Dec. 31, 2019</t>
  </si>
  <si>
    <t>Development Method on</t>
  </si>
  <si>
    <t>Expected</t>
  </si>
  <si>
    <t>(1 point)  Calculate the total ultimate claims using the Bornhuetter Ferguson method applied to the following two claim amounts:</t>
  </si>
  <si>
    <t>Paid claims</t>
  </si>
  <si>
    <t>Reported claims</t>
  </si>
  <si>
    <t>(1.5 points)  Evaluate the reasonableness of the inputs for the Bornhuetter Ferguson method in part (a) by comparing the following two amounts:</t>
  </si>
  <si>
    <t>Actual paid claims to expected paid claims</t>
  </si>
  <si>
    <t>Actual reported claims to expected reported claims</t>
  </si>
  <si>
    <t>The response for part (c) is to be provided in the Word document.</t>
  </si>
  <si>
    <t>The response for part (d) is to be provided in the Word document.</t>
  </si>
  <si>
    <t>You have decided to estimate ultimate claims as of December 31, 2019 using the Benktander method.</t>
  </si>
  <si>
    <t>(0.5 points)  Calculate the total ultimate claims applied to paid claims using one iteration of the Benktander method.</t>
  </si>
  <si>
    <t>The response for part (a) is to be provided in the Word document.</t>
  </si>
  <si>
    <t>Question 3</t>
  </si>
  <si>
    <t>You are given the following accident year lag by report year matrix:</t>
  </si>
  <si>
    <t>Accident Year Lag</t>
  </si>
  <si>
    <t>Report Year</t>
  </si>
  <si>
    <t>(1.5 points)  Calculate the total reported claims for each of the following:</t>
  </si>
  <si>
    <t>(iii)</t>
  </si>
  <si>
    <t>A tail policy purchased after the third-year claims-made policy from part (b)(ii)</t>
  </si>
  <si>
    <t>You are conducting a ratemaking analysis for a professional liability coverage with the following information:</t>
  </si>
  <si>
    <t xml:space="preserve">	The total reported claims for accident year 1 are 800._x000D_
</t>
  </si>
  <si>
    <t>There is a four-year reporting pattern of equal percentages each year.</t>
  </si>
  <si>
    <t xml:space="preserve">	There is 10% annual pure premium trend in accident year claims._x000D_
</t>
  </si>
  <si>
    <t>·</t>
  </si>
  <si>
    <t>(2 points)  Calculate each of the following factors for this coverage:</t>
  </si>
  <si>
    <t>A second-year claims-made step factor</t>
  </si>
  <si>
    <t>A mature claims-made tail factor</t>
  </si>
  <si>
    <t>Question 4</t>
  </si>
  <si>
    <r>
      <t>(</t>
    </r>
    <r>
      <rPr>
        <i/>
        <sz val="12"/>
        <color rgb="FF002060"/>
        <rFont val="Times New Roman"/>
        <family val="1"/>
      </rPr>
      <t>5 points</t>
    </r>
    <r>
      <rPr>
        <sz val="12"/>
        <color rgb="FF002060"/>
        <rFont val="Times New Roman"/>
        <family val="1"/>
      </rPr>
      <t>)</t>
    </r>
  </si>
  <si>
    <t>You are given the following information for estimating ultimate claims excess of a 500,000 limit:</t>
  </si>
  <si>
    <t>Reported Claims at Total Limits (000)</t>
  </si>
  <si>
    <t>Reported Claims at 500,000 Limit (000)</t>
  </si>
  <si>
    <t>Age-to-Age Development Factors (All Years Volume Weighted Average)</t>
  </si>
  <si>
    <t>Total Limts</t>
  </si>
  <si>
    <t>500,000 Limit</t>
  </si>
  <si>
    <t>(1.5 points)  Calculate the ultimate claims for the layer of claims excess 500,000 using the development method with all-years volume-weighted average development factors.</t>
  </si>
  <si>
    <t>(1 point)  Calculate the ultimate claims for the layer of claims excess 500,000 as the difference between ultimate total limits claims and ultimate 500,000 limit claims.</t>
  </si>
  <si>
    <t>You are also evaluating the ultimate claims excess of 500,000 using the expected method and are given the following information:</t>
  </si>
  <si>
    <t xml:space="preserve">	The selected expected claim ratio at the 2019 cost level is 12%._x000D_
</t>
  </si>
  <si>
    <t>The claim ratio trend is 5%.</t>
  </si>
  <si>
    <t xml:space="preserve">	The earned premiums at current rate levels for calendar years 2018 and 2019 are 30,500,000 and 31,800,000, respectively._x000D_
</t>
  </si>
  <si>
    <t>(1 point)  Calculate the ultimate claims for the layer of claims excess 500,000 for accident years 2018 and 2019, using the expected method.</t>
  </si>
  <si>
    <t>The response for part (e) is to be provided in the Word document.</t>
  </si>
  <si>
    <t>Question 5</t>
  </si>
  <si>
    <t>You are conducting an expense analysis to be used in ratemaking for a line of business, and are given the following information:</t>
  </si>
  <si>
    <t>Calendar Year</t>
  </si>
  <si>
    <t>Earned Premiums at Current Rate Level</t>
  </si>
  <si>
    <t>Fixed Expenses</t>
  </si>
  <si>
    <t>This line of business has historically used an annual fixed expense trend of 3%, which has been based on a publicly-available cost index.</t>
  </si>
  <si>
    <t>(1 point)  Calculate the historical trend in fixed expenses.</t>
  </si>
  <si>
    <t>You are given the following additional information:</t>
  </si>
  <si>
    <t xml:space="preserve">	New rates will be effective April 1, 2021 for one year._x000D_
</t>
  </si>
  <si>
    <t>All policies are written as 12-month policies.</t>
  </si>
  <si>
    <t xml:space="preserve">	The annual premium trend is 0%._x000D_
</t>
  </si>
  <si>
    <t>(2 points)  Calculate the fixed expense ratio to be used in ratemaking, using a simple average from calendar years 2017, 2018 and 2019.</t>
  </si>
  <si>
    <t>Question 6</t>
  </si>
  <si>
    <r>
      <t>(</t>
    </r>
    <r>
      <rPr>
        <i/>
        <sz val="12"/>
        <color rgb="FF002060"/>
        <rFont val="Times New Roman"/>
        <family val="1"/>
      </rPr>
      <t>7 points</t>
    </r>
    <r>
      <rPr>
        <sz val="12"/>
        <color rgb="FF002060"/>
        <rFont val="Times New Roman"/>
        <family val="1"/>
      </rPr>
      <t>)</t>
    </r>
  </si>
  <si>
    <t>Paid Claims</t>
  </si>
  <si>
    <t>Closed Counts</t>
  </si>
  <si>
    <t>(2 points)  Calculate the ultimate paid severity for each accident year using the development method.</t>
  </si>
  <si>
    <t>(1.5 points)  Recommend the annual severity trend.  Justify your recommendation.</t>
  </si>
  <si>
    <t>You are estimating ultimate claims using a frequency-severity claim closure method and are given the following information:</t>
  </si>
  <si>
    <t>Ultimate</t>
  </si>
  <si>
    <t>Counts</t>
  </si>
  <si>
    <t>(1.5 points)  Calculate the proportion of closed counts for development months 36 through 72 using a simple average of all years.</t>
  </si>
  <si>
    <t>Selected Incremental Paid Severity at 2019 Cost Level by Development Month</t>
  </si>
  <si>
    <t>(1 point)  Calculate the accident year 2018 unpaid claims, using the results from parts (c) and (d).</t>
  </si>
  <si>
    <t>Question 7</t>
  </si>
  <si>
    <t>The response for question 7 is to be provided in the Word document.</t>
  </si>
  <si>
    <t>Question 8</t>
  </si>
  <si>
    <t>You are estimating the policy liabilities for an insurer that started writing business on March 1, 2020.  You have decided to use the claims approach and are given the following additional information:</t>
  </si>
  <si>
    <t>Line of Business</t>
  </si>
  <si>
    <t>Gross Written Premium (000)</t>
  </si>
  <si>
    <t>Gross Expected Claim Ratios including ALAE</t>
  </si>
  <si>
    <t>Property</t>
  </si>
  <si>
    <t>General Liability</t>
  </si>
  <si>
    <t>Automobile</t>
  </si>
  <si>
    <t>All policies were written on March 1, 2020 and are for 12-month terms.</t>
  </si>
  <si>
    <t>There is a 25% quota share reinsurance treaty.</t>
  </si>
  <si>
    <t>ULAE is 12.9% of gross claims (including ALAE).</t>
  </si>
  <si>
    <t>General expenses are 16% of gross written premiums.</t>
  </si>
  <si>
    <t>30% of  general expenses are associated with ongoing maintenance for unexpired risks.</t>
  </si>
  <si>
    <t>Incentive commissions are 3.2% of gross premiums.</t>
  </si>
  <si>
    <t>(2.5 points)  Calculate the equity in unearned premiums as of June 30, 2020, net of reinsurance.</t>
  </si>
  <si>
    <t>Question 9</t>
  </si>
  <si>
    <r>
      <t>(</t>
    </r>
    <r>
      <rPr>
        <i/>
        <sz val="12"/>
        <color rgb="FF002060"/>
        <rFont val="Times New Roman"/>
        <family val="1"/>
      </rPr>
      <t>8 points</t>
    </r>
    <r>
      <rPr>
        <sz val="12"/>
        <color rgb="FF002060"/>
        <rFont val="Times New Roman"/>
        <family val="1"/>
      </rPr>
      <t>)</t>
    </r>
  </si>
  <si>
    <t>You have been asked to project ultimate claims using the Cape Cod method and have been given the following information as of December 31, 2019:</t>
  </si>
  <si>
    <t>Accident Year</t>
  </si>
  <si>
    <t>Earned Premiums (000)</t>
  </si>
  <si>
    <t>Actual Reported Claims</t>
  </si>
  <si>
    <t>Reported Cumulative Development Factors</t>
  </si>
  <si>
    <t>Actual Reported Claims (000)</t>
  </si>
  <si>
    <t>The following rate changes have occurred:</t>
  </si>
  <si>
    <t>6% effective January 1, 2016</t>
  </si>
  <si>
    <t>5% effective July 1, 2018</t>
  </si>
  <si>
    <t>The annual claim ratio trend  is 5%.</t>
  </si>
  <si>
    <t>Tort reform resulted in a claim decrease of 10% for all accidents occurring on or after July 1, 2016.</t>
  </si>
  <si>
    <t>Accident year 2018 includes one unusually large claim of 600,000 which has been recorded as a case estimate.</t>
  </si>
  <si>
    <t>(2 points)  Calculate premium on-level factors for each accident year, to use in the Cape Cod method as of December 31, 2019.</t>
  </si>
  <si>
    <t>(4 points)  Calculate the projected ultimate claims for each accident year using the Cape Cod method.</t>
  </si>
  <si>
    <t>Question 10</t>
  </si>
  <si>
    <t>Claims ID</t>
  </si>
  <si>
    <t># 2</t>
  </si>
  <si>
    <t># 4</t>
  </si>
  <si>
    <t># 7</t>
  </si>
  <si>
    <t>Claims less than 1,000</t>
  </si>
  <si>
    <t>Classification Code</t>
  </si>
  <si>
    <t>Payroll</t>
  </si>
  <si>
    <t>Expected Loss Rate (per 100 of payroll)</t>
  </si>
  <si>
    <t>D-ratio</t>
  </si>
  <si>
    <t>A</t>
  </si>
  <si>
    <t>B</t>
  </si>
  <si>
    <t>C</t>
  </si>
  <si>
    <t>(1.5 points)  Calculate the following:</t>
  </si>
  <si>
    <t>Total actual excess claims</t>
  </si>
  <si>
    <t>Total expected primary claims</t>
  </si>
  <si>
    <t>Expected excess claims for Classification Code C</t>
  </si>
  <si>
    <t>The formula for the NCCI experience rating modification factor is given as follows:</t>
  </si>
  <si>
    <t>(0.5 points)  Calculate the NCCI experience rating modification factor using W = 0.5 and B = 50,000.</t>
  </si>
  <si>
    <t>Question 11</t>
  </si>
  <si>
    <r>
      <t>(</t>
    </r>
    <r>
      <rPr>
        <i/>
        <sz val="12"/>
        <color rgb="FF002060"/>
        <rFont val="Times New Roman"/>
        <family val="1"/>
      </rPr>
      <t>6 points</t>
    </r>
    <r>
      <rPr>
        <sz val="12"/>
        <color rgb="FF002060"/>
        <rFont val="Times New Roman"/>
        <family val="1"/>
      </rPr>
      <t>)</t>
    </r>
  </si>
  <si>
    <t>You are conducting an analysis of deductible factors for ratemaking using empirical individual claims data.</t>
  </si>
  <si>
    <t>Claim #</t>
  </si>
  <si>
    <t>Date of Claim</t>
  </si>
  <si>
    <t>Ground Up Ultimate Claims</t>
  </si>
  <si>
    <t>New rates are to be effective March 1, 2021 for one year.</t>
  </si>
  <si>
    <t>The annual claim severity trend is 5%.</t>
  </si>
  <si>
    <t>(2.5 points)  Calculate the indicated deductible factors for deductibles of 500 and 1,000 relative to a base deductible of zero.</t>
  </si>
  <si>
    <t>(1 point)  Evaluate the reasonability of the deductible factors calculated in part (c) by performing a consistency test.</t>
  </si>
  <si>
    <t>Question 12</t>
  </si>
  <si>
    <t>Average Annual Loss (AAL)</t>
  </si>
  <si>
    <t>100-Year Probable Maximum Loss (PML)</t>
  </si>
  <si>
    <t>Current Book</t>
  </si>
  <si>
    <t>Current Book + Portfolio X</t>
  </si>
  <si>
    <t>50,000 + 5,000</t>
  </si>
  <si>
    <t>Current Book + Portfolio Y</t>
  </si>
  <si>
    <t>50,000 + 6,000</t>
  </si>
  <si>
    <t>Management decided to write the portfolio you didn't recommend in part (b).  The risk potential of the portfolio could be reduced by 13.7% if hurricane shutters are installed as a risk mitigation strategy.  The expense load factor is 27%.  The selected risk load is 440.</t>
  </si>
  <si>
    <t xml:space="preserve">(1 point)  Calculate the premium for this other portfolio assuming hurricane shutters are installed on all properties in the portfolio. </t>
  </si>
  <si>
    <t>Question 13</t>
  </si>
  <si>
    <t>You are determining a loading for large claims on a homeowners line of business.</t>
  </si>
  <si>
    <t>You are estimating ultimate property claims to be used in a ratemaking analysis for State Q, and are given the following information:</t>
  </si>
  <si>
    <t>Selected Ultimate Claims at Total Limit (000)</t>
  </si>
  <si>
    <t>Selections</t>
  </si>
  <si>
    <t>Total Limit</t>
  </si>
  <si>
    <t xml:space="preserve">State Q Severity Trend </t>
  </si>
  <si>
    <t xml:space="preserve">State Q Credibility </t>
  </si>
  <si>
    <t>Countrywide Severity Trend</t>
  </si>
  <si>
    <t>The claims experience of State Q is not fully credible for calculating trend.</t>
  </si>
  <si>
    <t>Rates are effective April 1, 2021 for one year.</t>
  </si>
  <si>
    <t>You are given the following loadings for large claims for the 500,000 to 1 million limit:</t>
  </si>
  <si>
    <t>500,000 to 1 Million Limit</t>
  </si>
  <si>
    <t>(3 points)  Calculate the loadings for 500,000 to total limits for each accident year.</t>
  </si>
  <si>
    <t>Question 14</t>
  </si>
  <si>
    <t>You are given the following information as of December 31, 2019:</t>
  </si>
  <si>
    <t xml:space="preserve">	Estimated ultimate claims were based on the development method applied to reported claims.</t>
  </si>
  <si>
    <t>You are also given the following actual reported claims evaluated as of September 30, 2020.</t>
  </si>
  <si>
    <t>Reported Claims as of Sep. 30, 2020 (000)</t>
  </si>
  <si>
    <t xml:space="preserve">(1.5 points)  Calculate the difference between the actual and expected reported claims from December 31, 2019 through September 30, 2020 for all accident years, using a linear interpolation of the development pattern.  </t>
  </si>
  <si>
    <t>You are told that the claim department outsourced a portion of its claim handling effective March 2019.  There are concerns that operational changes may have affected development patterns in immature accident periods.</t>
  </si>
  <si>
    <t>You are given the following additional information for the same line of business to perform diagnostic testing.</t>
  </si>
  <si>
    <t>Paid Claims (000)</t>
  </si>
  <si>
    <t>Open Counts</t>
  </si>
  <si>
    <t>(2.5 points)  Evaluate if the data indicates a possible change in case reserve adequacy using two different diagnostic tests.</t>
  </si>
  <si>
    <t>(1.5 point)  Evaluate if the data indicates a possible change in case settlement rates using a diagnostic test different than either of the two tests from part (c).</t>
  </si>
  <si>
    <t>(1.5 points)  Construct revised paid claims and case estimates triangles incorporating this additional information.</t>
  </si>
  <si>
    <t>Question 15</t>
  </si>
  <si>
    <t>You are given the following information for an insurance company:</t>
  </si>
  <si>
    <t>Earned Exposures</t>
  </si>
  <si>
    <t>Paid ULAE</t>
  </si>
  <si>
    <t>Ratio of ULAE to Claims</t>
  </si>
  <si>
    <t>Classical Paid</t>
  </si>
  <si>
    <t>Kittel Refinement</t>
  </si>
  <si>
    <t xml:space="preserve">	The Kittel refinement reflects the average of actual paid and reported claims.</t>
  </si>
  <si>
    <t>As of December 31, 2019</t>
  </si>
  <si>
    <t>Case Estimates</t>
  </si>
  <si>
    <t>IBNR</t>
  </si>
  <si>
    <t>Approximately 80% of IBNR is a provision for development on known claims.</t>
  </si>
  <si>
    <t xml:space="preserve">Approximately 25% of claim department expenses relate to opening a claim file and 75% relate to maintaining and closing a claim file. </t>
  </si>
  <si>
    <t>(1.5 points)  Estimate unpaid ULAE as of December 31, 2019 using the approach you selected in part (b).</t>
  </si>
  <si>
    <t>Unpaid ULAE as of December 31, 2018 was 270,000.</t>
  </si>
  <si>
    <t xml:space="preserve">(0.5 points)  Determine calendar year 2019 incurred ULAE.  </t>
  </si>
  <si>
    <t>Question 16</t>
  </si>
  <si>
    <t>You are conducting a ratemaking analysis for an automobile line of business and are given the following information:</t>
  </si>
  <si>
    <t>Rate Change History</t>
  </si>
  <si>
    <t>Effective Date</t>
  </si>
  <si>
    <t>of Rate Change</t>
  </si>
  <si>
    <t>Rate</t>
  </si>
  <si>
    <t>Change %</t>
  </si>
  <si>
    <t>Premiums are written and earned evenly throughout the year.</t>
  </si>
  <si>
    <t>In addition to the above rate changes, there was a regulation change where all premiums in force on July 1, 2017 were required to be reduced by 20%.</t>
  </si>
  <si>
    <t>(2 points)  Calculate premium on-level factors for accident years 2015-2019 to use for ratemaking purposes.</t>
  </si>
  <si>
    <t>Ultimate Claims</t>
  </si>
  <si>
    <t>The annual premium trend is 1%.</t>
  </si>
  <si>
    <t>The annual pure premium trend is 4%.</t>
  </si>
  <si>
    <t>The new rates will be effective November 1, 2020 through October 31, 2021.</t>
  </si>
  <si>
    <t>The historical data is considered fully credible for ratemaking purposes.</t>
  </si>
  <si>
    <t xml:space="preserve">The regulation change which reduced premiums also reduced claim costs by 20% for all accidents occurring on or after July 1, 2017. </t>
  </si>
  <si>
    <t>(2.5 points)  Calculate the trended on-level claim ratios for each accident year.</t>
  </si>
  <si>
    <t>(1 point)  Recommend a trended claim ratio to use for ratemaking.  Justify your recommendation.</t>
  </si>
  <si>
    <t>The ratio of ULAE to claims is 10%.</t>
  </si>
  <si>
    <t>The ratio of variable expenses to premiums is 19%.</t>
  </si>
  <si>
    <t>The ratio of profit and contingencies to premiums is 5%.</t>
  </si>
  <si>
    <t>(0.5 points)  Calculate the indicated rate change.</t>
  </si>
  <si>
    <t>Question 17</t>
  </si>
  <si>
    <r>
      <t>(</t>
    </r>
    <r>
      <rPr>
        <i/>
        <sz val="12"/>
        <color rgb="FF002060"/>
        <rFont val="Times New Roman"/>
        <family val="1"/>
      </rPr>
      <t>3 points</t>
    </r>
    <r>
      <rPr>
        <sz val="12"/>
        <color rgb="FF002060"/>
        <rFont val="Times New Roman"/>
        <family val="1"/>
      </rPr>
      <t>)</t>
    </r>
  </si>
  <si>
    <t>Question 18</t>
  </si>
  <si>
    <t>Since 2014, XYZ Re has reinsured Primary Insurance's auto book of business under a quota share treaty.  The quota share percentage for accident years 2014-2016 was 50%.  The quota share percentage for accident years 2017 and subsequent is 30%.</t>
  </si>
  <si>
    <t>You are given the following information evaluated as of December 31, 2019:</t>
  </si>
  <si>
    <t>On Level Earned Premiums (000)</t>
  </si>
  <si>
    <t>Incremental Reported Claims (000)</t>
  </si>
  <si>
    <t>Accident Year (AY)</t>
  </si>
  <si>
    <t>The annual claim severity trend is 4%.</t>
  </si>
  <si>
    <t>The annual claim frequency trend is 1%.</t>
  </si>
  <si>
    <t>The development factor for 72 months to ultimate is 1.005.</t>
  </si>
  <si>
    <t>You are using the expected method to estimate ultimate claims.</t>
  </si>
  <si>
    <t>(2 points)  Calculate the trended on-level claim ratio at AY 2019 cost and rate level gross of reinsurance, using an all-years simple average.</t>
  </si>
  <si>
    <t>(1 point)  Calculate the total ultimate claims for XYZ Re's share of all accident years as of December 31, 2019.</t>
  </si>
  <si>
    <t>(0.5 points)  Estimate XYZ Re's AY 2020 expected claims.</t>
  </si>
  <si>
    <t>Due to the COVID-19 outbreak and the associated lockdown measures, expected claim frequency in AY 2020 will decrease by 20% from AY 2019, partially offset by an increase in severity of 10%.</t>
  </si>
  <si>
    <t>(1 point)  Estimate the total impact on XYZ Re's AY 2020 expected claims.</t>
  </si>
  <si>
    <t>Question 19</t>
  </si>
  <si>
    <t xml:space="preserve">You are estimating ultimate claims for a line of business and need to apply a Berquist-Sherman adjustment for a change in settlement rates.  You are given the following information: </t>
  </si>
  <si>
    <t>Closed Counts excluding Large Claim Counts</t>
  </si>
  <si>
    <t>Selected Disposal Ratios by Maturity Age</t>
  </si>
  <si>
    <t>(1 point)  Calculate the triangle of adjusted closed counts.</t>
  </si>
  <si>
    <t>Paid Claims Excluding Large Claims</t>
  </si>
  <si>
    <t>Large Claims as of December 31, 2019</t>
  </si>
  <si>
    <t>A 3-year volume-weighted average is used to select age-to-age development factors.</t>
  </si>
  <si>
    <t>There is no development after 60 months.</t>
  </si>
  <si>
    <r>
      <t xml:space="preserve">An exponential curve of the form </t>
    </r>
    <r>
      <rPr>
        <i/>
        <sz val="12"/>
        <color rgb="FF002060"/>
        <rFont val="Times New Roman"/>
        <family val="1"/>
      </rPr>
      <t>y = ae</t>
    </r>
    <r>
      <rPr>
        <i/>
        <vertAlign val="superscript"/>
        <sz val="12"/>
        <color rgb="FF002060"/>
        <rFont val="Times New Roman"/>
        <family val="1"/>
      </rPr>
      <t>bx</t>
    </r>
    <r>
      <rPr>
        <sz val="12"/>
        <color rgb="FF002060"/>
        <rFont val="Times New Roman"/>
        <family val="1"/>
      </rPr>
      <t xml:space="preserve"> can be used to approximate the relationship between cumulative closed counts (</t>
    </r>
    <r>
      <rPr>
        <i/>
        <sz val="12"/>
        <color rgb="FF002060"/>
        <rFont val="Times New Roman"/>
        <family val="1"/>
      </rPr>
      <t>x</t>
    </r>
    <r>
      <rPr>
        <sz val="12"/>
        <color rgb="FF002060"/>
        <rFont val="Times New Roman"/>
        <family val="1"/>
      </rPr>
      <t>) and cumulative paid claims (</t>
    </r>
    <r>
      <rPr>
        <i/>
        <sz val="12"/>
        <color rgb="FF002060"/>
        <rFont val="Times New Roman"/>
        <family val="1"/>
      </rPr>
      <t>y</t>
    </r>
    <r>
      <rPr>
        <sz val="12"/>
        <color rgb="FF002060"/>
        <rFont val="Times New Roman"/>
        <family val="1"/>
      </rPr>
      <t xml:space="preserve">).  You are given the following values for </t>
    </r>
    <r>
      <rPr>
        <i/>
        <sz val="12"/>
        <color rgb="FF002060"/>
        <rFont val="Times New Roman"/>
        <family val="1"/>
      </rPr>
      <t>a</t>
    </r>
    <r>
      <rPr>
        <sz val="12"/>
        <color rgb="FF002060"/>
        <rFont val="Times New Roman"/>
        <family val="1"/>
      </rPr>
      <t xml:space="preserve"> and </t>
    </r>
    <r>
      <rPr>
        <i/>
        <sz val="12"/>
        <color rgb="FF002060"/>
        <rFont val="Times New Roman"/>
        <family val="1"/>
      </rPr>
      <t>b</t>
    </r>
    <r>
      <rPr>
        <sz val="12"/>
        <color rgb="FF002060"/>
        <rFont val="Times New Roman"/>
        <family val="1"/>
      </rPr>
      <t>:</t>
    </r>
  </si>
  <si>
    <t>12&amp;24</t>
  </si>
  <si>
    <t>24&amp;36</t>
  </si>
  <si>
    <t>36&amp;48</t>
  </si>
  <si>
    <t>48&amp;60</t>
  </si>
  <si>
    <r>
      <t>Parameter "</t>
    </r>
    <r>
      <rPr>
        <b/>
        <i/>
        <sz val="12"/>
        <color rgb="FF002060"/>
        <rFont val="Times New Roman"/>
        <family val="1"/>
      </rPr>
      <t>a</t>
    </r>
    <r>
      <rPr>
        <b/>
        <sz val="12"/>
        <color rgb="FF002060"/>
        <rFont val="Times New Roman"/>
        <family val="1"/>
      </rPr>
      <t>" Values</t>
    </r>
  </si>
  <si>
    <r>
      <t>Parameter "</t>
    </r>
    <r>
      <rPr>
        <b/>
        <i/>
        <sz val="12"/>
        <color rgb="FF002060"/>
        <rFont val="Times New Roman"/>
        <family val="1"/>
      </rPr>
      <t>b</t>
    </r>
    <r>
      <rPr>
        <b/>
        <sz val="12"/>
        <color rgb="FF002060"/>
        <rFont val="Times New Roman"/>
        <family val="1"/>
      </rPr>
      <t>" Values</t>
    </r>
  </si>
  <si>
    <t>(2.5 points)  Calculate total unpaid claims using the development method applied to paid claims, adjusted for changes in settlement rates.</t>
  </si>
  <si>
    <t>Question 20</t>
  </si>
  <si>
    <t>You are trending earned premiums for ratemaking purposes and are given the following information:</t>
  </si>
  <si>
    <t>Experience Period</t>
  </si>
  <si>
    <t>(1.5 points)  Calculate the annual premium trend due to the shift in policy limits for each year.</t>
  </si>
  <si>
    <t>(1 point)  Recommend the annual premium trend due to the shift in policy limits to use for ratemaking.  Justify your recommendation.</t>
  </si>
  <si>
    <t>A deductible analysis resulted in an annual trend of -0.4% due to a shift in deductibles.</t>
  </si>
  <si>
    <t>Calendar year 2017 on-level earned premium is 17,808,000.</t>
  </si>
  <si>
    <t>The new rates will be effective March 1, 2021 through February 28, 2022.</t>
  </si>
  <si>
    <t>All policies are written for 6-month policy terms.</t>
  </si>
  <si>
    <t>(1 point)  Calculate the calendar year 2017 on-level earned premium trended for ratemaking purposes.</t>
  </si>
  <si>
    <t>Reported Claims</t>
  </si>
  <si>
    <t>Ultimate Claims (000)</t>
  </si>
  <si>
    <t>A first-year claims-made policy effective January 1, 2013</t>
  </si>
  <si>
    <t>A third-year claims-made policy effective January 1, 2015</t>
  </si>
  <si>
    <t xml:space="preserve">	The primary threshold for reported claims, for rating purposes, is 10,000.</t>
  </si>
  <si>
    <t>The ratio of fixed expenses to premiums at current rates is 6%.</t>
  </si>
  <si>
    <t>In effect prior to Nov. 1, 2020</t>
  </si>
  <si>
    <t>In effect starting Nov. 1, 2020</t>
  </si>
  <si>
    <t xml:space="preserve">You insure a small book of property portfolios in the state of Florida. You receive two new requests (portfolio X and portfolio Y) for pricing quotes and you decide to add only one of these portfolios to the book. </t>
  </si>
  <si>
    <t>Selected Ultimate Claims at 1 Million Limit (000)</t>
  </si>
  <si>
    <t>1 Million Limit</t>
  </si>
  <si>
    <t>XYZ Re Premiums and Claims Assumed from Primary Insurance</t>
  </si>
  <si>
    <t>(1.5 points)  Calculate Primary Insurance's ultimate claims gross of reinsurance for all accident years, using the development method and 3-year volume-weighted average.</t>
  </si>
  <si>
    <t>Primary Insurance has provided a budgeted gross earned premium of 33,000,000 for AY 2020. You expect the claim severity trend, claim frequency trend, and quota share percentage to remain unchanged.</t>
  </si>
  <si>
    <t>In response to reduced vehicle usage, Primary Insurance has processed premium refunds which reduced AY 2020 earned premium by 15%.</t>
  </si>
  <si>
    <t>Earned Exposures by Policy Limit</t>
  </si>
  <si>
    <t>Increased Limits Factors by Policy Limit</t>
  </si>
  <si>
    <t>Reconciled Reported Claims (000)</t>
  </si>
  <si>
    <t>The most recent diagonal does not reconcile.  Reported Claims &gt; Paid claims +  Case estimates</t>
  </si>
  <si>
    <t/>
  </si>
  <si>
    <t>Increase in AY2017 @ 12 months by</t>
  </si>
  <si>
    <t xml:space="preserve">  {both indemnity + ALAE}</t>
  </si>
  <si>
    <t>Increase in AY2017 @ 24 months by</t>
  </si>
  <si>
    <t>Increase in AY2017 @ 36 months by</t>
  </si>
  <si>
    <t>Changes in case estimates:</t>
  </si>
  <si>
    <t xml:space="preserve"> {latest case estimate}</t>
  </si>
  <si>
    <t xml:space="preserve">  {Note: no payments and no case adjustment in CY2019, so still the same values by the end of 2019}</t>
  </si>
  <si>
    <t>Changes to cumulative paid:</t>
  </si>
  <si>
    <t>Restated Paid Claims (000)</t>
  </si>
  <si>
    <t>Restated Case Estimates (000)</t>
  </si>
  <si>
    <t xml:space="preserve">CY 2018 reported claims = </t>
  </si>
  <si>
    <t>CY reported = (Case estimate at end of year) – (Case estimate at beginning of year) + (Paid claims during the year)</t>
  </si>
  <si>
    <t xml:space="preserve">Age-to-Ultimate Dev. </t>
  </si>
  <si>
    <t>BF Estimate</t>
  </si>
  <si>
    <t>Factors Based on</t>
  </si>
  <si>
    <t>Total</t>
  </si>
  <si>
    <t>Expected % Dev. At</t>
  </si>
  <si>
    <t>Expected Claims</t>
  </si>
  <si>
    <t>Difference</t>
  </si>
  <si>
    <t>Dec. 31, 2019</t>
  </si>
  <si>
    <t>Developed</t>
  </si>
  <si>
    <t>Actual and Expected</t>
  </si>
  <si>
    <t>Benktander</t>
  </si>
  <si>
    <t>Estimate</t>
  </si>
  <si>
    <r>
      <t>(i)  C</t>
    </r>
    <r>
      <rPr>
        <vertAlign val="subscript"/>
        <sz val="12"/>
        <color theme="1"/>
        <rFont val="Times New Roman"/>
        <family val="1"/>
      </rPr>
      <t>0,3</t>
    </r>
  </si>
  <si>
    <r>
      <t>(ii)  C</t>
    </r>
    <r>
      <rPr>
        <vertAlign val="subscript"/>
        <sz val="12"/>
        <color theme="1"/>
        <rFont val="Times New Roman"/>
        <family val="1"/>
      </rPr>
      <t>0,5</t>
    </r>
    <r>
      <rPr>
        <sz val="12"/>
        <color theme="1"/>
        <rFont val="Times New Roman"/>
        <family val="1"/>
      </rPr>
      <t xml:space="preserve"> + C</t>
    </r>
    <r>
      <rPr>
        <vertAlign val="subscript"/>
        <sz val="12"/>
        <color theme="1"/>
        <rFont val="Times New Roman"/>
        <family val="1"/>
      </rPr>
      <t>1,5</t>
    </r>
    <r>
      <rPr>
        <sz val="12"/>
        <color theme="1"/>
        <rFont val="Times New Roman"/>
        <family val="1"/>
      </rPr>
      <t xml:space="preserve"> + C</t>
    </r>
    <r>
      <rPr>
        <vertAlign val="subscript"/>
        <sz val="12"/>
        <color theme="1"/>
        <rFont val="Times New Roman"/>
        <family val="1"/>
      </rPr>
      <t>2,5</t>
    </r>
  </si>
  <si>
    <r>
      <t>(iii)  C</t>
    </r>
    <r>
      <rPr>
        <vertAlign val="subscript"/>
        <sz val="12"/>
        <color theme="1"/>
        <rFont val="Times New Roman"/>
        <family val="1"/>
      </rPr>
      <t>1,6</t>
    </r>
    <r>
      <rPr>
        <sz val="12"/>
        <color theme="1"/>
        <rFont val="Times New Roman"/>
        <family val="1"/>
      </rPr>
      <t xml:space="preserve"> + C</t>
    </r>
    <r>
      <rPr>
        <vertAlign val="subscript"/>
        <sz val="12"/>
        <color theme="1"/>
        <rFont val="Times New Roman"/>
        <family val="1"/>
      </rPr>
      <t>2,6</t>
    </r>
    <r>
      <rPr>
        <sz val="12"/>
        <color theme="1"/>
        <rFont val="Times New Roman"/>
        <family val="1"/>
      </rPr>
      <t xml:space="preserve"> + C</t>
    </r>
    <r>
      <rPr>
        <vertAlign val="subscript"/>
        <sz val="12"/>
        <color theme="1"/>
        <rFont val="Times New Roman"/>
        <family val="1"/>
      </rPr>
      <t>3,6</t>
    </r>
    <r>
      <rPr>
        <sz val="12"/>
        <color theme="1"/>
        <rFont val="Times New Roman"/>
        <family val="1"/>
      </rPr>
      <t xml:space="preserve"> + C</t>
    </r>
    <r>
      <rPr>
        <vertAlign val="subscript"/>
        <sz val="12"/>
        <color theme="1"/>
        <rFont val="Times New Roman"/>
        <family val="1"/>
      </rPr>
      <t>2,7</t>
    </r>
    <r>
      <rPr>
        <sz val="12"/>
        <color theme="1"/>
        <rFont val="Times New Roman"/>
        <family val="1"/>
      </rPr>
      <t xml:space="preserve"> + C</t>
    </r>
    <r>
      <rPr>
        <vertAlign val="subscript"/>
        <sz val="12"/>
        <color theme="1"/>
        <rFont val="Times New Roman"/>
        <family val="1"/>
      </rPr>
      <t>3,7</t>
    </r>
    <r>
      <rPr>
        <sz val="12"/>
        <color theme="1"/>
        <rFont val="Times New Roman"/>
        <family val="1"/>
      </rPr>
      <t xml:space="preserve"> + C</t>
    </r>
    <r>
      <rPr>
        <vertAlign val="subscript"/>
        <sz val="12"/>
        <color theme="1"/>
        <rFont val="Times New Roman"/>
        <family val="1"/>
      </rPr>
      <t>3,8</t>
    </r>
  </si>
  <si>
    <t>Reported Years</t>
  </si>
  <si>
    <t>Year Lag</t>
  </si>
  <si>
    <t>(i) second-year claims-made step factor</t>
  </si>
  <si>
    <t>(ii) mature claims-made tail factor</t>
  </si>
  <si>
    <t>Reported Claims XS 500,000 Limit (000)</t>
  </si>
  <si>
    <t>All-years Volume-Weighted Average Development Factors:</t>
  </si>
  <si>
    <t xml:space="preserve"> - age-to-age</t>
  </si>
  <si>
    <t xml:space="preserve"> - age-ult</t>
  </si>
  <si>
    <t>Age-to-Ultimate Development Factors</t>
  </si>
  <si>
    <t>Ultimate Claims at</t>
  </si>
  <si>
    <t xml:space="preserve">Total </t>
  </si>
  <si>
    <t>XS</t>
  </si>
  <si>
    <t>Limits</t>
  </si>
  <si>
    <t>Limit</t>
  </si>
  <si>
    <t>Claim Trend</t>
  </si>
  <si>
    <t>Factor</t>
  </si>
  <si>
    <t>Trended</t>
  </si>
  <si>
    <t>Claim Ratio</t>
  </si>
  <si>
    <t>Earned</t>
  </si>
  <si>
    <t>Premium</t>
  </si>
  <si>
    <t>Fixed Expense per On-Level Earned Premium</t>
  </si>
  <si>
    <t>Change in Fixed Expense per On-Level Earned Premium</t>
  </si>
  <si>
    <t>Average all years:</t>
  </si>
  <si>
    <t>Average most recent 3 years:</t>
  </si>
  <si>
    <t>Rates effective:</t>
  </si>
  <si>
    <t xml:space="preserve"> 12-month policies for 1 year</t>
  </si>
  <si>
    <t>Average incurred date in rating period:</t>
  </si>
  <si>
    <t>Average Incurred Date</t>
  </si>
  <si>
    <t>Forecast Period</t>
  </si>
  <si>
    <t>Trend Period (months)</t>
  </si>
  <si>
    <t>Trend Factors</t>
  </si>
  <si>
    <t>Trended Fixed Expenses</t>
  </si>
  <si>
    <t>Average</t>
  </si>
  <si>
    <t>Recommended annual fixed expense trend from  part (c):</t>
  </si>
  <si>
    <t>{Note: averages not needed for part (a) but helpful for part (c)}</t>
  </si>
  <si>
    <t>Paid Severity</t>
  </si>
  <si>
    <t>Paid Severity Age-to-Age Development Factors</t>
  </si>
  <si>
    <t>Age-to-Age Development Factors:</t>
  </si>
  <si>
    <t>Simple All</t>
  </si>
  <si>
    <t>Vol Wtd All</t>
  </si>
  <si>
    <t>Selected</t>
  </si>
  <si>
    <t>Age-to-Ult.</t>
  </si>
  <si>
    <t>Severity</t>
  </si>
  <si>
    <t>DFs</t>
  </si>
  <si>
    <t>Year-to</t>
  </si>
  <si>
    <t>Year Change</t>
  </si>
  <si>
    <t>Average:</t>
  </si>
  <si>
    <t>Recommended severity trend:</t>
  </si>
  <si>
    <t>Incremental Closed Counts</t>
  </si>
  <si>
    <t>Proportion of Closed Counts</t>
  </si>
  <si>
    <t>Incremental Severity Trended to AY2018</t>
  </si>
  <si>
    <t>AY2018 Unpaid Claims:</t>
  </si>
  <si>
    <t>Justification: The pattern is erratic, so an all-years average is selected.</t>
  </si>
  <si>
    <t>Line of Business</t>
    <phoneticPr fontId="0" type="noConversion"/>
  </si>
  <si>
    <t>Gross Unearned Premium (000) as of Jun 30, 2020</t>
  </si>
  <si>
    <t>Gross Expected Claims (000)</t>
  </si>
  <si>
    <t>Property</t>
    <phoneticPr fontId="0" type="noConversion"/>
  </si>
  <si>
    <t>Automobile</t>
    <phoneticPr fontId="0" type="noConversion"/>
  </si>
  <si>
    <t>Total</t>
    <phoneticPr fontId="0" type="noConversion"/>
  </si>
  <si>
    <t>Gross of Reinsurance</t>
    <phoneticPr fontId="0" type="noConversion"/>
  </si>
  <si>
    <t>Net of Reinsurance</t>
    <phoneticPr fontId="0" type="noConversion"/>
  </si>
  <si>
    <t xml:space="preserve">Expected ULAE for premium liabilities gross of reinsurance = </t>
  </si>
  <si>
    <t>Expected ULAE for premium liabilities net of reinsurance =</t>
  </si>
  <si>
    <t>Remaining time of policies as of Jun. 30, 2020:</t>
  </si>
  <si>
    <t>Unearned Premiums (000)</t>
  </si>
  <si>
    <t>Expected Claims (000)</t>
  </si>
  <si>
    <t>Expected ULAE (000)</t>
  </si>
  <si>
    <t>Total Expected Claims and LAE</t>
  </si>
  <si>
    <t>Maintenance Expenses</t>
  </si>
  <si>
    <t>Profit-sharing Commissions</t>
  </si>
  <si>
    <t>Total Premium Liabilities</t>
  </si>
  <si>
    <t xml:space="preserve">Profits (Equity) in the unexpired policy </t>
  </si>
  <si>
    <t>Rate Level</t>
  </si>
  <si>
    <t>Percent Premium Earned in Each CY at Rate Level</t>
  </si>
  <si>
    <t>Level</t>
  </si>
  <si>
    <t>Index</t>
  </si>
  <si>
    <t>Average rate level in each CY:</t>
  </si>
  <si>
    <t>On-level factors for reserving:</t>
  </si>
  <si>
    <t>Premium On-Level Factors from part (d)</t>
  </si>
  <si>
    <t>On-Level Earned Premiums</t>
  </si>
  <si>
    <t>Reported CDFs</t>
  </si>
  <si>
    <t>Expected % Reported</t>
  </si>
  <si>
    <t>Used-Up On-Level EP</t>
  </si>
  <si>
    <t>Claim Adjustment Factors</t>
  </si>
  <si>
    <t>Actual Reported Claims excluding Large Claim</t>
  </si>
  <si>
    <t>Trend at 5%</t>
  </si>
  <si>
    <t>Tort Reform</t>
  </si>
  <si>
    <t>Adjusted Claims</t>
  </si>
  <si>
    <t>Adjusted Expected Claim Ratio:</t>
  </si>
  <si>
    <t>Expected % Unreported</t>
  </si>
  <si>
    <t>Expected Unreported</t>
  </si>
  <si>
    <t>Projected Ultimate</t>
  </si>
  <si>
    <t>Large claim adjustment:</t>
  </si>
  <si>
    <t xml:space="preserve">	Primary threshold for reported claims:</t>
  </si>
  <si>
    <t>Primary</t>
  </si>
  <si>
    <t>Excess</t>
  </si>
  <si>
    <t>Claims less than 1000</t>
  </si>
  <si>
    <t>Code</t>
  </si>
  <si>
    <t>ELR (per 100)</t>
  </si>
  <si>
    <t>W=</t>
  </si>
  <si>
    <t xml:space="preserve">B= </t>
  </si>
  <si>
    <t>M=</t>
  </si>
  <si>
    <t>Average accident date in future rating period:</t>
  </si>
  <si>
    <t>Trended Ultimate Indemnity</t>
  </si>
  <si>
    <t>Trending Period</t>
  </si>
  <si>
    <t>Deductible of</t>
  </si>
  <si>
    <t>Months</t>
  </si>
  <si>
    <t>Years</t>
  </si>
  <si>
    <t>No Deductible</t>
  </si>
  <si>
    <t>Deductible factor:</t>
  </si>
  <si>
    <t>Trend Factor @5%</t>
  </si>
  <si>
    <t>The marginal rate should decrease as the value of the deductible increases.</t>
  </si>
  <si>
    <t>Deductible</t>
  </si>
  <si>
    <t>Marginal Rate</t>
  </si>
  <si>
    <t>Per Thousand</t>
  </si>
  <si>
    <t>Since there is a decrease, the deductible factors are considered to be consistent.</t>
  </si>
  <si>
    <t>AAL of account:</t>
  </si>
  <si>
    <t>Discount</t>
  </si>
  <si>
    <t>Expense load</t>
  </si>
  <si>
    <t>Risk load</t>
  </si>
  <si>
    <t>Adjusted AAL =</t>
  </si>
  <si>
    <t xml:space="preserve">Premium = </t>
  </si>
  <si>
    <t>1,000,000 Limit</t>
  </si>
  <si>
    <t xml:space="preserve">Severity trend for 1,000,000 limit = </t>
  </si>
  <si>
    <t xml:space="preserve">Severity trend for total limit = </t>
  </si>
  <si>
    <t>Severity Trend at:</t>
  </si>
  <si>
    <t>Trended Claims at</t>
  </si>
  <si>
    <t>Loading for 1,000,000 to Total Limit</t>
  </si>
  <si>
    <t>Loadings for 500,000 to Total Limit</t>
  </si>
  <si>
    <t>Average Accident Date</t>
  </si>
  <si>
    <t>AY</t>
  </si>
  <si>
    <t>Reported @ 12/31/19</t>
  </si>
  <si>
    <t>Reported @ 9/30/20</t>
  </si>
  <si>
    <t>Expected % Reported @ 12/31/19</t>
  </si>
  <si>
    <t>Expected % Reported @ 9/30/20</t>
  </si>
  <si>
    <t>Actual Reported at 9 months</t>
  </si>
  <si>
    <t>Expected Reported at 9 months</t>
  </si>
  <si>
    <t>Ratios of Paid Claims to Reported Claims</t>
  </si>
  <si>
    <t>Average Case Estimate</t>
  </si>
  <si>
    <t>The latest diagonal shows a decrease in ratios which could mean a decrease in settlement (numerator) or increase in case reserve adequacy (denominator).</t>
  </si>
  <si>
    <t>Note: The reported claims for AY 2018 at 12 months was given as 3.292, but it should have been 3,292.  Some candidates noticed the error, and some did not.  However, credit was given regardless of the value used, provided the work was done correctly.</t>
  </si>
  <si>
    <t>Reported Counts</t>
  </si>
  <si>
    <t>Ratios of Closed Counts to Reported Counts</t>
  </si>
  <si>
    <t>Closed to reported counts are relatively stable which means a change in settlement rate is not likely.</t>
  </si>
  <si>
    <t xml:space="preserve">Ratio of ULAE to claims (Kittel refinement): average of 2018 and 2019 = </t>
  </si>
  <si>
    <t>For the ULAE ratio selection, use the average of the most recent 2 years to reflect the growing exposure base.</t>
  </si>
  <si>
    <t>Unpaid ULAE = (ULAE ratio × pure IBNR) + [ULAE ratio × multiplier × (case estimates+ development on case estimates)]</t>
  </si>
  <si>
    <t>CY Incurred = Paid + Change in O/S =</t>
  </si>
  <si>
    <t>D</t>
  </si>
  <si>
    <t>E</t>
  </si>
  <si>
    <t>F</t>
  </si>
  <si>
    <t>On-level factors for ratemaking:</t>
  </si>
  <si>
    <t>Trend from the average accident date in each AY (i.e., July 1) to the average accident date in future rating period.</t>
  </si>
  <si>
    <t>Pure Premium</t>
  </si>
  <si>
    <t>Trending</t>
  </si>
  <si>
    <t>Premium Adj. Factors</t>
  </si>
  <si>
    <t>Earned Prem.</t>
  </si>
  <si>
    <t>Trend</t>
  </si>
  <si>
    <t>Regulation</t>
  </si>
  <si>
    <t>Period in</t>
  </si>
  <si>
    <t>Trend at</t>
  </si>
  <si>
    <t>at Current</t>
  </si>
  <si>
    <t>Factor at</t>
  </si>
  <si>
    <t>Adjustment</t>
  </si>
  <si>
    <t>Claim</t>
  </si>
  <si>
    <t>Premiums</t>
  </si>
  <si>
    <t>On-Level</t>
  </si>
  <si>
    <t>to Claims</t>
  </si>
  <si>
    <t>Ratio</t>
  </si>
  <si>
    <t>Weights</t>
  </si>
  <si>
    <t>Weighted average trended claim ratio:</t>
  </si>
  <si>
    <t>Justification: No significant outliers, so average of all years with more weight to more recent experience.</t>
  </si>
  <si>
    <t>Weighted average trended claim ratio</t>
  </si>
  <si>
    <t>Ratio of ULAE to claims</t>
  </si>
  <si>
    <t>Fixed expenses as ratio to premiums at current rate level</t>
  </si>
  <si>
    <t>Variable expenses - ratio to premiums</t>
  </si>
  <si>
    <t>Profit and contingencies ratio to premiums</t>
  </si>
  <si>
    <t xml:space="preserve">Weighted average trended claim ratio including ULAE </t>
  </si>
  <si>
    <t>Permissible claim ratio</t>
  </si>
  <si>
    <t>Indicated rate change</t>
  </si>
  <si>
    <t>XYZ Re Cumulative Reported Claims</t>
  </si>
  <si>
    <t>Share%</t>
  </si>
  <si>
    <t xml:space="preserve">3 yr vol. weighted average </t>
  </si>
  <si>
    <t>Age-to-ultimate factors</t>
  </si>
  <si>
    <t>Quota</t>
  </si>
  <si>
    <t>Earned premium</t>
  </si>
  <si>
    <t>XYZ Re share</t>
  </si>
  <si>
    <t>100% gross</t>
  </si>
  <si>
    <t>Annual claim ratio (pure premium) trend:</t>
  </si>
  <si>
    <t>Gross</t>
  </si>
  <si>
    <t>XYZ Share</t>
  </si>
  <si>
    <t>Ceding</t>
  </si>
  <si>
    <t>QS Cession</t>
  </si>
  <si>
    <t>Commission</t>
  </si>
  <si>
    <t>Percentage</t>
  </si>
  <si>
    <t>Revised</t>
  </si>
  <si>
    <t>Gross Cumulative Reported Claims</t>
  </si>
  <si>
    <t>Adjusted Closed Counts Excluding Large Claim Counts</t>
  </si>
  <si>
    <t>Adjusted Paid Claims Excluding Large Claims</t>
  </si>
  <si>
    <t>Development factors (3 year volume weighted average):</t>
  </si>
  <si>
    <t>Age-to-age</t>
  </si>
  <si>
    <t>Age-to-ult</t>
  </si>
  <si>
    <t>Large Claims</t>
  </si>
  <si>
    <t>Ult. Claims</t>
  </si>
  <si>
    <t>Unpaid</t>
  </si>
  <si>
    <t>Incl. Large</t>
  </si>
  <si>
    <t>Weighted Average ILF</t>
  </si>
  <si>
    <t>Annual Trend Due to Shift in ILF</t>
  </si>
  <si>
    <t>Excl. high/low:</t>
  </si>
  <si>
    <t>Justification: exclude the high and low values because of the volatility.</t>
  </si>
  <si>
    <t>Recommend annual trend:</t>
  </si>
  <si>
    <t>Experience period trend factor (2017 to 2019):</t>
  </si>
  <si>
    <t>Average earned premium date in future rating period:</t>
  </si>
  <si>
    <t>Forecast period (months) from July 1, 2019 to Dec. 1, 2021:</t>
  </si>
  <si>
    <t>Total premium trend:</t>
  </si>
  <si>
    <t>CY2017 on-level EP trended to future rating period:</t>
  </si>
  <si>
    <t>Overall, it appears reasonable, but there are some AY's that are not reasonable (e.g., 2016 &amp;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</si>
</sst>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_-* #,##0.00_-;\-* #,##0.00_-;_-* &quot;-&quot;??_-;_-@_-"/>
    <numFmt numFmtId="165" formatCode="0.00000"/>
    <numFmt numFmtId="166" formatCode="mmm\.\ d\,\ yyyy"/>
    <numFmt numFmtId="167" formatCode="0.000"/>
    <numFmt numFmtId="168" formatCode="mmmm\ d\,\ yyyy"/>
    <numFmt numFmtId="169" formatCode="0.0%"/>
    <numFmt numFmtId="170" formatCode="#;\(#\);\-"/>
    <numFmt numFmtId="171" formatCode="0.0000"/>
    <numFmt numFmtId="172" formatCode="#,##0.0000"/>
    <numFmt numFmtId="173" formatCode="#,##0.000"/>
    <numFmt numFmtId="174" formatCode="_ * #,##0.0_ ;_ * \-#,##0.0_ ;_ * &quot;-&quot;??_ ;_ @_ "/>
    <numFmt numFmtId="175" formatCode="_ * #,##0_ ;_ * \-#,##0_ ;_ * &quot;-&quot;??_ ;_ @_ "/>
    <numFmt numFmtId="176" formatCode="0.0%;\-;\-"/>
    <numFmt numFmtId="177" formatCode="_(* #,##0_);_(* \(#,##0\);_(* &quot;-&quot;??_);_(@_)"/>
    <numFmt numFmtId="178" formatCode="0.000%"/>
    <numFmt numFmtId="179" formatCode="[$-1009]d/mmm/yy;@"/>
    <numFmt numFmtId="180" formatCode="#,##0_ "/>
    <numFmt numFmtId="181" formatCode="#,##0.000_ "/>
    <numFmt numFmtId="182" formatCode="0.0000%"/>
  </numFmts>
  <fonts count="32" x14ac:knownFonts="1">
    <font>
      <sz val="11"/>
      <color theme="1"/>
      <name val="Calibri"/>
      <family val="2"/>
      <scheme val="minor"/>
    </font>
    <font>
      <sz val="12"/>
      <color rgb="FF002060"/>
      <name val="Times New Roman"/>
      <family val="1"/>
    </font>
    <font>
      <sz val="11"/>
      <color rgb="FF002060"/>
      <name val="Calibri"/>
      <family val="2"/>
      <scheme val="minor"/>
    </font>
    <font>
      <b/>
      <sz val="12"/>
      <color rgb="FF002060"/>
      <name val="Times New Roman"/>
      <family val="1"/>
    </font>
    <font>
      <sz val="12"/>
      <color theme="1"/>
      <name val="Times New Roman"/>
      <family val="1"/>
    </font>
    <font>
      <b/>
      <sz val="14"/>
      <color rgb="FF002060"/>
      <name val="Times New Roman"/>
      <family val="1"/>
    </font>
    <font>
      <i/>
      <sz val="12"/>
      <color rgb="FF002060"/>
      <name val="Times New Roman"/>
      <family val="1"/>
    </font>
    <font>
      <sz val="12"/>
      <name val="Times New Roman"/>
      <family val="1"/>
    </font>
    <font>
      <b/>
      <i/>
      <sz val="12"/>
      <color rgb="FF002060"/>
      <name val="Times New Roman"/>
      <family val="1"/>
    </font>
    <font>
      <b/>
      <sz val="11"/>
      <color rgb="FF002060"/>
      <name val="Times New Roman"/>
      <family val="1"/>
    </font>
    <font>
      <sz val="11"/>
      <color rgb="FF002060"/>
      <name val="Times New Roman"/>
      <family val="1"/>
    </font>
    <font>
      <sz val="10"/>
      <color rgb="FF002060"/>
      <name val="Times New Roman"/>
      <family val="1"/>
    </font>
    <font>
      <sz val="12"/>
      <color rgb="FF002060"/>
      <name val="Calibri"/>
      <family val="2"/>
    </font>
    <font>
      <i/>
      <vertAlign val="superscript"/>
      <sz val="12"/>
      <color rgb="FF002060"/>
      <name val="Times New Roman"/>
      <family val="1"/>
    </font>
    <font>
      <sz val="11"/>
      <color theme="1"/>
      <name val="Calibri"/>
      <family val="2"/>
      <scheme val="minor"/>
    </font>
    <font>
      <i/>
      <sz val="12"/>
      <color theme="1"/>
      <name val="Times New Roman"/>
      <family val="1"/>
    </font>
    <font>
      <sz val="11"/>
      <name val="Calibri"/>
      <family val="2"/>
      <scheme val="minor"/>
    </font>
    <font>
      <sz val="12"/>
      <name val="Calibri"/>
      <family val="2"/>
    </font>
    <font>
      <i/>
      <sz val="12"/>
      <name val="Times New Roman"/>
      <family val="1"/>
    </font>
    <font>
      <sz val="12"/>
      <color rgb="FF00B050"/>
      <name val="Times New Roman"/>
      <family val="1"/>
    </font>
    <font>
      <sz val="12"/>
      <color rgb="FF000000"/>
      <name val="Times New Roman"/>
      <family val="1"/>
    </font>
    <font>
      <u/>
      <sz val="12"/>
      <color theme="1"/>
      <name val="Times New Roman"/>
      <family val="1"/>
    </font>
    <font>
      <sz val="12"/>
      <color theme="1"/>
      <name val="Calibri"/>
      <family val="2"/>
    </font>
    <font>
      <vertAlign val="subscript"/>
      <sz val="12"/>
      <color theme="1"/>
      <name val="Times New Roman"/>
      <family val="1"/>
    </font>
    <font>
      <b/>
      <sz val="12"/>
      <color theme="1"/>
      <name val="Times New Roman"/>
      <family val="1"/>
    </font>
    <font>
      <u/>
      <sz val="12"/>
      <name val="Times New Roman"/>
      <family val="1"/>
    </font>
    <font>
      <sz val="12"/>
      <color rgb="FF7030A0"/>
      <name val="Times New Roman"/>
      <family val="1"/>
    </font>
    <font>
      <i/>
      <sz val="11"/>
      <color rgb="FF7030A0"/>
      <name val="Times New Roman"/>
      <family val="1"/>
    </font>
    <font>
      <sz val="10"/>
      <color theme="1"/>
      <name val="Times New Roman"/>
      <family val="1"/>
    </font>
    <font>
      <sz val="11"/>
      <color theme="1"/>
      <name val="Times New Roman"/>
      <family val="1"/>
    </font>
    <font>
      <sz val="12"/>
      <color rgb="FF0070C0"/>
      <name val="Times New Roman"/>
      <family val="1"/>
    </font>
    <font>
      <i/>
      <sz val="12"/>
      <color rgb="FF00B050"/>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gradientFill degree="90">
        <stop position="0">
          <color theme="0"/>
        </stop>
        <stop position="1">
          <color theme="0"/>
        </stop>
      </gradient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164" fontId="14" fillId="0" borderId="0" applyFont="0" applyFill="0" applyBorder="0" applyAlignment="0" applyProtection="0"/>
    <xf numFmtId="9" fontId="14" fillId="0" borderId="0" applyFont="0" applyFill="0" applyBorder="0" applyAlignment="0" applyProtection="0"/>
  </cellStyleXfs>
  <cellXfs count="416">
    <xf numFmtId="0" fontId="0" fillId="0" borderId="0" xfId="0"/>
    <xf numFmtId="0" fontId="2" fillId="2" borderId="0" xfId="0" applyFont="1" applyFill="1"/>
    <xf numFmtId="0" fontId="4" fillId="0" borderId="0" xfId="0" applyFont="1"/>
    <xf numFmtId="0" fontId="5" fillId="3" borderId="0" xfId="0" applyFont="1" applyFill="1"/>
    <xf numFmtId="0" fontId="4" fillId="3" borderId="0" xfId="0" applyFont="1" applyFill="1"/>
    <xf numFmtId="0" fontId="1" fillId="3" borderId="0" xfId="0" applyFont="1" applyFill="1"/>
    <xf numFmtId="0" fontId="6" fillId="3" borderId="0" xfId="0" applyFont="1" applyFill="1"/>
    <xf numFmtId="0" fontId="1" fillId="3" borderId="0" xfId="0" quotePrefix="1" applyFont="1" applyFill="1" applyAlignment="1">
      <alignment vertical="center"/>
    </xf>
    <xf numFmtId="0" fontId="1" fillId="3" borderId="0" xfId="0" applyFont="1" applyFill="1" applyAlignment="1">
      <alignment horizontal="left" vertical="center"/>
    </xf>
    <xf numFmtId="0" fontId="1" fillId="3" borderId="0" xfId="0" applyFont="1" applyFill="1" applyAlignment="1">
      <alignment horizontal="left" vertical="center" indent="5"/>
    </xf>
    <xf numFmtId="0" fontId="7" fillId="0" borderId="0" xfId="0" applyFont="1"/>
    <xf numFmtId="0" fontId="7" fillId="0" borderId="0" xfId="0" applyFont="1" applyAlignment="1">
      <alignment horizontal="left" vertical="center" indent="5"/>
    </xf>
    <xf numFmtId="0" fontId="1" fillId="0" borderId="0" xfId="0" applyFont="1"/>
    <xf numFmtId="0" fontId="8" fillId="0" borderId="0" xfId="0" applyFont="1"/>
    <xf numFmtId="0" fontId="1" fillId="0" borderId="0" xfId="0" applyFont="1" applyFill="1" applyBorder="1"/>
    <xf numFmtId="0" fontId="7" fillId="2" borderId="0" xfId="0" applyFont="1" applyFill="1"/>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2" borderId="14"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0" xfId="0" applyFont="1" applyFill="1"/>
    <xf numFmtId="0" fontId="7" fillId="2" borderId="0" xfId="0" applyFont="1" applyFill="1" applyAlignment="1">
      <alignment horizontal="left" vertical="center" indent="5"/>
    </xf>
    <xf numFmtId="0" fontId="9" fillId="2" borderId="1" xfId="0" applyFont="1" applyFill="1" applyBorder="1" applyAlignment="1">
      <alignment horizontal="center" wrapText="1"/>
    </xf>
    <xf numFmtId="0" fontId="1" fillId="2" borderId="2" xfId="0" applyFont="1" applyFill="1" applyBorder="1"/>
    <xf numFmtId="0" fontId="3" fillId="2" borderId="13" xfId="0" applyFont="1" applyFill="1" applyBorder="1"/>
    <xf numFmtId="0" fontId="3" fillId="2" borderId="5" xfId="0" applyFont="1" applyFill="1" applyBorder="1" applyAlignment="1">
      <alignment horizontal="center" vertical="center" wrapText="1"/>
    </xf>
    <xf numFmtId="0" fontId="3" fillId="2" borderId="15" xfId="0" applyFont="1" applyFill="1" applyBorder="1" applyAlignment="1">
      <alignment horizontal="center"/>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1" fillId="2" borderId="5" xfId="0" applyFont="1" applyFill="1" applyBorder="1" applyAlignment="1">
      <alignment horizontal="center" vertical="center" wrapText="1"/>
    </xf>
    <xf numFmtId="3" fontId="1" fillId="2" borderId="2" xfId="0" applyNumberFormat="1" applyFont="1" applyFill="1" applyBorder="1" applyAlignment="1">
      <alignment horizontal="center" vertical="center" wrapText="1"/>
    </xf>
    <xf numFmtId="3" fontId="1" fillId="2" borderId="15" xfId="0" applyNumberFormat="1" applyFont="1" applyFill="1" applyBorder="1" applyAlignment="1">
      <alignment horizontal="center" vertical="center" wrapText="1"/>
    </xf>
    <xf numFmtId="3" fontId="1" fillId="2" borderId="6" xfId="0" applyNumberFormat="1" applyFont="1" applyFill="1" applyBorder="1" applyAlignment="1">
      <alignment horizontal="center" vertical="center" wrapText="1"/>
    </xf>
    <xf numFmtId="3" fontId="1" fillId="2" borderId="5" xfId="0" applyNumberFormat="1" applyFont="1" applyFill="1" applyBorder="1" applyAlignment="1">
      <alignment horizontal="center" vertical="center" wrapText="1"/>
    </xf>
    <xf numFmtId="0" fontId="1" fillId="2" borderId="7" xfId="0" applyFont="1" applyFill="1" applyBorder="1" applyAlignment="1">
      <alignment horizontal="center" vertical="center" wrapText="1"/>
    </xf>
    <xf numFmtId="3" fontId="1" fillId="2" borderId="7" xfId="0" applyNumberFormat="1" applyFont="1" applyFill="1" applyBorder="1" applyAlignment="1">
      <alignment horizontal="center" vertical="center" wrapText="1"/>
    </xf>
    <xf numFmtId="3" fontId="1" fillId="2" borderId="14" xfId="0" applyNumberFormat="1" applyFont="1" applyFill="1" applyBorder="1" applyAlignment="1">
      <alignment horizontal="center" vertical="center" wrapText="1"/>
    </xf>
    <xf numFmtId="3" fontId="1" fillId="2" borderId="9" xfId="0" applyNumberFormat="1" applyFont="1" applyFill="1" applyBorder="1" applyAlignment="1">
      <alignment horizontal="center" vertical="center" wrapText="1"/>
    </xf>
    <xf numFmtId="0" fontId="1" fillId="3" borderId="0" xfId="0" applyFont="1" applyFill="1" applyAlignment="1"/>
    <xf numFmtId="0" fontId="12" fillId="3" borderId="0" xfId="0" applyFont="1" applyFill="1" applyAlignment="1">
      <alignment horizontal="center"/>
    </xf>
    <xf numFmtId="0" fontId="3" fillId="2" borderId="13" xfId="0" applyFont="1" applyFill="1" applyBorder="1" applyAlignment="1">
      <alignment horizontal="center"/>
    </xf>
    <xf numFmtId="0" fontId="3" fillId="2" borderId="14" xfId="0" applyFont="1" applyFill="1" applyBorder="1" applyAlignment="1">
      <alignment horizontal="center"/>
    </xf>
    <xf numFmtId="0" fontId="3" fillId="2" borderId="12" xfId="0" applyFont="1" applyFill="1" applyBorder="1" applyAlignment="1">
      <alignment horizontal="center"/>
    </xf>
    <xf numFmtId="0" fontId="3" fillId="2" borderId="1" xfId="0" applyFont="1" applyFill="1" applyBorder="1" applyAlignment="1">
      <alignment horizontal="center"/>
    </xf>
    <xf numFmtId="0" fontId="1" fillId="2" borderId="14" xfId="0" applyFont="1" applyFill="1" applyBorder="1" applyAlignment="1">
      <alignment horizontal="center"/>
    </xf>
    <xf numFmtId="3" fontId="1" fillId="2" borderId="1" xfId="0" applyNumberFormat="1" applyFont="1" applyFill="1" applyBorder="1" applyAlignment="1">
      <alignment horizontal="center"/>
    </xf>
    <xf numFmtId="0" fontId="1" fillId="2" borderId="1" xfId="0" applyFont="1" applyFill="1" applyBorder="1" applyAlignment="1">
      <alignment horizontal="center"/>
    </xf>
    <xf numFmtId="0" fontId="1" fillId="2" borderId="0" xfId="0" applyFont="1" applyFill="1" applyAlignment="1">
      <alignment horizontal="center"/>
    </xf>
    <xf numFmtId="0" fontId="1" fillId="2" borderId="1" xfId="0" applyFont="1" applyFill="1" applyBorder="1"/>
    <xf numFmtId="167" fontId="1" fillId="2" borderId="1" xfId="0" applyNumberFormat="1" applyFont="1" applyFill="1" applyBorder="1" applyAlignment="1">
      <alignment horizontal="center"/>
    </xf>
    <xf numFmtId="0" fontId="1" fillId="2"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4" fillId="3" borderId="0" xfId="0" applyFont="1" applyFill="1" applyAlignment="1"/>
    <xf numFmtId="0" fontId="4" fillId="2" borderId="0" xfId="0" applyFont="1" applyFill="1"/>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0" xfId="0" applyFont="1" applyFill="1" applyBorder="1" applyAlignment="1">
      <alignment horizontal="center" vertical="center"/>
    </xf>
    <xf numFmtId="0" fontId="8" fillId="3" borderId="0" xfId="0" applyFont="1" applyFill="1"/>
    <xf numFmtId="0" fontId="1" fillId="3" borderId="0" xfId="0" applyFont="1" applyFill="1" applyAlignment="1">
      <alignment horizontal="center"/>
    </xf>
    <xf numFmtId="3" fontId="1" fillId="2" borderId="1" xfId="0" applyNumberFormat="1" applyFont="1" applyFill="1" applyBorder="1" applyAlignment="1">
      <alignment horizontal="center" vertical="center"/>
    </xf>
    <xf numFmtId="0" fontId="3" fillId="2" borderId="1" xfId="0" applyFont="1" applyFill="1" applyBorder="1" applyAlignment="1">
      <alignment horizontal="center" wrapText="1"/>
    </xf>
    <xf numFmtId="167" fontId="1" fillId="2"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0" fillId="2" borderId="0" xfId="0" applyFill="1"/>
    <xf numFmtId="0" fontId="9" fillId="2" borderId="1" xfId="0"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0" fontId="1" fillId="2" borderId="1" xfId="0" applyFont="1" applyFill="1" applyBorder="1" applyAlignment="1">
      <alignment vertical="center" wrapText="1"/>
    </xf>
    <xf numFmtId="0" fontId="1" fillId="2" borderId="0" xfId="0" applyFont="1" applyFill="1" applyAlignment="1">
      <alignment vertical="center"/>
    </xf>
    <xf numFmtId="0" fontId="1" fillId="2" borderId="0" xfId="0" applyFont="1" applyFill="1" applyAlignment="1">
      <alignment horizontal="left" vertical="center" indent="5"/>
    </xf>
    <xf numFmtId="3" fontId="1" fillId="2" borderId="1" xfId="0" applyNumberFormat="1" applyFont="1" applyFill="1" applyBorder="1" applyAlignment="1">
      <alignment horizontal="center" wrapText="1"/>
    </xf>
    <xf numFmtId="0" fontId="1" fillId="2" borderId="1" xfId="0" applyFont="1" applyFill="1" applyBorder="1" applyAlignment="1">
      <alignment horizontal="center" wrapText="1"/>
    </xf>
    <xf numFmtId="167" fontId="1" fillId="2" borderId="1" xfId="0" applyNumberFormat="1" applyFont="1" applyFill="1" applyBorder="1" applyAlignment="1">
      <alignment horizontal="center" vertical="center"/>
    </xf>
    <xf numFmtId="0" fontId="1" fillId="2" borderId="0" xfId="0" applyFont="1" applyFill="1" applyBorder="1" applyAlignment="1">
      <alignment horizontal="center" vertical="center" wrapText="1"/>
    </xf>
    <xf numFmtId="3" fontId="1" fillId="2" borderId="0" xfId="0" applyNumberFormat="1" applyFont="1" applyFill="1" applyBorder="1" applyAlignment="1">
      <alignment horizontal="center" vertical="center" wrapText="1"/>
    </xf>
    <xf numFmtId="0" fontId="1" fillId="3" borderId="13" xfId="0" applyFont="1" applyFill="1" applyBorder="1"/>
    <xf numFmtId="3" fontId="3" fillId="2" borderId="1" xfId="0" applyNumberFormat="1" applyFont="1" applyFill="1" applyBorder="1" applyAlignment="1">
      <alignment horizontal="center" vertical="center"/>
    </xf>
    <xf numFmtId="2" fontId="1" fillId="2" borderId="1" xfId="0" applyNumberFormat="1" applyFont="1" applyFill="1" applyBorder="1" applyAlignment="1">
      <alignment horizontal="center" vertical="center"/>
    </xf>
    <xf numFmtId="3" fontId="3" fillId="2" borderId="12" xfId="0" applyNumberFormat="1" applyFont="1" applyFill="1" applyBorder="1" applyAlignment="1">
      <alignment horizontal="center" vertical="center"/>
    </xf>
    <xf numFmtId="3"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166" fontId="10" fillId="2" borderId="1" xfId="0" applyNumberFormat="1" applyFont="1" applyFill="1" applyBorder="1" applyAlignment="1">
      <alignment horizontal="center" vertical="center"/>
    </xf>
    <xf numFmtId="168" fontId="1" fillId="2" borderId="1" xfId="0" applyNumberFormat="1" applyFont="1" applyFill="1" applyBorder="1" applyAlignment="1">
      <alignment horizontal="center" vertical="center"/>
    </xf>
    <xf numFmtId="169" fontId="1" fillId="2" borderId="1" xfId="0" applyNumberFormat="1" applyFont="1" applyFill="1" applyBorder="1" applyAlignment="1">
      <alignment horizontal="center" vertical="center" wrapText="1"/>
    </xf>
    <xf numFmtId="169" fontId="1" fillId="2" borderId="14" xfId="0" applyNumberFormat="1" applyFont="1" applyFill="1" applyBorder="1" applyAlignment="1">
      <alignment horizontal="center" vertical="center"/>
    </xf>
    <xf numFmtId="169" fontId="1" fillId="2" borderId="1" xfId="0" applyNumberFormat="1" applyFont="1" applyFill="1" applyBorder="1" applyAlignment="1">
      <alignment horizontal="center" vertical="center"/>
    </xf>
    <xf numFmtId="3" fontId="1" fillId="2" borderId="0" xfId="0" applyNumberFormat="1" applyFont="1" applyFill="1" applyBorder="1" applyAlignment="1">
      <alignment horizontal="center" vertical="center"/>
    </xf>
    <xf numFmtId="0" fontId="1" fillId="2" borderId="0" xfId="0" applyFont="1" applyFill="1" applyBorder="1"/>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7" fillId="0" borderId="14" xfId="0"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0" xfId="0" applyFont="1" applyFill="1"/>
    <xf numFmtId="0" fontId="4" fillId="0" borderId="0" xfId="0" quotePrefix="1" applyFont="1" applyFill="1"/>
    <xf numFmtId="0" fontId="0" fillId="0" borderId="0" xfId="0" applyFill="1"/>
    <xf numFmtId="3" fontId="4" fillId="0" borderId="0" xfId="0" applyNumberFormat="1" applyFont="1" applyFill="1"/>
    <xf numFmtId="0" fontId="15" fillId="0" borderId="0" xfId="0" applyFont="1" applyFill="1"/>
    <xf numFmtId="0" fontId="7" fillId="0" borderId="0" xfId="0" applyFont="1" applyFill="1"/>
    <xf numFmtId="0" fontId="16" fillId="0" borderId="0" xfId="0" applyFont="1" applyFill="1"/>
    <xf numFmtId="0" fontId="17" fillId="0" borderId="0" xfId="0" applyFont="1"/>
    <xf numFmtId="3" fontId="18" fillId="0" borderId="1" xfId="0" applyNumberFormat="1" applyFont="1" applyFill="1" applyBorder="1" applyAlignment="1">
      <alignment horizontal="center" vertical="center" wrapText="1"/>
    </xf>
    <xf numFmtId="0" fontId="20" fillId="0" borderId="0" xfId="0" applyFont="1" applyFill="1" applyAlignment="1">
      <alignment horizontal="center" vertical="center" wrapText="1"/>
    </xf>
    <xf numFmtId="0" fontId="20" fillId="0" borderId="8" xfId="0" applyFont="1" applyFill="1" applyBorder="1" applyAlignment="1">
      <alignment horizontal="center" vertical="center" wrapText="1"/>
    </xf>
    <xf numFmtId="0" fontId="4" fillId="0" borderId="8" xfId="0" applyFont="1" applyFill="1" applyBorder="1" applyAlignment="1">
      <alignment horizontal="center"/>
    </xf>
    <xf numFmtId="0" fontId="7" fillId="0" borderId="0" xfId="0" applyFont="1" applyFill="1" applyAlignment="1">
      <alignment horizontal="center" vertical="center" wrapText="1"/>
    </xf>
    <xf numFmtId="171" fontId="4" fillId="0" borderId="0" xfId="0" applyNumberFormat="1" applyFont="1" applyFill="1" applyAlignment="1">
      <alignment horizontal="center"/>
    </xf>
    <xf numFmtId="3" fontId="4" fillId="0" borderId="0" xfId="0" applyNumberFormat="1" applyFont="1" applyFill="1" applyAlignment="1">
      <alignment horizontal="center"/>
    </xf>
    <xf numFmtId="0" fontId="7" fillId="0" borderId="8" xfId="0" applyFont="1" applyFill="1" applyBorder="1" applyAlignment="1">
      <alignment horizontal="center" vertical="center" wrapText="1"/>
    </xf>
    <xf numFmtId="171" fontId="4" fillId="0" borderId="8" xfId="0" applyNumberFormat="1" applyFont="1" applyFill="1" applyBorder="1" applyAlignment="1">
      <alignment horizontal="center"/>
    </xf>
    <xf numFmtId="3" fontId="4" fillId="0" borderId="8" xfId="0" applyNumberFormat="1" applyFont="1" applyFill="1" applyBorder="1" applyAlignment="1">
      <alignment horizontal="center"/>
    </xf>
    <xf numFmtId="0" fontId="4" fillId="0" borderId="0" xfId="0" applyFont="1" applyFill="1" applyAlignment="1">
      <alignment horizontal="center"/>
    </xf>
    <xf numFmtId="0" fontId="22" fillId="0" borderId="0" xfId="0" applyFont="1" applyFill="1"/>
    <xf numFmtId="0" fontId="4" fillId="0" borderId="0" xfId="0" applyFont="1" applyFill="1" applyAlignment="1">
      <alignment horizontal="centerContinuous"/>
    </xf>
    <xf numFmtId="0" fontId="21" fillId="0" borderId="0" xfId="0" applyFont="1" applyFill="1" applyAlignment="1">
      <alignment horizontal="centerContinuous"/>
    </xf>
    <xf numFmtId="172" fontId="4" fillId="0" borderId="0" xfId="0" applyNumberFormat="1" applyFont="1" applyFill="1" applyAlignment="1">
      <alignment horizontal="center"/>
    </xf>
    <xf numFmtId="172" fontId="4" fillId="0" borderId="8" xfId="0" applyNumberFormat="1" applyFont="1" applyFill="1" applyBorder="1" applyAlignment="1">
      <alignment horizontal="center"/>
    </xf>
    <xf numFmtId="3" fontId="4" fillId="0" borderId="0" xfId="0" applyNumberFormat="1" applyFont="1" applyFill="1" applyAlignment="1">
      <alignment horizontal="right" vertical="center" wrapText="1"/>
    </xf>
    <xf numFmtId="0" fontId="20" fillId="0" borderId="1" xfId="0" applyFont="1" applyFill="1" applyBorder="1" applyAlignment="1">
      <alignment horizontal="center" vertical="center" wrapText="1"/>
    </xf>
    <xf numFmtId="2" fontId="20" fillId="0" borderId="1" xfId="0" applyNumberFormat="1" applyFont="1" applyFill="1" applyBorder="1" applyAlignment="1">
      <alignment horizontal="center" wrapText="1"/>
    </xf>
    <xf numFmtId="0" fontId="21" fillId="0" borderId="0" xfId="0" applyFont="1" applyFill="1" applyAlignment="1">
      <alignment horizontal="center"/>
    </xf>
    <xf numFmtId="0" fontId="4" fillId="0" borderId="0" xfId="0" applyFont="1" applyFill="1" applyAlignment="1" applyProtection="1">
      <alignment horizontal="center"/>
      <protection locked="0"/>
    </xf>
    <xf numFmtId="0" fontId="4" fillId="0" borderId="0" xfId="0" applyFont="1" applyBorder="1"/>
    <xf numFmtId="0" fontId="4" fillId="0" borderId="0" xfId="0" quotePrefix="1" applyFont="1" applyFill="1" applyBorder="1"/>
    <xf numFmtId="0" fontId="0" fillId="0" borderId="0" xfId="0" applyFill="1" applyBorder="1"/>
    <xf numFmtId="0" fontId="4" fillId="0" borderId="14" xfId="0" applyFont="1" applyFill="1" applyBorder="1" applyAlignment="1">
      <alignment horizontal="center"/>
    </xf>
    <xf numFmtId="3" fontId="4" fillId="0" borderId="1" xfId="0" applyNumberFormat="1" applyFont="1" applyFill="1" applyBorder="1" applyAlignment="1">
      <alignment horizontal="center"/>
    </xf>
    <xf numFmtId="3" fontId="4" fillId="0" borderId="13" xfId="0" applyNumberFormat="1" applyFont="1" applyFill="1" applyBorder="1" applyAlignment="1">
      <alignment horizontal="center"/>
    </xf>
    <xf numFmtId="0" fontId="4" fillId="0" borderId="1" xfId="0" applyFont="1" applyFill="1" applyBorder="1" applyAlignment="1">
      <alignment horizontal="center"/>
    </xf>
    <xf numFmtId="3" fontId="4" fillId="0" borderId="15" xfId="0" applyNumberFormat="1" applyFont="1" applyFill="1" applyBorder="1" applyAlignment="1">
      <alignment horizontal="center"/>
    </xf>
    <xf numFmtId="0" fontId="4" fillId="0" borderId="1" xfId="0" quotePrefix="1" applyFont="1" applyFill="1" applyBorder="1"/>
    <xf numFmtId="167" fontId="4" fillId="0" borderId="1" xfId="0" applyNumberFormat="1" applyFont="1" applyFill="1" applyBorder="1" applyAlignment="1">
      <alignment horizontal="center"/>
    </xf>
    <xf numFmtId="0" fontId="4" fillId="0" borderId="1" xfId="0" applyFont="1" applyFill="1" applyBorder="1"/>
    <xf numFmtId="0" fontId="4" fillId="0" borderId="13" xfId="0" applyFont="1" applyFill="1" applyBorder="1" applyAlignment="1">
      <alignment horizontal="center"/>
    </xf>
    <xf numFmtId="3" fontId="4" fillId="0" borderId="4" xfId="0" applyNumberFormat="1" applyFont="1" applyFill="1" applyBorder="1" applyAlignment="1">
      <alignment horizontal="center"/>
    </xf>
    <xf numFmtId="0" fontId="4" fillId="0" borderId="15" xfId="0" applyFont="1" applyFill="1" applyBorder="1" applyAlignment="1">
      <alignment horizontal="center"/>
    </xf>
    <xf numFmtId="3" fontId="4" fillId="0" borderId="6" xfId="0" applyNumberFormat="1" applyFont="1" applyFill="1" applyBorder="1" applyAlignment="1">
      <alignment horizontal="center"/>
    </xf>
    <xf numFmtId="3" fontId="4" fillId="0" borderId="12" xfId="0" applyNumberFormat="1" applyFont="1" applyFill="1" applyBorder="1" applyAlignment="1">
      <alignment horizontal="center"/>
    </xf>
    <xf numFmtId="0" fontId="4" fillId="0" borderId="0" xfId="0" applyFont="1" applyFill="1" applyBorder="1"/>
    <xf numFmtId="167" fontId="4" fillId="0" borderId="0" xfId="0" applyNumberFormat="1" applyFont="1" applyFill="1" applyBorder="1" applyAlignment="1">
      <alignment horizontal="center"/>
    </xf>
    <xf numFmtId="167" fontId="4" fillId="0" borderId="0" xfId="0" applyNumberFormat="1" applyFont="1" applyFill="1" applyAlignment="1">
      <alignment horizontal="center"/>
    </xf>
    <xf numFmtId="0" fontId="7" fillId="0" borderId="8" xfId="0" applyFont="1" applyFill="1" applyBorder="1" applyAlignment="1">
      <alignment horizontal="center" wrapText="1"/>
    </xf>
    <xf numFmtId="0" fontId="7" fillId="0" borderId="0" xfId="0" applyFont="1" applyFill="1" applyAlignment="1">
      <alignment horizontal="center"/>
    </xf>
    <xf numFmtId="10" fontId="7" fillId="0" borderId="0" xfId="2" applyNumberFormat="1" applyFont="1" applyFill="1" applyAlignment="1">
      <alignment horizontal="center"/>
    </xf>
    <xf numFmtId="0" fontId="4" fillId="0" borderId="5" xfId="0" applyFont="1" applyFill="1" applyBorder="1"/>
    <xf numFmtId="0" fontId="4" fillId="0" borderId="0" xfId="0" applyFont="1" applyFill="1" applyAlignment="1">
      <alignment horizontal="right"/>
    </xf>
    <xf numFmtId="10" fontId="4" fillId="0" borderId="0" xfId="0" applyNumberFormat="1" applyFont="1" applyFill="1" applyBorder="1"/>
    <xf numFmtId="0" fontId="7" fillId="0" borderId="0" xfId="0" applyFont="1" applyFill="1" applyBorder="1"/>
    <xf numFmtId="0" fontId="4" fillId="0" borderId="0" xfId="0" applyFont="1" applyFill="1" applyBorder="1" applyAlignment="1">
      <alignment horizontal="right"/>
    </xf>
    <xf numFmtId="15" fontId="7" fillId="0" borderId="0" xfId="0" applyNumberFormat="1" applyFont="1" applyFill="1"/>
    <xf numFmtId="0" fontId="18" fillId="0" borderId="0" xfId="0" applyFont="1" applyFill="1" applyAlignment="1">
      <alignment horizontal="center"/>
    </xf>
    <xf numFmtId="0" fontId="25" fillId="0" borderId="0" xfId="0" applyFont="1" applyFill="1" applyAlignment="1">
      <alignment horizontal="centerContinuous"/>
    </xf>
    <xf numFmtId="0" fontId="7" fillId="0" borderId="0" xfId="0" applyFont="1" applyFill="1" applyAlignment="1">
      <alignment horizontal="centerContinuous"/>
    </xf>
    <xf numFmtId="0" fontId="25" fillId="0" borderId="0" xfId="0" applyFont="1" applyFill="1"/>
    <xf numFmtId="14" fontId="7" fillId="0" borderId="0" xfId="0" applyNumberFormat="1" applyFont="1" applyFill="1" applyAlignment="1">
      <alignment horizontal="center"/>
    </xf>
    <xf numFmtId="171" fontId="7" fillId="0" borderId="0" xfId="0" applyNumberFormat="1" applyFont="1" applyFill="1" applyAlignment="1">
      <alignment horizontal="center"/>
    </xf>
    <xf numFmtId="3" fontId="7" fillId="0" borderId="0" xfId="0" applyNumberFormat="1" applyFont="1" applyFill="1" applyAlignment="1">
      <alignment horizontal="center"/>
    </xf>
    <xf numFmtId="0" fontId="7" fillId="0" borderId="8" xfId="0" applyFont="1" applyFill="1" applyBorder="1" applyAlignment="1">
      <alignment horizontal="center"/>
    </xf>
    <xf numFmtId="14" fontId="7" fillId="0" borderId="8" xfId="0" applyNumberFormat="1" applyFont="1" applyFill="1" applyBorder="1" applyAlignment="1">
      <alignment horizontal="center"/>
    </xf>
    <xf numFmtId="171" fontId="7" fillId="0" borderId="8" xfId="0" applyNumberFormat="1" applyFont="1" applyFill="1" applyBorder="1" applyAlignment="1">
      <alignment horizontal="center"/>
    </xf>
    <xf numFmtId="3" fontId="7" fillId="0" borderId="8" xfId="0" applyNumberFormat="1" applyFont="1" applyFill="1" applyBorder="1" applyAlignment="1">
      <alignment horizontal="center"/>
    </xf>
    <xf numFmtId="10" fontId="7" fillId="0" borderId="8" xfId="2" applyNumberFormat="1" applyFont="1" applyFill="1" applyBorder="1" applyAlignment="1">
      <alignment horizontal="center"/>
    </xf>
    <xf numFmtId="10" fontId="7" fillId="0" borderId="0" xfId="0" applyNumberFormat="1" applyFont="1" applyFill="1" applyAlignment="1">
      <alignment horizontal="center"/>
    </xf>
    <xf numFmtId="0" fontId="4" fillId="0" borderId="0" xfId="0" applyFont="1" applyFill="1" applyBorder="1" applyAlignment="1">
      <alignment horizontal="left"/>
    </xf>
    <xf numFmtId="10" fontId="7" fillId="0" borderId="0" xfId="0" applyNumberFormat="1" applyFont="1" applyFill="1" applyBorder="1"/>
    <xf numFmtId="0" fontId="7" fillId="0" borderId="0" xfId="0" quotePrefix="1" applyFont="1" applyFill="1"/>
    <xf numFmtId="10" fontId="4" fillId="0" borderId="0" xfId="0" applyNumberFormat="1" applyFont="1" applyFill="1" applyBorder="1" applyAlignment="1">
      <alignment horizontal="center"/>
    </xf>
    <xf numFmtId="10" fontId="18" fillId="0" borderId="0" xfId="2" applyNumberFormat="1" applyFont="1" applyFill="1" applyAlignment="1">
      <alignment horizontal="left"/>
    </xf>
    <xf numFmtId="0" fontId="7" fillId="2" borderId="0" xfId="0" quotePrefix="1" applyFont="1" applyFill="1" applyAlignment="1">
      <alignment horizontal="center"/>
    </xf>
    <xf numFmtId="170" fontId="7" fillId="2" borderId="0" xfId="0" applyNumberFormat="1" applyFont="1" applyFill="1" applyAlignment="1">
      <alignment horizontal="center"/>
    </xf>
    <xf numFmtId="4" fontId="4" fillId="0" borderId="1" xfId="0" applyNumberFormat="1" applyFont="1" applyFill="1" applyBorder="1" applyAlignment="1">
      <alignment horizontal="center"/>
    </xf>
    <xf numFmtId="173" fontId="4" fillId="0" borderId="1" xfId="0" applyNumberFormat="1" applyFont="1" applyFill="1" applyBorder="1" applyAlignment="1">
      <alignment horizontal="center"/>
    </xf>
    <xf numFmtId="173" fontId="7" fillId="0" borderId="1" xfId="2" applyNumberFormat="1" applyFont="1" applyFill="1" applyBorder="1" applyAlignment="1">
      <alignment horizontal="center"/>
    </xf>
    <xf numFmtId="0" fontId="27" fillId="0" borderId="0" xfId="0" applyFont="1" applyFill="1"/>
    <xf numFmtId="0" fontId="4" fillId="0" borderId="0" xfId="0" applyFont="1" applyFill="1" applyBorder="1" applyAlignment="1">
      <alignment horizontal="center"/>
    </xf>
    <xf numFmtId="4" fontId="4" fillId="0" borderId="0" xfId="0" applyNumberFormat="1" applyFont="1" applyFill="1" applyBorder="1" applyAlignment="1">
      <alignment horizontal="center"/>
    </xf>
    <xf numFmtId="167" fontId="7" fillId="0" borderId="1" xfId="0" applyNumberFormat="1" applyFont="1" applyFill="1" applyBorder="1" applyAlignment="1">
      <alignment horizontal="center"/>
    </xf>
    <xf numFmtId="10" fontId="4" fillId="0" borderId="0" xfId="0" applyNumberFormat="1" applyFont="1" applyFill="1" applyAlignment="1">
      <alignment horizontal="center"/>
    </xf>
    <xf numFmtId="10" fontId="4" fillId="0" borderId="0" xfId="2" applyNumberFormat="1" applyFont="1" applyFill="1" applyAlignment="1">
      <alignment horizontal="center"/>
    </xf>
    <xf numFmtId="10" fontId="4" fillId="0" borderId="0" xfId="2" applyNumberFormat="1" applyFont="1" applyFill="1" applyBorder="1" applyAlignment="1">
      <alignment horizontal="center"/>
    </xf>
    <xf numFmtId="10" fontId="4" fillId="0" borderId="8" xfId="2" applyNumberFormat="1" applyFont="1" applyFill="1" applyBorder="1" applyAlignment="1">
      <alignment horizontal="center"/>
    </xf>
    <xf numFmtId="0" fontId="7" fillId="0" borderId="14" xfId="0" applyFont="1" applyFill="1" applyBorder="1" applyAlignment="1">
      <alignment horizontal="center"/>
    </xf>
    <xf numFmtId="3" fontId="7" fillId="0" borderId="1" xfId="0" applyNumberFormat="1" applyFont="1" applyFill="1" applyBorder="1" applyAlignment="1">
      <alignment horizontal="center"/>
    </xf>
    <xf numFmtId="0" fontId="7" fillId="0" borderId="1" xfId="0" applyFont="1" applyFill="1" applyBorder="1" applyAlignment="1">
      <alignment horizontal="center"/>
    </xf>
    <xf numFmtId="173" fontId="7" fillId="0" borderId="1" xfId="0" applyNumberFormat="1" applyFont="1" applyFill="1" applyBorder="1" applyAlignment="1">
      <alignment horizontal="center"/>
    </xf>
    <xf numFmtId="3" fontId="7" fillId="0" borderId="0" xfId="0" applyNumberFormat="1" applyFont="1" applyFill="1" applyBorder="1" applyAlignment="1">
      <alignment horizontal="center"/>
    </xf>
    <xf numFmtId="4" fontId="7" fillId="0" borderId="1" xfId="0" applyNumberFormat="1" applyFont="1" applyFill="1" applyBorder="1" applyAlignment="1">
      <alignment horizontal="center"/>
    </xf>
    <xf numFmtId="0" fontId="29" fillId="0" borderId="0" xfId="0" applyFont="1" applyFill="1"/>
    <xf numFmtId="0" fontId="4" fillId="0" borderId="8" xfId="0" applyFont="1" applyFill="1" applyBorder="1" applyAlignment="1">
      <alignment horizontal="center" wrapText="1"/>
    </xf>
    <xf numFmtId="171" fontId="7" fillId="0" borderId="0" xfId="0" applyNumberFormat="1" applyFont="1" applyFill="1" applyBorder="1"/>
    <xf numFmtId="0" fontId="7" fillId="0" borderId="0" xfId="0" applyFont="1" applyFill="1" applyBorder="1" applyAlignment="1">
      <alignment vertical="center"/>
    </xf>
    <xf numFmtId="1" fontId="7" fillId="0" borderId="0" xfId="0" applyNumberFormat="1" applyFont="1" applyFill="1" applyBorder="1" applyAlignment="1">
      <alignment vertical="center"/>
    </xf>
    <xf numFmtId="0" fontId="4" fillId="0" borderId="0" xfId="0" applyFont="1" applyFill="1" applyBorder="1" applyAlignment="1">
      <alignment vertical="center"/>
    </xf>
    <xf numFmtId="3" fontId="7" fillId="0" borderId="0" xfId="0" applyNumberFormat="1" applyFont="1" applyFill="1" applyBorder="1"/>
    <xf numFmtId="0" fontId="4" fillId="0" borderId="0" xfId="0" applyFont="1" applyFill="1" applyAlignment="1">
      <alignment vertical="center"/>
    </xf>
    <xf numFmtId="3" fontId="7" fillId="0" borderId="0" xfId="0" applyNumberFormat="1" applyFont="1" applyFill="1"/>
    <xf numFmtId="9" fontId="4" fillId="0" borderId="0" xfId="0" applyNumberFormat="1" applyFont="1" applyFill="1"/>
    <xf numFmtId="0" fontId="7" fillId="0" borderId="0" xfId="0" applyFont="1" applyFill="1" applyBorder="1" applyAlignment="1">
      <alignment horizontal="center" vertical="center"/>
    </xf>
    <xf numFmtId="175" fontId="7" fillId="0" borderId="0" xfId="1" applyNumberFormat="1" applyFont="1" applyFill="1" applyBorder="1" applyAlignment="1">
      <alignment vertical="center"/>
    </xf>
    <xf numFmtId="0" fontId="7" fillId="0" borderId="0" xfId="0" applyFont="1" applyFill="1" applyBorder="1" applyAlignment="1">
      <alignment horizontal="center"/>
    </xf>
    <xf numFmtId="174" fontId="7" fillId="0" borderId="0" xfId="1" applyNumberFormat="1" applyFont="1" applyFill="1" applyBorder="1" applyAlignment="1">
      <alignment horizontal="left" vertical="center"/>
    </xf>
    <xf numFmtId="174" fontId="7" fillId="0" borderId="0" xfId="1" applyNumberFormat="1" applyFont="1" applyFill="1" applyBorder="1" applyAlignment="1">
      <alignment horizontal="center" vertical="center"/>
    </xf>
    <xf numFmtId="0" fontId="16" fillId="0" borderId="0" xfId="0" applyFont="1" applyFill="1" applyBorder="1"/>
    <xf numFmtId="0" fontId="7" fillId="0" borderId="8" xfId="0" applyFont="1" applyFill="1" applyBorder="1" applyAlignment="1">
      <alignment horizontal="center" vertical="center"/>
    </xf>
    <xf numFmtId="174" fontId="7" fillId="0" borderId="8" xfId="1" applyNumberFormat="1" applyFont="1" applyFill="1" applyBorder="1" applyAlignment="1">
      <alignment horizontal="center" vertical="center"/>
    </xf>
    <xf numFmtId="164" fontId="4" fillId="0" borderId="0" xfId="0" applyNumberFormat="1" applyFont="1" applyFill="1" applyAlignment="1">
      <alignment horizontal="left"/>
    </xf>
    <xf numFmtId="4" fontId="7" fillId="0" borderId="0" xfId="0" applyNumberFormat="1" applyFont="1" applyFill="1" applyBorder="1"/>
    <xf numFmtId="4" fontId="7" fillId="0" borderId="0" xfId="1" applyNumberFormat="1" applyFont="1" applyFill="1" applyBorder="1" applyAlignment="1"/>
    <xf numFmtId="4" fontId="7" fillId="0" borderId="0" xfId="0" applyNumberFormat="1" applyFont="1" applyFill="1"/>
    <xf numFmtId="4" fontId="7" fillId="0" borderId="0" xfId="1" applyNumberFormat="1" applyFont="1" applyFill="1" applyAlignment="1"/>
    <xf numFmtId="4" fontId="4" fillId="0" borderId="0" xfId="0" applyNumberFormat="1" applyFont="1" applyFill="1"/>
    <xf numFmtId="4" fontId="0" fillId="0" borderId="0" xfId="0" applyNumberFormat="1" applyFill="1"/>
    <xf numFmtId="169" fontId="19" fillId="0" borderId="0" xfId="0" applyNumberFormat="1" applyFont="1" applyFill="1" applyAlignment="1">
      <alignment horizontal="center"/>
    </xf>
    <xf numFmtId="169" fontId="7" fillId="0" borderId="0" xfId="0" applyNumberFormat="1" applyFont="1" applyFill="1" applyAlignment="1">
      <alignment horizontal="center"/>
    </xf>
    <xf numFmtId="165" fontId="7" fillId="0" borderId="0" xfId="0" applyNumberFormat="1" applyFont="1" applyFill="1" applyAlignment="1">
      <alignment horizontal="center"/>
    </xf>
    <xf numFmtId="176" fontId="7" fillId="0" borderId="0" xfId="2" applyNumberFormat="1" applyFont="1" applyFill="1" applyAlignment="1">
      <alignment horizontal="center"/>
    </xf>
    <xf numFmtId="169" fontId="7" fillId="0" borderId="8" xfId="0" applyNumberFormat="1" applyFont="1" applyFill="1" applyBorder="1" applyAlignment="1">
      <alignment horizontal="center"/>
    </xf>
    <xf numFmtId="165" fontId="7" fillId="0" borderId="8" xfId="0" applyNumberFormat="1" applyFont="1" applyFill="1" applyBorder="1" applyAlignment="1">
      <alignment horizontal="center"/>
    </xf>
    <xf numFmtId="176" fontId="7" fillId="0" borderId="8" xfId="2" applyNumberFormat="1" applyFont="1" applyFill="1" applyBorder="1" applyAlignment="1">
      <alignment horizontal="center"/>
    </xf>
    <xf numFmtId="176" fontId="4" fillId="0" borderId="0" xfId="0" applyNumberFormat="1" applyFont="1" applyFill="1" applyAlignment="1">
      <alignment horizontal="center"/>
    </xf>
    <xf numFmtId="165" fontId="4" fillId="0" borderId="0" xfId="0" applyNumberFormat="1" applyFont="1" applyFill="1" applyAlignment="1">
      <alignment horizontal="center"/>
    </xf>
    <xf numFmtId="3" fontId="7" fillId="0" borderId="0" xfId="1" applyNumberFormat="1" applyFont="1" applyFill="1" applyBorder="1" applyAlignment="1">
      <alignment horizontal="center" vertical="center"/>
    </xf>
    <xf numFmtId="172" fontId="7" fillId="0" borderId="0" xfId="1" applyNumberFormat="1" applyFont="1" applyFill="1" applyBorder="1" applyAlignment="1">
      <alignment horizontal="center" vertical="center"/>
    </xf>
    <xf numFmtId="173" fontId="7" fillId="0" borderId="0" xfId="1" applyNumberFormat="1" applyFont="1" applyFill="1" applyBorder="1" applyAlignment="1">
      <alignment horizontal="center" vertical="center"/>
    </xf>
    <xf numFmtId="169" fontId="7" fillId="0" borderId="0" xfId="2" applyNumberFormat="1" applyFont="1" applyFill="1" applyAlignment="1">
      <alignment horizontal="center"/>
    </xf>
    <xf numFmtId="3" fontId="7" fillId="0" borderId="8" xfId="1" applyNumberFormat="1" applyFont="1" applyFill="1" applyBorder="1" applyAlignment="1">
      <alignment horizontal="center" vertical="center"/>
    </xf>
    <xf numFmtId="172" fontId="7" fillId="0" borderId="8" xfId="1" applyNumberFormat="1" applyFont="1" applyFill="1" applyBorder="1" applyAlignment="1">
      <alignment horizontal="center" vertical="center"/>
    </xf>
    <xf numFmtId="173" fontId="7" fillId="0" borderId="8" xfId="1" applyNumberFormat="1" applyFont="1" applyFill="1" applyBorder="1" applyAlignment="1">
      <alignment horizontal="center" vertical="center"/>
    </xf>
    <xf numFmtId="169" fontId="7" fillId="0" borderId="8" xfId="2" applyNumberFormat="1" applyFont="1" applyFill="1" applyBorder="1" applyAlignment="1">
      <alignment horizontal="center"/>
    </xf>
    <xf numFmtId="3" fontId="7" fillId="0" borderId="0" xfId="1" applyNumberFormat="1" applyFont="1" applyFill="1" applyAlignment="1">
      <alignment horizontal="center"/>
    </xf>
    <xf numFmtId="177" fontId="7" fillId="0" borderId="0" xfId="1" applyNumberFormat="1" applyFont="1" applyFill="1" applyAlignment="1"/>
    <xf numFmtId="0" fontId="7" fillId="0" borderId="0" xfId="0" applyFont="1" applyFill="1" applyAlignment="1">
      <alignment horizontal="right"/>
    </xf>
    <xf numFmtId="177" fontId="4" fillId="0" borderId="0" xfId="1" applyNumberFormat="1" applyFont="1" applyFill="1" applyAlignment="1"/>
    <xf numFmtId="0" fontId="30" fillId="0" borderId="0" xfId="0" applyFont="1" applyFill="1" applyAlignment="1">
      <alignment horizontal="right"/>
    </xf>
    <xf numFmtId="0" fontId="30" fillId="0" borderId="0" xfId="0" applyFont="1" applyFill="1" applyAlignment="1">
      <alignment horizontal="right" vertical="top"/>
    </xf>
    <xf numFmtId="0" fontId="19" fillId="0" borderId="0" xfId="0" applyFont="1" applyFill="1" applyAlignment="1">
      <alignment horizontal="center"/>
    </xf>
    <xf numFmtId="4" fontId="7" fillId="0" borderId="0" xfId="1" applyNumberFormat="1" applyFont="1" applyFill="1" applyBorder="1" applyAlignment="1">
      <alignment horizontal="center" vertical="center"/>
    </xf>
    <xf numFmtId="4" fontId="7" fillId="0" borderId="8" xfId="1" applyNumberFormat="1" applyFont="1" applyFill="1" applyBorder="1" applyAlignment="1">
      <alignment horizontal="center" vertical="center"/>
    </xf>
    <xf numFmtId="178" fontId="4" fillId="0" borderId="0" xfId="2" applyNumberFormat="1" applyFont="1" applyFill="1" applyAlignment="1">
      <alignment horizontal="center"/>
    </xf>
    <xf numFmtId="0" fontId="31" fillId="0" borderId="0" xfId="0" applyFont="1" applyFill="1" applyAlignment="1">
      <alignment horizontal="center"/>
    </xf>
    <xf numFmtId="0" fontId="30" fillId="0" borderId="0" xfId="0" applyFont="1" applyFill="1" applyAlignment="1">
      <alignment horizontal="left"/>
    </xf>
    <xf numFmtId="0" fontId="7" fillId="4" borderId="2" xfId="0" applyFont="1" applyFill="1" applyBorder="1"/>
    <xf numFmtId="0" fontId="7" fillId="4" borderId="3" xfId="0" applyFont="1" applyFill="1" applyBorder="1"/>
    <xf numFmtId="0" fontId="7" fillId="4" borderId="4" xfId="0" applyFont="1" applyFill="1" applyBorder="1"/>
    <xf numFmtId="0" fontId="7" fillId="4" borderId="5" xfId="0" applyFont="1" applyFill="1" applyBorder="1"/>
    <xf numFmtId="0" fontId="7" fillId="4" borderId="0" xfId="0" applyFont="1" applyFill="1"/>
    <xf numFmtId="0" fontId="7" fillId="4" borderId="6" xfId="0" applyFont="1" applyFill="1" applyBorder="1"/>
    <xf numFmtId="0" fontId="7" fillId="4" borderId="7" xfId="0" applyFont="1" applyFill="1" applyBorder="1"/>
    <xf numFmtId="0" fontId="7" fillId="4" borderId="8" xfId="0" applyFont="1" applyFill="1" applyBorder="1"/>
    <xf numFmtId="0" fontId="7" fillId="4" borderId="9" xfId="0" applyFont="1" applyFill="1" applyBorder="1"/>
    <xf numFmtId="0" fontId="0" fillId="0" borderId="0" xfId="0" applyFont="1" applyFill="1"/>
    <xf numFmtId="0" fontId="4" fillId="0" borderId="12" xfId="0" applyFont="1" applyFill="1" applyBorder="1" applyAlignment="1">
      <alignment horizontal="center"/>
    </xf>
    <xf numFmtId="0" fontId="0" fillId="0" borderId="5" xfId="0" applyFont="1" applyFill="1" applyBorder="1"/>
    <xf numFmtId="0" fontId="7" fillId="0" borderId="13" xfId="0" applyFont="1" applyFill="1" applyBorder="1" applyAlignment="1">
      <alignment horizontal="center"/>
    </xf>
    <xf numFmtId="0" fontId="7" fillId="0" borderId="12" xfId="0" applyFont="1" applyFill="1" applyBorder="1" applyAlignment="1">
      <alignment horizontal="center"/>
    </xf>
    <xf numFmtId="0" fontId="0" fillId="0" borderId="0" xfId="0" applyFont="1" applyFill="1" applyBorder="1"/>
    <xf numFmtId="0" fontId="7" fillId="0" borderId="13" xfId="0" applyFont="1" applyFill="1" applyBorder="1" applyAlignment="1">
      <alignment horizontal="center" vertical="center" wrapText="1"/>
    </xf>
    <xf numFmtId="0" fontId="7" fillId="0" borderId="12" xfId="0" applyFont="1" applyFill="1" applyBorder="1" applyAlignment="1">
      <alignment horizontal="center" vertical="center" wrapText="1"/>
    </xf>
    <xf numFmtId="173" fontId="4" fillId="0" borderId="0" xfId="0" applyNumberFormat="1" applyFont="1" applyFill="1"/>
    <xf numFmtId="3" fontId="7" fillId="0" borderId="0" xfId="0" applyNumberFormat="1" applyFont="1" applyFill="1" applyAlignment="1">
      <alignment horizontal="center" vertical="center" wrapText="1"/>
    </xf>
    <xf numFmtId="0" fontId="7" fillId="0" borderId="0" xfId="0" quotePrefix="1" applyFont="1" applyFill="1" applyBorder="1"/>
    <xf numFmtId="3" fontId="7" fillId="0" borderId="0" xfId="0" applyNumberFormat="1" applyFont="1" applyFill="1" applyBorder="1" applyAlignment="1">
      <alignment horizontal="center" vertical="center" wrapText="1"/>
    </xf>
    <xf numFmtId="3" fontId="7" fillId="0" borderId="0" xfId="0" quotePrefix="1" applyNumberFormat="1" applyFont="1" applyFill="1" applyBorder="1" applyAlignment="1">
      <alignment horizontal="center" vertical="center" wrapText="1"/>
    </xf>
    <xf numFmtId="0" fontId="7" fillId="0" borderId="0" xfId="0" quotePrefix="1" applyFont="1" applyFill="1" applyBorder="1" applyAlignment="1">
      <alignment horizontal="center"/>
    </xf>
    <xf numFmtId="0" fontId="7" fillId="0" borderId="0" xfId="0" applyFont="1" applyFill="1" applyBorder="1" applyAlignment="1">
      <alignment horizontal="center" vertical="center" wrapText="1"/>
    </xf>
    <xf numFmtId="3" fontId="7" fillId="0" borderId="8" xfId="0" applyNumberFormat="1" applyFont="1" applyFill="1" applyBorder="1" applyAlignment="1">
      <alignment horizontal="center" vertical="center" wrapText="1"/>
    </xf>
    <xf numFmtId="2" fontId="7" fillId="0" borderId="0" xfId="0" applyNumberFormat="1" applyFont="1" applyFill="1" applyBorder="1" applyAlignment="1">
      <alignment horizontal="center" vertical="center" wrapText="1"/>
    </xf>
    <xf numFmtId="2" fontId="7" fillId="0" borderId="8" xfId="0" applyNumberFormat="1" applyFont="1" applyFill="1" applyBorder="1" applyAlignment="1">
      <alignment horizontal="center" vertical="center" wrapText="1"/>
    </xf>
    <xf numFmtId="9" fontId="7" fillId="0" borderId="0" xfId="0" applyNumberFormat="1" applyFont="1" applyFill="1" applyAlignment="1">
      <alignment horizontal="center"/>
    </xf>
    <xf numFmtId="166" fontId="7" fillId="0" borderId="0" xfId="0" applyNumberFormat="1" applyFont="1" applyFill="1" applyAlignment="1">
      <alignment horizontal="center"/>
    </xf>
    <xf numFmtId="1" fontId="7" fillId="0" borderId="0" xfId="0" applyNumberFormat="1" applyFont="1" applyFill="1" applyAlignment="1">
      <alignment horizontal="center"/>
    </xf>
    <xf numFmtId="2" fontId="7" fillId="0" borderId="0" xfId="0" applyNumberFormat="1" applyFont="1" applyFill="1" applyAlignment="1">
      <alignment horizontal="center"/>
    </xf>
    <xf numFmtId="166" fontId="7" fillId="0" borderId="8" xfId="0" applyNumberFormat="1" applyFont="1" applyFill="1" applyBorder="1" applyAlignment="1">
      <alignment horizontal="center"/>
    </xf>
    <xf numFmtId="3" fontId="7" fillId="0" borderId="8" xfId="0" applyNumberFormat="1" applyFont="1" applyFill="1" applyBorder="1"/>
    <xf numFmtId="1" fontId="7" fillId="0" borderId="8" xfId="0" applyNumberFormat="1" applyFont="1" applyFill="1" applyBorder="1" applyAlignment="1">
      <alignment horizontal="center"/>
    </xf>
    <xf numFmtId="2" fontId="7" fillId="0" borderId="8" xfId="0" applyNumberFormat="1" applyFont="1" applyFill="1" applyBorder="1" applyAlignment="1">
      <alignment horizontal="center"/>
    </xf>
    <xf numFmtId="4" fontId="7" fillId="0" borderId="8" xfId="0" applyNumberFormat="1" applyFont="1" applyFill="1" applyBorder="1"/>
    <xf numFmtId="167" fontId="7" fillId="0" borderId="0" xfId="0" applyNumberFormat="1" applyFont="1" applyFill="1" applyAlignment="1">
      <alignment horizontal="center"/>
    </xf>
    <xf numFmtId="167" fontId="7" fillId="0" borderId="0" xfId="0" applyNumberFormat="1" applyFont="1" applyFill="1" applyAlignment="1">
      <alignment horizontal="right"/>
    </xf>
    <xf numFmtId="10" fontId="7" fillId="0" borderId="0" xfId="0" applyNumberFormat="1" applyFont="1" applyFill="1"/>
    <xf numFmtId="9" fontId="7" fillId="0" borderId="0" xfId="0" applyNumberFormat="1" applyFont="1" applyFill="1"/>
    <xf numFmtId="0" fontId="4" fillId="0" borderId="0" xfId="0" applyFont="1" applyFill="1" applyBorder="1" applyAlignment="1">
      <alignment horizontal="centerContinuous"/>
    </xf>
    <xf numFmtId="14" fontId="4" fillId="0" borderId="0" xfId="0" applyNumberFormat="1" applyFont="1" applyFill="1" applyBorder="1" applyAlignment="1">
      <alignment horizontal="center"/>
    </xf>
    <xf numFmtId="0" fontId="26" fillId="0" borderId="0" xfId="0" applyFont="1" applyFill="1" applyBorder="1"/>
    <xf numFmtId="3" fontId="4" fillId="0" borderId="0" xfId="0" applyNumberFormat="1" applyFont="1" applyFill="1" applyBorder="1" applyAlignment="1">
      <alignment horizontal="center"/>
    </xf>
    <xf numFmtId="0" fontId="26" fillId="0" borderId="0" xfId="0" applyFont="1" applyFill="1" applyBorder="1" applyAlignment="1">
      <alignment horizontal="center"/>
    </xf>
    <xf numFmtId="10" fontId="4" fillId="0" borderId="8" xfId="0" applyNumberFormat="1" applyFont="1" applyFill="1" applyBorder="1" applyAlignment="1">
      <alignment horizontal="center"/>
    </xf>
    <xf numFmtId="173" fontId="7" fillId="0" borderId="8" xfId="0" applyNumberFormat="1" applyFont="1" applyFill="1" applyBorder="1" applyAlignment="1">
      <alignment horizontal="center"/>
    </xf>
    <xf numFmtId="173" fontId="7" fillId="0" borderId="8" xfId="0" applyNumberFormat="1" applyFont="1" applyFill="1" applyBorder="1" applyAlignment="1">
      <alignment horizontal="center" wrapText="1"/>
    </xf>
    <xf numFmtId="4" fontId="7" fillId="0" borderId="0" xfId="0" applyNumberFormat="1" applyFont="1" applyFill="1" applyBorder="1" applyAlignment="1">
      <alignment horizontal="center"/>
    </xf>
    <xf numFmtId="0" fontId="4" fillId="0" borderId="0" xfId="0" applyFont="1" applyFill="1" applyBorder="1" applyAlignment="1">
      <alignment horizontal="left" vertical="top"/>
    </xf>
    <xf numFmtId="173" fontId="7" fillId="0" borderId="0" xfId="0" applyNumberFormat="1" applyFont="1" applyFill="1" applyBorder="1" applyAlignment="1">
      <alignment horizontal="center"/>
    </xf>
    <xf numFmtId="0" fontId="4" fillId="0" borderId="8" xfId="0" applyFont="1" applyFill="1" applyBorder="1"/>
    <xf numFmtId="10" fontId="7" fillId="0" borderId="0" xfId="0" applyNumberFormat="1" applyFont="1"/>
    <xf numFmtId="3" fontId="4" fillId="0" borderId="0" xfId="0" applyNumberFormat="1" applyFont="1"/>
    <xf numFmtId="3" fontId="7" fillId="0" borderId="0" xfId="0" applyNumberFormat="1" applyFont="1"/>
    <xf numFmtId="0" fontId="21" fillId="0" borderId="0" xfId="0" applyFont="1" applyFill="1"/>
    <xf numFmtId="179" fontId="7" fillId="0" borderId="0" xfId="0" applyNumberFormat="1" applyFont="1" applyFill="1" applyAlignment="1">
      <alignment horizontal="center"/>
    </xf>
    <xf numFmtId="0" fontId="29" fillId="0" borderId="0" xfId="0" quotePrefix="1" applyFont="1" applyFill="1"/>
    <xf numFmtId="0" fontId="29" fillId="0" borderId="0" xfId="0" applyFont="1" applyFill="1" applyAlignment="1">
      <alignment horizontal="center"/>
    </xf>
    <xf numFmtId="0" fontId="28" fillId="0" borderId="0" xfId="0" applyFont="1" applyFill="1" applyAlignment="1">
      <alignment horizontal="center"/>
    </xf>
    <xf numFmtId="0" fontId="29" fillId="0" borderId="8" xfId="0" applyFont="1" applyFill="1" applyBorder="1" applyAlignment="1">
      <alignment horizontal="center"/>
    </xf>
    <xf numFmtId="9" fontId="7" fillId="0" borderId="8" xfId="0" applyNumberFormat="1" applyFont="1" applyFill="1" applyBorder="1" applyAlignment="1">
      <alignment horizontal="center"/>
    </xf>
    <xf numFmtId="9" fontId="4" fillId="0" borderId="0" xfId="0" applyNumberFormat="1" applyFont="1" applyFill="1" applyAlignment="1">
      <alignment horizontal="center"/>
    </xf>
    <xf numFmtId="0" fontId="4" fillId="0" borderId="8" xfId="0" applyFont="1" applyFill="1" applyBorder="1" applyAlignment="1">
      <alignment horizontal="centerContinuous"/>
    </xf>
    <xf numFmtId="10" fontId="7" fillId="0" borderId="8" xfId="0" applyNumberFormat="1" applyFont="1" applyFill="1" applyBorder="1" applyAlignment="1">
      <alignment horizontal="center"/>
    </xf>
    <xf numFmtId="167" fontId="4" fillId="0" borderId="8" xfId="0" applyNumberFormat="1" applyFont="1" applyFill="1" applyBorder="1" applyAlignment="1">
      <alignment horizontal="center"/>
    </xf>
    <xf numFmtId="2" fontId="4" fillId="0" borderId="0" xfId="0" applyNumberFormat="1" applyFont="1" applyFill="1" applyAlignment="1">
      <alignment horizontal="center"/>
    </xf>
    <xf numFmtId="2" fontId="4" fillId="0" borderId="8" xfId="0" applyNumberFormat="1" applyFont="1" applyFill="1" applyBorder="1" applyAlignment="1">
      <alignment horizontal="center"/>
    </xf>
    <xf numFmtId="0" fontId="4" fillId="0" borderId="0" xfId="0" applyFont="1" applyAlignment="1">
      <alignment horizontal="center"/>
    </xf>
    <xf numFmtId="15" fontId="4" fillId="0" borderId="8" xfId="0" applyNumberFormat="1" applyFont="1" applyFill="1" applyBorder="1" applyAlignment="1">
      <alignment horizontal="center"/>
    </xf>
    <xf numFmtId="180" fontId="4" fillId="0" borderId="0" xfId="0" applyNumberFormat="1" applyFont="1" applyFill="1"/>
    <xf numFmtId="9" fontId="4" fillId="0" borderId="0" xfId="0" applyNumberFormat="1" applyFont="1" applyFill="1" applyBorder="1" applyAlignment="1">
      <alignment horizontal="center"/>
    </xf>
    <xf numFmtId="180" fontId="4" fillId="0" borderId="0" xfId="0" applyNumberFormat="1" applyFont="1" applyFill="1" applyAlignment="1">
      <alignment horizontal="center"/>
    </xf>
    <xf numFmtId="0" fontId="0" fillId="0" borderId="0" xfId="0" applyFill="1" applyAlignment="1">
      <alignment horizontal="center"/>
    </xf>
    <xf numFmtId="181" fontId="4" fillId="0" borderId="0" xfId="0" applyNumberFormat="1" applyFont="1" applyFill="1" applyAlignment="1">
      <alignment horizontal="center"/>
    </xf>
    <xf numFmtId="0" fontId="4" fillId="0" borderId="6" xfId="0" applyFont="1" applyFill="1" applyBorder="1" applyAlignment="1">
      <alignment horizontal="center"/>
    </xf>
    <xf numFmtId="0" fontId="4" fillId="0" borderId="9" xfId="0" applyFont="1" applyFill="1" applyBorder="1" applyAlignment="1">
      <alignment horizontal="center"/>
    </xf>
    <xf numFmtId="180" fontId="4" fillId="0" borderId="6" xfId="0" applyNumberFormat="1" applyFont="1" applyFill="1" applyBorder="1" applyAlignment="1">
      <alignment horizontal="center"/>
    </xf>
    <xf numFmtId="3" fontId="7" fillId="0" borderId="0" xfId="0" applyNumberFormat="1" applyFont="1" applyFill="1" applyAlignment="1">
      <alignment horizontal="center" wrapText="1"/>
    </xf>
    <xf numFmtId="0" fontId="24" fillId="0" borderId="8" xfId="0" applyFont="1" applyFill="1" applyBorder="1" applyAlignment="1">
      <alignment horizontal="center"/>
    </xf>
    <xf numFmtId="169" fontId="4" fillId="0" borderId="0" xfId="2" applyNumberFormat="1" applyFont="1" applyFill="1" applyAlignment="1">
      <alignment horizontal="center"/>
    </xf>
    <xf numFmtId="3" fontId="4" fillId="0" borderId="8" xfId="0" applyNumberFormat="1" applyFont="1" applyFill="1" applyBorder="1"/>
    <xf numFmtId="169" fontId="4" fillId="0" borderId="8" xfId="2" applyNumberFormat="1" applyFont="1" applyFill="1" applyBorder="1" applyAlignment="1">
      <alignment horizontal="center"/>
    </xf>
    <xf numFmtId="180" fontId="7" fillId="0" borderId="0" xfId="0" applyNumberFormat="1" applyFont="1" applyFill="1" applyAlignment="1">
      <alignment horizontal="center"/>
    </xf>
    <xf numFmtId="3" fontId="7" fillId="0" borderId="8" xfId="0" applyNumberFormat="1" applyFont="1" applyFill="1" applyBorder="1" applyAlignment="1">
      <alignment horizontal="center" wrapText="1"/>
    </xf>
    <xf numFmtId="3" fontId="7" fillId="0" borderId="3" xfId="0" applyNumberFormat="1" applyFont="1" applyFill="1" applyBorder="1" applyAlignment="1">
      <alignment horizontal="center" wrapText="1"/>
    </xf>
    <xf numFmtId="0" fontId="21" fillId="0" borderId="0" xfId="0" applyFont="1" applyFill="1" applyAlignment="1">
      <alignment horizontal="left"/>
    </xf>
    <xf numFmtId="180" fontId="4" fillId="0" borderId="8" xfId="0" applyNumberFormat="1" applyFont="1" applyFill="1" applyBorder="1"/>
    <xf numFmtId="10" fontId="4" fillId="0" borderId="0" xfId="2" applyNumberFormat="1" applyFont="1" applyFill="1" applyAlignment="1"/>
    <xf numFmtId="3" fontId="18" fillId="0" borderId="0" xfId="0" applyNumberFormat="1" applyFont="1" applyFill="1" applyBorder="1" applyAlignment="1">
      <alignment horizontal="center"/>
    </xf>
    <xf numFmtId="10" fontId="4" fillId="0" borderId="0" xfId="0" applyNumberFormat="1" applyFont="1"/>
    <xf numFmtId="182" fontId="7" fillId="0" borderId="0" xfId="2" applyNumberFormat="1" applyFont="1" applyFill="1" applyBorder="1" applyAlignment="1">
      <alignment horizont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9" fillId="2" borderId="1" xfId="0" applyFont="1" applyFill="1" applyBorder="1" applyAlignment="1">
      <alignment horizontal="center" wrapText="1"/>
    </xf>
    <xf numFmtId="0" fontId="11" fillId="2" borderId="1" xfId="0" applyFont="1" applyFill="1" applyBorder="1" applyAlignment="1">
      <alignment horizontal="center" vertical="center" wrapText="1"/>
    </xf>
    <xf numFmtId="0" fontId="21" fillId="0" borderId="0" xfId="0" applyFont="1" applyFill="1" applyAlignment="1">
      <alignment horizontal="center"/>
    </xf>
    <xf numFmtId="0" fontId="4" fillId="0" borderId="0" xfId="0" applyFont="1" applyFill="1" applyAlignment="1">
      <alignment horizontal="center"/>
    </xf>
    <xf numFmtId="0" fontId="3" fillId="2" borderId="2" xfId="0" applyFont="1" applyFill="1" applyBorder="1" applyAlignment="1">
      <alignment horizontal="center"/>
    </xf>
    <xf numFmtId="0" fontId="3" fillId="2" borderId="4" xfId="0" applyFont="1" applyFill="1" applyBorder="1" applyAlignment="1">
      <alignment horizontal="center"/>
    </xf>
    <xf numFmtId="0" fontId="3" fillId="2" borderId="3"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0" xfId="0" applyFont="1" applyFill="1" applyAlignment="1">
      <alignment horizontal="center"/>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 fillId="3" borderId="0" xfId="0" applyFont="1" applyFill="1" applyAlignment="1">
      <alignment wrapText="1"/>
    </xf>
    <xf numFmtId="0" fontId="0" fillId="0" borderId="0" xfId="0" applyAlignment="1">
      <alignment wrapText="1"/>
    </xf>
    <xf numFmtId="0" fontId="3" fillId="2" borderId="12" xfId="0" applyFont="1" applyFill="1" applyBorder="1" applyAlignment="1">
      <alignment horizontal="center"/>
    </xf>
    <xf numFmtId="0" fontId="3" fillId="2" borderId="1"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4" fillId="0" borderId="12" xfId="0" applyFont="1" applyFill="1" applyBorder="1" applyAlignment="1">
      <alignment horizontal="center"/>
    </xf>
    <xf numFmtId="0" fontId="4" fillId="0" borderId="1" xfId="0" applyFont="1" applyFill="1" applyBorder="1" applyAlignment="1">
      <alignment horizontal="center"/>
    </xf>
    <xf numFmtId="0" fontId="4" fillId="0" borderId="8" xfId="0" applyFont="1" applyFill="1" applyBorder="1" applyAlignment="1">
      <alignment horizontal="center"/>
    </xf>
    <xf numFmtId="0" fontId="7" fillId="0" borderId="12" xfId="0" applyFont="1" applyFill="1" applyBorder="1" applyAlignment="1">
      <alignment horizontal="center"/>
    </xf>
    <xf numFmtId="0" fontId="7" fillId="0" borderId="1" xfId="0" applyFont="1" applyFill="1" applyBorder="1" applyAlignment="1">
      <alignment horizontal="center"/>
    </xf>
    <xf numFmtId="0" fontId="3" fillId="2" borderId="1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7" fillId="0" borderId="8" xfId="0" applyFont="1" applyFill="1" applyBorder="1" applyAlignment="1">
      <alignment horizontal="center"/>
    </xf>
    <xf numFmtId="0" fontId="7" fillId="4" borderId="0" xfId="0" applyFont="1" applyFill="1" applyAlignment="1">
      <alignment horizontal="center"/>
    </xf>
    <xf numFmtId="2" fontId="1" fillId="2" borderId="1" xfId="0" applyNumberFormat="1" applyFont="1" applyFill="1" applyBorder="1" applyAlignment="1">
      <alignment horizontal="center" vertical="center" wrapText="1"/>
    </xf>
    <xf numFmtId="0" fontId="3" fillId="2" borderId="1" xfId="0" applyFont="1" applyFill="1" applyBorder="1" applyAlignment="1">
      <alignment horizontal="center" wrapText="1"/>
    </xf>
    <xf numFmtId="0" fontId="1" fillId="2" borderId="1" xfId="0" applyFont="1" applyFill="1" applyBorder="1" applyAlignment="1">
      <alignment horizontal="center" vertical="center" wrapText="1"/>
    </xf>
    <xf numFmtId="0" fontId="7" fillId="0" borderId="0" xfId="0" applyFont="1" applyFill="1" applyBorder="1" applyAlignment="1">
      <alignment horizontal="center" wrapText="1"/>
    </xf>
    <xf numFmtId="0" fontId="7" fillId="0" borderId="8" xfId="0" applyFont="1" applyFill="1" applyBorder="1" applyAlignment="1">
      <alignment horizontal="center" wrapText="1"/>
    </xf>
    <xf numFmtId="0" fontId="7" fillId="0" borderId="0" xfId="0" applyFont="1" applyFill="1" applyBorder="1" applyAlignment="1">
      <alignment horizontal="center" vertical="center" wrapText="1"/>
    </xf>
    <xf numFmtId="0" fontId="1" fillId="2" borderId="10" xfId="0" applyFont="1" applyFill="1" applyBorder="1" applyAlignment="1">
      <alignment horizontal="left" vertical="center"/>
    </xf>
    <xf numFmtId="0" fontId="1" fillId="2" borderId="12" xfId="0" applyFont="1" applyFill="1" applyBorder="1" applyAlignment="1">
      <alignment horizontal="left" vertical="center"/>
    </xf>
    <xf numFmtId="0" fontId="9" fillId="2" borderId="1" xfId="0" applyFont="1" applyFill="1" applyBorder="1" applyAlignment="1">
      <alignment horizontal="center" vertical="center" wrapText="1"/>
    </xf>
    <xf numFmtId="0" fontId="1" fillId="2" borderId="0" xfId="0" applyFont="1" applyFill="1" applyAlignment="1">
      <alignment wrapText="1"/>
    </xf>
    <xf numFmtId="3"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wrapText="1"/>
    </xf>
    <xf numFmtId="0" fontId="7" fillId="0" borderId="0" xfId="0" applyFont="1" applyFill="1" applyBorder="1" applyAlignment="1">
      <alignment horizontal="center"/>
    </xf>
    <xf numFmtId="0" fontId="6" fillId="0" borderId="0" xfId="0" applyFont="1" applyAlignment="1">
      <alignment wrapText="1"/>
    </xf>
    <xf numFmtId="168" fontId="1" fillId="2" borderId="1" xfId="0" applyNumberFormat="1" applyFont="1" applyFill="1" applyBorder="1" applyAlignment="1">
      <alignment horizontal="center" vertical="center"/>
    </xf>
    <xf numFmtId="0" fontId="3" fillId="2" borderId="1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168" fontId="1" fillId="2" borderId="14" xfId="0" applyNumberFormat="1" applyFont="1" applyFill="1" applyBorder="1" applyAlignment="1">
      <alignment horizontal="center" vertical="center"/>
    </xf>
    <xf numFmtId="0" fontId="0" fillId="0" borderId="14" xfId="0" applyBorder="1" applyAlignment="1">
      <alignment horizontal="center" vertical="center" wrapText="1"/>
    </xf>
    <xf numFmtId="0" fontId="3" fillId="2" borderId="5" xfId="0" applyFont="1" applyFill="1" applyBorder="1" applyAlignment="1">
      <alignment horizontal="center" wrapText="1"/>
    </xf>
    <xf numFmtId="0" fontId="3" fillId="2" borderId="7" xfId="0" applyFont="1" applyFill="1" applyBorder="1" applyAlignment="1">
      <alignment horizontal="center" wrapText="1"/>
    </xf>
    <xf numFmtId="0" fontId="7" fillId="0" borderId="0" xfId="0" applyFont="1" applyFill="1" applyAlignment="1">
      <alignment horizontal="center" wrapText="1"/>
    </xf>
    <xf numFmtId="0" fontId="3" fillId="2" borderId="2" xfId="0" applyFont="1" applyFill="1" applyBorder="1" applyAlignment="1">
      <alignment horizontal="center" vertical="center" wrapText="1"/>
    </xf>
    <xf numFmtId="0" fontId="0" fillId="0" borderId="4" xfId="0" applyBorder="1" applyAlignment="1">
      <alignment wrapText="1"/>
    </xf>
    <xf numFmtId="0" fontId="0" fillId="0" borderId="7" xfId="0" applyBorder="1" applyAlignment="1">
      <alignment wrapText="1"/>
    </xf>
    <xf numFmtId="0" fontId="0" fillId="0" borderId="9" xfId="0" applyBorder="1" applyAlignment="1">
      <alignment wrapText="1"/>
    </xf>
    <xf numFmtId="0" fontId="1" fillId="2" borderId="0" xfId="0" applyFont="1" applyFill="1" applyAlignment="1">
      <alignment vertical="center" wrapText="1"/>
    </xf>
    <xf numFmtId="0" fontId="3" fillId="2" borderId="15" xfId="0" applyFont="1" applyFill="1" applyBorder="1" applyAlignment="1">
      <alignment horizontal="center" wrapText="1"/>
    </xf>
    <xf numFmtId="0" fontId="3" fillId="2" borderId="14" xfId="0" applyFont="1" applyFill="1" applyBorder="1" applyAlignment="1">
      <alignment horizontal="center" wrapText="1"/>
    </xf>
    <xf numFmtId="0" fontId="1" fillId="2" borderId="14" xfId="0" applyFont="1" applyFill="1" applyBorder="1" applyAlignment="1">
      <alignment horizontal="left" vertical="center"/>
    </xf>
    <xf numFmtId="0" fontId="1" fillId="2" borderId="1" xfId="0" applyFont="1" applyFill="1" applyBorder="1" applyAlignment="1">
      <alignment horizontal="lef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3" fillId="2" borderId="4" xfId="0" applyFont="1" applyFill="1" applyBorder="1" applyAlignment="1">
      <alignment horizontal="center" vertical="center"/>
    </xf>
    <xf numFmtId="0" fontId="3" fillId="2" borderId="9" xfId="0" applyFont="1" applyFill="1" applyBorder="1" applyAlignment="1">
      <alignment horizontal="center" vertical="center"/>
    </xf>
    <xf numFmtId="0" fontId="1" fillId="2" borderId="14" xfId="0" applyFont="1" applyFill="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12</xdr:col>
      <xdr:colOff>9525</xdr:colOff>
      <xdr:row>34</xdr:row>
      <xdr:rowOff>9525</xdr:rowOff>
    </xdr:from>
    <xdr:to>
      <xdr:col>15</xdr:col>
      <xdr:colOff>266700</xdr:colOff>
      <xdr:row>37</xdr:row>
      <xdr:rowOff>238125</xdr:rowOff>
    </xdr:to>
    <xdr:cxnSp macro="">
      <xdr:nvCxnSpPr>
        <xdr:cNvPr id="3" name="Straight Connector 2">
          <a:extLst>
            <a:ext uri="{FF2B5EF4-FFF2-40B4-BE49-F238E27FC236}">
              <a16:creationId xmlns:a16="http://schemas.microsoft.com/office/drawing/2014/main" id="{00000000-0008-0000-0800-000003000000}"/>
            </a:ext>
          </a:extLst>
        </xdr:cNvPr>
        <xdr:cNvCxnSpPr/>
      </xdr:nvCxnSpPr>
      <xdr:spPr>
        <a:xfrm flipV="1">
          <a:off x="7353300" y="7429500"/>
          <a:ext cx="1085850" cy="971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34</xdr:row>
      <xdr:rowOff>9525</xdr:rowOff>
    </xdr:from>
    <xdr:to>
      <xdr:col>26</xdr:col>
      <xdr:colOff>0</xdr:colOff>
      <xdr:row>38</xdr:row>
      <xdr:rowOff>0</xdr:rowOff>
    </xdr:to>
    <xdr:cxnSp macro="">
      <xdr:nvCxnSpPr>
        <xdr:cNvPr id="5" name="Straight Connector 4">
          <a:extLst>
            <a:ext uri="{FF2B5EF4-FFF2-40B4-BE49-F238E27FC236}">
              <a16:creationId xmlns:a16="http://schemas.microsoft.com/office/drawing/2014/main" id="{00000000-0008-0000-0800-000005000000}"/>
            </a:ext>
          </a:extLst>
        </xdr:cNvPr>
        <xdr:cNvCxnSpPr/>
      </xdr:nvCxnSpPr>
      <xdr:spPr>
        <a:xfrm flipV="1">
          <a:off x="10106025" y="7429500"/>
          <a:ext cx="1104900" cy="981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76200</xdr:colOff>
          <xdr:row>56</xdr:row>
          <xdr:rowOff>152400</xdr:rowOff>
        </xdr:from>
        <xdr:to>
          <xdr:col>3</xdr:col>
          <xdr:colOff>777240</xdr:colOff>
          <xdr:row>58</xdr:row>
          <xdr:rowOff>182880</xdr:rowOff>
        </xdr:to>
        <xdr:sp macro="" textlink="">
          <xdr:nvSpPr>
            <xdr:cNvPr id="12289" name="Object 1" hidden="1">
              <a:extLst>
                <a:ext uri="{63B3BB69-23CF-44E3-9099-C40C66FF867C}">
                  <a14:compatExt spid="_x0000_s12289"/>
                </a:ext>
                <a:ext uri="{FF2B5EF4-FFF2-40B4-BE49-F238E27FC236}">
                  <a16:creationId xmlns:a16="http://schemas.microsoft.com/office/drawing/2014/main" id="{00000000-0008-0000-0900-0000013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0</xdr:colOff>
      <xdr:row>24</xdr:row>
      <xdr:rowOff>19050</xdr:rowOff>
    </xdr:from>
    <xdr:to>
      <xdr:col>14</xdr:col>
      <xdr:colOff>0</xdr:colOff>
      <xdr:row>28</xdr:row>
      <xdr:rowOff>0</xdr:rowOff>
    </xdr:to>
    <xdr:cxnSp macro="">
      <xdr:nvCxnSpPr>
        <xdr:cNvPr id="3" name="Straight Connector 2">
          <a:extLst>
            <a:ext uri="{FF2B5EF4-FFF2-40B4-BE49-F238E27FC236}">
              <a16:creationId xmlns:a16="http://schemas.microsoft.com/office/drawing/2014/main" id="{00000000-0008-0000-0F00-000003000000}"/>
            </a:ext>
          </a:extLst>
        </xdr:cNvPr>
        <xdr:cNvCxnSpPr/>
      </xdr:nvCxnSpPr>
      <xdr:spPr>
        <a:xfrm flipV="1">
          <a:off x="6229350" y="4848225"/>
          <a:ext cx="1104900" cy="9715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xdr:colOff>
      <xdr:row>24</xdr:row>
      <xdr:rowOff>9525</xdr:rowOff>
    </xdr:from>
    <xdr:to>
      <xdr:col>20</xdr:col>
      <xdr:colOff>0</xdr:colOff>
      <xdr:row>27</xdr:row>
      <xdr:rowOff>238125</xdr:rowOff>
    </xdr:to>
    <xdr:cxnSp macro="">
      <xdr:nvCxnSpPr>
        <xdr:cNvPr id="5" name="Straight Connector 4">
          <a:extLst>
            <a:ext uri="{FF2B5EF4-FFF2-40B4-BE49-F238E27FC236}">
              <a16:creationId xmlns:a16="http://schemas.microsoft.com/office/drawing/2014/main" id="{00000000-0008-0000-0F00-000005000000}"/>
            </a:ext>
          </a:extLst>
        </xdr:cNvPr>
        <xdr:cNvCxnSpPr/>
      </xdr:nvCxnSpPr>
      <xdr:spPr>
        <a:xfrm flipV="1">
          <a:off x="7896225" y="4838700"/>
          <a:ext cx="1095375" cy="9715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9525</xdr:colOff>
      <xdr:row>24</xdr:row>
      <xdr:rowOff>0</xdr:rowOff>
    </xdr:from>
    <xdr:to>
      <xdr:col>27</xdr:col>
      <xdr:colOff>266700</xdr:colOff>
      <xdr:row>28</xdr:row>
      <xdr:rowOff>9525</xdr:rowOff>
    </xdr:to>
    <xdr:cxnSp macro="">
      <xdr:nvCxnSpPr>
        <xdr:cNvPr id="7" name="Straight Connector 6">
          <a:extLst>
            <a:ext uri="{FF2B5EF4-FFF2-40B4-BE49-F238E27FC236}">
              <a16:creationId xmlns:a16="http://schemas.microsoft.com/office/drawing/2014/main" id="{00000000-0008-0000-0F00-000007000000}"/>
            </a:ext>
          </a:extLst>
        </xdr:cNvPr>
        <xdr:cNvCxnSpPr/>
      </xdr:nvCxnSpPr>
      <xdr:spPr>
        <a:xfrm flipV="1">
          <a:off x="10106025" y="4829175"/>
          <a:ext cx="1085850" cy="10001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24</xdr:row>
      <xdr:rowOff>9525</xdr:rowOff>
    </xdr:from>
    <xdr:to>
      <xdr:col>18</xdr:col>
      <xdr:colOff>0</xdr:colOff>
      <xdr:row>28</xdr:row>
      <xdr:rowOff>0</xdr:rowOff>
    </xdr:to>
    <xdr:cxnSp macro="">
      <xdr:nvCxnSpPr>
        <xdr:cNvPr id="9" name="Straight Connector 8">
          <a:extLst>
            <a:ext uri="{FF2B5EF4-FFF2-40B4-BE49-F238E27FC236}">
              <a16:creationId xmlns:a16="http://schemas.microsoft.com/office/drawing/2014/main" id="{00000000-0008-0000-0F00-000009000000}"/>
            </a:ext>
          </a:extLst>
        </xdr:cNvPr>
        <xdr:cNvCxnSpPr/>
      </xdr:nvCxnSpPr>
      <xdr:spPr>
        <a:xfrm flipV="1">
          <a:off x="8439150" y="4838700"/>
          <a:ext cx="0" cy="9810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0.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C938F-F730-44FE-A732-DA4FF5E1A7DA}">
  <dimension ref="A1:M90"/>
  <sheetViews>
    <sheetView tabSelected="1" topLeftCell="A25" zoomScaleNormal="100" workbookViewId="0"/>
  </sheetViews>
  <sheetFormatPr defaultRowHeight="15.6" x14ac:dyDescent="0.3"/>
  <cols>
    <col min="1" max="1" width="8.88671875" style="2" customWidth="1"/>
    <col min="2" max="4" width="10.77734375" style="2" customWidth="1"/>
    <col min="5" max="8" width="12.77734375" style="2" customWidth="1"/>
    <col min="9" max="12" width="8.88671875" style="2" customWidth="1"/>
    <col min="13" max="16384" width="8.88671875" style="2"/>
  </cols>
  <sheetData>
    <row r="1" spans="1:12" ht="17.399999999999999" x14ac:dyDescent="0.3">
      <c r="A1" s="3" t="s">
        <v>3</v>
      </c>
      <c r="B1" s="4"/>
      <c r="C1" s="23" t="s">
        <v>34</v>
      </c>
      <c r="D1" s="4"/>
      <c r="E1" s="4"/>
      <c r="F1" s="4"/>
      <c r="G1" s="4"/>
      <c r="H1" s="4"/>
      <c r="I1" s="4"/>
      <c r="J1" s="4"/>
      <c r="K1" s="4"/>
      <c r="L1" s="4"/>
    </row>
    <row r="2" spans="1:12" x14ac:dyDescent="0.3">
      <c r="A2" s="4"/>
      <c r="B2" s="4"/>
      <c r="C2" s="4"/>
      <c r="D2" s="4"/>
      <c r="E2" s="4"/>
      <c r="F2" s="4"/>
      <c r="G2" s="4"/>
      <c r="H2" s="4"/>
      <c r="I2" s="4"/>
      <c r="J2" s="4"/>
      <c r="K2" s="4"/>
      <c r="L2" s="4"/>
    </row>
    <row r="3" spans="1:12" x14ac:dyDescent="0.3">
      <c r="A3" s="5" t="s">
        <v>19</v>
      </c>
      <c r="B3" s="4"/>
      <c r="C3" s="4"/>
      <c r="D3" s="4"/>
      <c r="E3" s="4"/>
      <c r="F3" s="4"/>
      <c r="G3" s="4"/>
      <c r="H3" s="4"/>
      <c r="I3" s="4"/>
      <c r="J3" s="4"/>
      <c r="K3" s="4"/>
      <c r="L3" s="4"/>
    </row>
    <row r="4" spans="1:12" x14ac:dyDescent="0.3">
      <c r="A4" s="5"/>
      <c r="B4" s="4"/>
      <c r="C4" s="4"/>
      <c r="D4" s="4"/>
      <c r="E4" s="4"/>
      <c r="F4" s="4"/>
      <c r="G4" s="4"/>
      <c r="H4" s="4"/>
      <c r="I4" s="4"/>
      <c r="J4" s="4"/>
      <c r="K4" s="4"/>
      <c r="L4" s="4"/>
    </row>
    <row r="5" spans="1:12" ht="15.6" customHeight="1" x14ac:dyDescent="0.3">
      <c r="A5" s="5"/>
      <c r="B5" s="16" t="s">
        <v>5</v>
      </c>
      <c r="C5" s="338" t="s">
        <v>20</v>
      </c>
      <c r="D5" s="339"/>
      <c r="E5" s="339"/>
      <c r="F5" s="340"/>
      <c r="G5" s="4"/>
      <c r="H5" s="4"/>
      <c r="I5" s="4"/>
      <c r="J5" s="4"/>
      <c r="K5" s="4"/>
      <c r="L5" s="4"/>
    </row>
    <row r="6" spans="1:12" x14ac:dyDescent="0.3">
      <c r="A6" s="5"/>
      <c r="B6" s="17" t="s">
        <v>7</v>
      </c>
      <c r="C6" s="18">
        <v>12</v>
      </c>
      <c r="D6" s="19">
        <v>24</v>
      </c>
      <c r="E6" s="19">
        <v>36</v>
      </c>
      <c r="F6" s="19">
        <v>48</v>
      </c>
      <c r="G6" s="4"/>
      <c r="H6" s="4"/>
      <c r="I6" s="4"/>
      <c r="J6" s="4"/>
      <c r="K6" s="4"/>
      <c r="L6" s="4"/>
    </row>
    <row r="7" spans="1:12" x14ac:dyDescent="0.3">
      <c r="A7" s="5"/>
      <c r="B7" s="20">
        <v>2016</v>
      </c>
      <c r="C7" s="21">
        <v>12800</v>
      </c>
      <c r="D7" s="21">
        <v>16380</v>
      </c>
      <c r="E7" s="21">
        <v>18350</v>
      </c>
      <c r="F7" s="21">
        <v>19080</v>
      </c>
      <c r="G7" s="4"/>
      <c r="H7" s="4"/>
      <c r="I7" s="4"/>
      <c r="J7" s="4"/>
      <c r="K7" s="4"/>
      <c r="L7" s="4"/>
    </row>
    <row r="8" spans="1:12" x14ac:dyDescent="0.3">
      <c r="A8" s="5"/>
      <c r="B8" s="20">
        <v>2017</v>
      </c>
      <c r="C8" s="21">
        <v>13700</v>
      </c>
      <c r="D8" s="21">
        <v>17810</v>
      </c>
      <c r="E8" s="21">
        <v>19590</v>
      </c>
      <c r="F8" s="21"/>
      <c r="G8" s="4"/>
      <c r="H8" s="4"/>
      <c r="I8" s="4"/>
      <c r="J8" s="4"/>
      <c r="K8" s="4"/>
      <c r="L8" s="4"/>
    </row>
    <row r="9" spans="1:12" x14ac:dyDescent="0.3">
      <c r="A9" s="5"/>
      <c r="B9" s="20">
        <v>2018</v>
      </c>
      <c r="C9" s="21">
        <v>15200</v>
      </c>
      <c r="D9" s="21">
        <v>19150</v>
      </c>
      <c r="E9" s="21"/>
      <c r="F9" s="21"/>
      <c r="G9" s="4"/>
      <c r="H9" s="4"/>
      <c r="I9" s="4"/>
      <c r="J9" s="4"/>
      <c r="K9" s="4"/>
      <c r="L9" s="4"/>
    </row>
    <row r="10" spans="1:12" x14ac:dyDescent="0.3">
      <c r="A10" s="5"/>
      <c r="B10" s="20">
        <v>2019</v>
      </c>
      <c r="C10" s="21">
        <v>14800</v>
      </c>
      <c r="D10" s="22"/>
      <c r="E10" s="22"/>
      <c r="F10" s="22"/>
      <c r="G10" s="4"/>
      <c r="H10" s="4"/>
      <c r="I10" s="4"/>
      <c r="J10" s="4"/>
      <c r="K10" s="4"/>
      <c r="L10" s="4"/>
    </row>
    <row r="11" spans="1:12" x14ac:dyDescent="0.3">
      <c r="A11" s="5"/>
      <c r="B11" s="23"/>
      <c r="C11" s="23"/>
      <c r="D11" s="23"/>
      <c r="E11" s="23"/>
      <c r="F11" s="1"/>
      <c r="G11" s="4"/>
      <c r="H11" s="4"/>
      <c r="I11" s="4"/>
      <c r="J11" s="4"/>
      <c r="K11" s="4"/>
      <c r="L11" s="4"/>
    </row>
    <row r="12" spans="1:12" x14ac:dyDescent="0.3">
      <c r="A12" s="5"/>
      <c r="B12" s="16" t="s">
        <v>5</v>
      </c>
      <c r="C12" s="338" t="s">
        <v>201</v>
      </c>
      <c r="D12" s="339"/>
      <c r="E12" s="339"/>
      <c r="F12" s="340"/>
      <c r="G12" s="4"/>
      <c r="H12" s="4"/>
      <c r="I12" s="4"/>
      <c r="J12" s="4"/>
      <c r="K12" s="4"/>
      <c r="L12" s="4"/>
    </row>
    <row r="13" spans="1:12" x14ac:dyDescent="0.3">
      <c r="A13" s="5"/>
      <c r="B13" s="17" t="s">
        <v>7</v>
      </c>
      <c r="C13" s="18">
        <v>12</v>
      </c>
      <c r="D13" s="19">
        <v>24</v>
      </c>
      <c r="E13" s="19">
        <v>36</v>
      </c>
      <c r="F13" s="19">
        <v>48</v>
      </c>
      <c r="G13" s="4"/>
      <c r="H13" s="4"/>
      <c r="I13" s="4"/>
      <c r="J13" s="4"/>
      <c r="K13" s="4"/>
      <c r="L13" s="4"/>
    </row>
    <row r="14" spans="1:12" x14ac:dyDescent="0.3">
      <c r="A14" s="5"/>
      <c r="B14" s="20">
        <v>2016</v>
      </c>
      <c r="C14" s="21">
        <v>9730</v>
      </c>
      <c r="D14" s="21">
        <v>14580</v>
      </c>
      <c r="E14" s="21">
        <v>17430</v>
      </c>
      <c r="F14" s="21">
        <v>18300</v>
      </c>
      <c r="G14" s="4"/>
      <c r="H14" s="4"/>
      <c r="I14" s="4"/>
      <c r="J14" s="4"/>
      <c r="K14" s="4"/>
      <c r="L14" s="4"/>
    </row>
    <row r="15" spans="1:12" x14ac:dyDescent="0.3">
      <c r="A15" s="5"/>
      <c r="B15" s="20">
        <v>2017</v>
      </c>
      <c r="C15" s="21">
        <v>9450</v>
      </c>
      <c r="D15" s="21">
        <v>15320</v>
      </c>
      <c r="E15" s="21">
        <v>18410</v>
      </c>
      <c r="F15" s="22"/>
      <c r="G15" s="4"/>
      <c r="H15" s="4"/>
      <c r="I15" s="4"/>
      <c r="J15" s="4"/>
      <c r="K15" s="4"/>
      <c r="L15" s="4"/>
    </row>
    <row r="16" spans="1:12" x14ac:dyDescent="0.3">
      <c r="A16" s="5"/>
      <c r="B16" s="20">
        <v>2018</v>
      </c>
      <c r="C16" s="21">
        <v>10940</v>
      </c>
      <c r="D16" s="21">
        <v>16090</v>
      </c>
      <c r="E16" s="22"/>
      <c r="F16" s="22"/>
      <c r="G16" s="4"/>
      <c r="H16" s="4"/>
      <c r="I16" s="4"/>
      <c r="J16" s="4"/>
      <c r="K16" s="4"/>
      <c r="L16" s="4"/>
    </row>
    <row r="17" spans="1:13" x14ac:dyDescent="0.3">
      <c r="A17" s="5"/>
      <c r="B17" s="20">
        <v>2019</v>
      </c>
      <c r="C17" s="21">
        <v>11100</v>
      </c>
      <c r="D17" s="22"/>
      <c r="E17" s="22"/>
      <c r="F17" s="22"/>
      <c r="G17" s="4"/>
      <c r="H17" s="4"/>
      <c r="I17" s="4"/>
      <c r="J17" s="4"/>
      <c r="K17" s="4"/>
      <c r="L17" s="4"/>
    </row>
    <row r="18" spans="1:13" x14ac:dyDescent="0.3">
      <c r="A18" s="5"/>
      <c r="B18" s="23"/>
      <c r="C18" s="23"/>
      <c r="D18" s="23"/>
      <c r="E18" s="23"/>
      <c r="F18" s="1"/>
      <c r="G18" s="4"/>
      <c r="H18" s="4"/>
      <c r="I18" s="4"/>
      <c r="J18" s="4"/>
      <c r="K18" s="4"/>
      <c r="L18" s="4"/>
    </row>
    <row r="19" spans="1:13" ht="15.6" customHeight="1" x14ac:dyDescent="0.3">
      <c r="A19" s="5"/>
      <c r="B19" s="16" t="s">
        <v>5</v>
      </c>
      <c r="C19" s="338" t="s">
        <v>21</v>
      </c>
      <c r="D19" s="339"/>
      <c r="E19" s="339"/>
      <c r="F19" s="340"/>
      <c r="G19" s="4"/>
      <c r="H19" s="4"/>
      <c r="I19" s="4"/>
      <c r="J19" s="4"/>
      <c r="K19" s="4"/>
      <c r="L19" s="4"/>
    </row>
    <row r="20" spans="1:13" x14ac:dyDescent="0.3">
      <c r="A20" s="5"/>
      <c r="B20" s="17" t="s">
        <v>7</v>
      </c>
      <c r="C20" s="18">
        <v>12</v>
      </c>
      <c r="D20" s="19">
        <v>24</v>
      </c>
      <c r="E20" s="19">
        <v>36</v>
      </c>
      <c r="F20" s="19">
        <v>48</v>
      </c>
      <c r="G20" s="4"/>
      <c r="H20" s="4"/>
      <c r="I20" s="4"/>
      <c r="J20" s="4"/>
      <c r="K20" s="4"/>
      <c r="L20" s="4"/>
    </row>
    <row r="21" spans="1:13" x14ac:dyDescent="0.3">
      <c r="A21" s="5"/>
      <c r="B21" s="20">
        <v>2016</v>
      </c>
      <c r="C21" s="21">
        <v>3070</v>
      </c>
      <c r="D21" s="21">
        <v>1800</v>
      </c>
      <c r="E21" s="21">
        <v>920</v>
      </c>
      <c r="F21" s="21">
        <v>380</v>
      </c>
      <c r="G21" s="4"/>
      <c r="H21" s="4"/>
      <c r="I21" s="4"/>
      <c r="J21" s="4"/>
      <c r="K21" s="4"/>
      <c r="L21" s="4"/>
    </row>
    <row r="22" spans="1:13" x14ac:dyDescent="0.3">
      <c r="A22" s="5"/>
      <c r="B22" s="20">
        <v>2017</v>
      </c>
      <c r="C22" s="21">
        <v>4250</v>
      </c>
      <c r="D22" s="21">
        <v>2490</v>
      </c>
      <c r="E22" s="21">
        <v>1140</v>
      </c>
      <c r="F22" s="22"/>
      <c r="G22" s="4"/>
      <c r="H22" s="4"/>
      <c r="I22" s="4"/>
      <c r="J22" s="4"/>
      <c r="K22" s="4"/>
      <c r="L22" s="4"/>
    </row>
    <row r="23" spans="1:13" x14ac:dyDescent="0.3">
      <c r="A23" s="5"/>
      <c r="B23" s="20">
        <v>2018</v>
      </c>
      <c r="C23" s="21">
        <v>4260</v>
      </c>
      <c r="D23" s="21">
        <v>2980</v>
      </c>
      <c r="E23" s="22"/>
      <c r="F23" s="22"/>
      <c r="G23" s="4"/>
      <c r="H23" s="4"/>
      <c r="I23" s="4"/>
      <c r="J23" s="4"/>
      <c r="K23" s="4"/>
      <c r="L23" s="4"/>
    </row>
    <row r="24" spans="1:13" x14ac:dyDescent="0.3">
      <c r="A24" s="5"/>
      <c r="B24" s="20">
        <v>2019</v>
      </c>
      <c r="C24" s="21">
        <v>3620</v>
      </c>
      <c r="D24" s="22"/>
      <c r="E24" s="22"/>
      <c r="F24" s="22"/>
      <c r="G24" s="4"/>
      <c r="H24" s="4"/>
      <c r="I24" s="4"/>
      <c r="J24" s="4"/>
      <c r="K24" s="4"/>
      <c r="L24" s="4"/>
    </row>
    <row r="25" spans="1:13" x14ac:dyDescent="0.3">
      <c r="A25" s="5"/>
      <c r="B25" s="4"/>
      <c r="C25" s="4"/>
      <c r="D25" s="4"/>
      <c r="E25" s="4"/>
      <c r="F25" s="4"/>
      <c r="G25" s="4"/>
      <c r="H25" s="4"/>
      <c r="I25" s="4"/>
      <c r="J25" s="4"/>
      <c r="K25" s="4"/>
      <c r="L25" s="4"/>
    </row>
    <row r="27" spans="1:13" x14ac:dyDescent="0.3">
      <c r="A27" s="7" t="s">
        <v>14</v>
      </c>
      <c r="B27" s="8" t="s">
        <v>23</v>
      </c>
      <c r="C27" s="5"/>
      <c r="D27" s="5"/>
      <c r="E27" s="5"/>
      <c r="F27" s="5"/>
      <c r="G27" s="5"/>
      <c r="H27" s="5"/>
      <c r="I27" s="5"/>
      <c r="J27" s="5"/>
      <c r="K27" s="5"/>
      <c r="L27" s="5"/>
    </row>
    <row r="28" spans="1:13" x14ac:dyDescent="0.3">
      <c r="A28" s="9"/>
      <c r="B28" s="5"/>
      <c r="C28" s="5"/>
      <c r="D28" s="5"/>
      <c r="E28" s="5"/>
      <c r="F28" s="5"/>
      <c r="G28" s="5"/>
      <c r="H28" s="5"/>
      <c r="I28" s="5"/>
      <c r="J28" s="5"/>
      <c r="K28" s="5"/>
      <c r="L28" s="5"/>
    </row>
    <row r="29" spans="1:13" x14ac:dyDescent="0.3">
      <c r="A29" s="10"/>
      <c r="B29" s="10"/>
      <c r="C29" s="10"/>
      <c r="D29" s="10"/>
      <c r="E29" s="10"/>
      <c r="F29" s="10"/>
      <c r="G29" s="10"/>
      <c r="H29" s="10"/>
      <c r="I29" s="10"/>
      <c r="J29" s="10"/>
      <c r="K29" s="10"/>
      <c r="L29" s="10"/>
      <c r="M29" s="10"/>
    </row>
    <row r="30" spans="1:13" x14ac:dyDescent="0.3">
      <c r="A30" s="10" t="s">
        <v>10</v>
      </c>
      <c r="B30" s="10"/>
      <c r="C30" s="10"/>
      <c r="D30" s="10"/>
      <c r="E30" s="10"/>
      <c r="F30" s="10"/>
      <c r="G30" s="10"/>
      <c r="H30" s="10"/>
      <c r="I30" s="10"/>
      <c r="J30" s="10"/>
      <c r="K30" s="10"/>
      <c r="L30" s="10"/>
      <c r="M30" s="10"/>
    </row>
    <row r="31" spans="1:13" x14ac:dyDescent="0.3">
      <c r="A31" s="10"/>
      <c r="B31" s="10"/>
      <c r="C31" s="10"/>
      <c r="D31" s="10"/>
      <c r="E31" s="10"/>
      <c r="F31" s="10"/>
      <c r="G31" s="10"/>
      <c r="H31" s="10"/>
      <c r="I31" s="10"/>
      <c r="J31" s="10"/>
      <c r="K31" s="10"/>
      <c r="L31" s="10"/>
      <c r="M31" s="10"/>
    </row>
    <row r="32" spans="1:13" x14ac:dyDescent="0.3">
      <c r="B32" s="261" t="s">
        <v>5</v>
      </c>
      <c r="C32" s="341" t="s">
        <v>305</v>
      </c>
      <c r="D32" s="342"/>
      <c r="E32" s="342"/>
      <c r="F32" s="343"/>
      <c r="G32" s="14"/>
      <c r="H32" s="14"/>
      <c r="I32" s="14"/>
      <c r="J32" s="14"/>
      <c r="K32" s="14"/>
      <c r="L32" s="14"/>
    </row>
    <row r="33" spans="1:12" x14ac:dyDescent="0.3">
      <c r="B33" s="95" t="s">
        <v>7</v>
      </c>
      <c r="C33" s="262">
        <v>12</v>
      </c>
      <c r="D33" s="97">
        <f>C33+12</f>
        <v>24</v>
      </c>
      <c r="E33" s="97">
        <f>D33+12</f>
        <v>36</v>
      </c>
      <c r="F33" s="97">
        <f>E33+12</f>
        <v>48</v>
      </c>
      <c r="G33" s="14"/>
      <c r="H33" s="14"/>
      <c r="I33" s="14"/>
      <c r="J33" s="14"/>
      <c r="K33" s="14"/>
      <c r="L33" s="14"/>
    </row>
    <row r="34" spans="1:12" x14ac:dyDescent="0.3">
      <c r="B34" s="95">
        <v>2016</v>
      </c>
      <c r="C34" s="96">
        <f>C14+C21</f>
        <v>12800</v>
      </c>
      <c r="D34" s="96">
        <f t="shared" ref="D34:F34" si="0">D14+D21</f>
        <v>16380</v>
      </c>
      <c r="E34" s="96">
        <f t="shared" si="0"/>
        <v>18350</v>
      </c>
      <c r="F34" s="106">
        <f t="shared" si="0"/>
        <v>18680</v>
      </c>
      <c r="G34" s="14"/>
      <c r="H34" s="14"/>
      <c r="I34" s="14"/>
      <c r="J34" s="14"/>
      <c r="K34" s="14"/>
      <c r="L34" s="14"/>
    </row>
    <row r="35" spans="1:12" x14ac:dyDescent="0.3">
      <c r="B35" s="95">
        <f>B34+1</f>
        <v>2017</v>
      </c>
      <c r="C35" s="96">
        <f t="shared" ref="C35:E35" si="1">C15+C22</f>
        <v>13700</v>
      </c>
      <c r="D35" s="96">
        <f t="shared" si="1"/>
        <v>17810</v>
      </c>
      <c r="E35" s="106">
        <f t="shared" si="1"/>
        <v>19550</v>
      </c>
      <c r="F35" s="96"/>
      <c r="G35" s="14"/>
      <c r="H35" s="14"/>
      <c r="I35" s="14"/>
      <c r="J35" s="14"/>
      <c r="K35" s="14"/>
      <c r="L35" s="14"/>
    </row>
    <row r="36" spans="1:12" x14ac:dyDescent="0.3">
      <c r="B36" s="95">
        <f t="shared" ref="B36:B37" si="2">B35+1</f>
        <v>2018</v>
      </c>
      <c r="C36" s="96">
        <f t="shared" ref="C36:D36" si="3">C16+C23</f>
        <v>15200</v>
      </c>
      <c r="D36" s="106">
        <f t="shared" si="3"/>
        <v>19070</v>
      </c>
      <c r="E36" s="96"/>
      <c r="F36" s="96"/>
      <c r="G36" s="14"/>
      <c r="H36" s="14"/>
      <c r="I36" s="14"/>
      <c r="J36" s="14"/>
      <c r="K36" s="14"/>
      <c r="L36" s="14"/>
    </row>
    <row r="37" spans="1:12" x14ac:dyDescent="0.3">
      <c r="B37" s="95">
        <f t="shared" si="2"/>
        <v>2019</v>
      </c>
      <c r="C37" s="106">
        <f t="shared" ref="C37" si="4">C17+C24</f>
        <v>14720</v>
      </c>
      <c r="D37" s="97"/>
      <c r="E37" s="97"/>
      <c r="F37" s="97"/>
      <c r="G37" s="14"/>
      <c r="H37" s="14"/>
      <c r="I37" s="14"/>
      <c r="J37" s="14"/>
      <c r="K37" s="14"/>
      <c r="L37" s="14"/>
    </row>
    <row r="38" spans="1:12" x14ac:dyDescent="0.3">
      <c r="B38" s="98"/>
      <c r="C38" s="98"/>
      <c r="D38" s="98"/>
      <c r="E38" s="98"/>
      <c r="F38" s="98"/>
      <c r="G38" s="14"/>
      <c r="H38" s="14"/>
      <c r="I38" s="14"/>
      <c r="J38" s="14"/>
      <c r="K38" s="14"/>
      <c r="L38" s="14"/>
    </row>
    <row r="39" spans="1:12" x14ac:dyDescent="0.3">
      <c r="B39" s="98" t="s">
        <v>306</v>
      </c>
      <c r="C39" s="98"/>
      <c r="D39" s="98"/>
      <c r="E39" s="98"/>
      <c r="F39" s="98"/>
    </row>
    <row r="41" spans="1:12" x14ac:dyDescent="0.3">
      <c r="A41" s="6" t="s">
        <v>33</v>
      </c>
      <c r="B41" s="5"/>
      <c r="C41" s="5"/>
      <c r="D41" s="5"/>
      <c r="E41" s="5"/>
      <c r="F41" s="5"/>
      <c r="G41" s="5"/>
      <c r="H41" s="5"/>
      <c r="I41" s="5"/>
      <c r="J41" s="5"/>
      <c r="K41" s="5"/>
      <c r="L41" s="5"/>
    </row>
    <row r="42" spans="1:12" x14ac:dyDescent="0.3">
      <c r="A42" s="11"/>
      <c r="B42" s="10"/>
      <c r="C42" s="10"/>
      <c r="D42" s="10"/>
      <c r="E42" s="10"/>
      <c r="F42" s="10"/>
      <c r="G42" s="10"/>
      <c r="H42" s="10"/>
      <c r="I42" s="10"/>
      <c r="J42" s="10"/>
      <c r="K42" s="10"/>
      <c r="L42" s="10"/>
    </row>
    <row r="43" spans="1:12" x14ac:dyDescent="0.3">
      <c r="A43" s="5" t="s">
        <v>25</v>
      </c>
      <c r="B43" s="4"/>
      <c r="C43" s="4"/>
      <c r="D43" s="4"/>
      <c r="E43" s="4"/>
      <c r="F43" s="4"/>
      <c r="G43" s="4"/>
      <c r="H43" s="4"/>
      <c r="I43" s="4"/>
      <c r="J43" s="4"/>
      <c r="K43" s="4"/>
      <c r="L43" s="4"/>
    </row>
    <row r="44" spans="1:12" x14ac:dyDescent="0.3">
      <c r="A44" s="5"/>
      <c r="B44" s="4"/>
      <c r="C44" s="4"/>
      <c r="D44" s="4"/>
      <c r="E44" s="4"/>
      <c r="F44" s="4"/>
      <c r="G44" s="4"/>
      <c r="H44" s="4"/>
      <c r="I44" s="4"/>
      <c r="J44" s="4"/>
      <c r="K44" s="4"/>
      <c r="L44" s="4"/>
    </row>
    <row r="45" spans="1:12" ht="28.2" x14ac:dyDescent="0.3">
      <c r="A45" s="24"/>
      <c r="B45" s="25"/>
      <c r="C45" s="344" t="s">
        <v>26</v>
      </c>
      <c r="D45" s="344"/>
      <c r="E45" s="344"/>
      <c r="F45" s="25" t="s">
        <v>27</v>
      </c>
      <c r="G45" s="25" t="s">
        <v>28</v>
      </c>
      <c r="H45" s="25" t="s">
        <v>29</v>
      </c>
      <c r="I45" s="25" t="s">
        <v>30</v>
      </c>
      <c r="J45" s="15"/>
      <c r="K45" s="15"/>
      <c r="L45" s="15"/>
    </row>
    <row r="46" spans="1:12" x14ac:dyDescent="0.3">
      <c r="A46" s="24"/>
      <c r="B46" s="85">
        <v>1</v>
      </c>
      <c r="C46" s="345" t="s">
        <v>31</v>
      </c>
      <c r="D46" s="345"/>
      <c r="E46" s="345"/>
      <c r="F46" s="86">
        <v>42856</v>
      </c>
      <c r="G46" s="84">
        <v>42000</v>
      </c>
      <c r="H46" s="84">
        <v>0</v>
      </c>
      <c r="I46" s="84">
        <v>0</v>
      </c>
      <c r="J46" s="15"/>
      <c r="K46" s="15"/>
      <c r="L46" s="15"/>
    </row>
    <row r="47" spans="1:12" x14ac:dyDescent="0.3">
      <c r="A47" s="24"/>
      <c r="B47" s="85">
        <v>2</v>
      </c>
      <c r="C47" s="345" t="s">
        <v>32</v>
      </c>
      <c r="D47" s="345"/>
      <c r="E47" s="345"/>
      <c r="F47" s="86">
        <v>43070</v>
      </c>
      <c r="G47" s="84">
        <v>30000</v>
      </c>
      <c r="H47" s="84">
        <v>10000</v>
      </c>
      <c r="I47" s="84">
        <v>1000</v>
      </c>
      <c r="J47" s="15"/>
      <c r="K47" s="15"/>
      <c r="L47" s="15"/>
    </row>
    <row r="48" spans="1:12" x14ac:dyDescent="0.3">
      <c r="A48" s="24"/>
      <c r="B48" s="85">
        <v>3</v>
      </c>
      <c r="C48" s="345" t="s">
        <v>32</v>
      </c>
      <c r="D48" s="345"/>
      <c r="E48" s="345"/>
      <c r="F48" s="86">
        <v>43252</v>
      </c>
      <c r="G48" s="84">
        <v>20000</v>
      </c>
      <c r="H48" s="84">
        <v>12000</v>
      </c>
      <c r="I48" s="84">
        <v>2000</v>
      </c>
      <c r="J48" s="15"/>
      <c r="K48" s="15"/>
      <c r="L48" s="15"/>
    </row>
    <row r="49" spans="1:12" x14ac:dyDescent="0.3">
      <c r="A49" s="24"/>
      <c r="B49" s="15"/>
      <c r="C49" s="15"/>
      <c r="D49" s="15"/>
      <c r="E49" s="15"/>
      <c r="F49" s="15"/>
      <c r="G49" s="15"/>
      <c r="H49" s="15"/>
      <c r="I49" s="15"/>
      <c r="J49" s="15"/>
      <c r="K49" s="15"/>
      <c r="L49" s="15"/>
    </row>
    <row r="50" spans="1:12" x14ac:dyDescent="0.3">
      <c r="A50" s="11"/>
      <c r="B50" s="10"/>
      <c r="C50" s="10"/>
      <c r="D50" s="10"/>
      <c r="E50" s="10"/>
      <c r="F50" s="10"/>
      <c r="G50" s="10"/>
      <c r="H50" s="10"/>
      <c r="I50" s="10"/>
      <c r="J50" s="10"/>
      <c r="K50" s="10"/>
      <c r="L50" s="10"/>
    </row>
    <row r="51" spans="1:12" x14ac:dyDescent="0.3">
      <c r="A51" s="7" t="s">
        <v>9</v>
      </c>
      <c r="B51" s="8" t="s">
        <v>205</v>
      </c>
      <c r="C51" s="5"/>
      <c r="D51" s="5"/>
      <c r="E51" s="5"/>
      <c r="F51" s="5"/>
      <c r="G51" s="5"/>
      <c r="H51" s="5"/>
      <c r="I51" s="5"/>
      <c r="J51" s="5"/>
      <c r="K51" s="5"/>
      <c r="L51" s="5"/>
    </row>
    <row r="52" spans="1:12" x14ac:dyDescent="0.3">
      <c r="A52" s="9"/>
      <c r="B52" s="5"/>
      <c r="C52" s="5"/>
      <c r="D52" s="5"/>
      <c r="E52" s="5"/>
      <c r="F52" s="5"/>
      <c r="G52" s="5"/>
      <c r="H52" s="5"/>
      <c r="I52" s="5"/>
      <c r="J52" s="5"/>
      <c r="K52" s="5"/>
      <c r="L52" s="5"/>
    </row>
    <row r="53" spans="1:12" x14ac:dyDescent="0.3">
      <c r="A53" s="11"/>
      <c r="B53" s="10"/>
      <c r="C53" s="10"/>
      <c r="D53" s="10"/>
      <c r="E53" s="10"/>
      <c r="F53" s="10"/>
      <c r="G53" s="10"/>
      <c r="H53" s="10"/>
      <c r="I53" s="10"/>
      <c r="J53" s="10"/>
      <c r="K53" s="10"/>
      <c r="L53" s="10"/>
    </row>
    <row r="54" spans="1:12" x14ac:dyDescent="0.3">
      <c r="A54" s="10" t="s">
        <v>10</v>
      </c>
      <c r="B54" s="10"/>
      <c r="C54" s="10"/>
      <c r="D54" s="10"/>
      <c r="E54" s="10"/>
      <c r="F54" s="10"/>
      <c r="G54" s="10"/>
      <c r="H54" s="10"/>
      <c r="I54" s="10"/>
      <c r="J54" s="10"/>
      <c r="K54" s="10"/>
      <c r="L54" s="10"/>
    </row>
    <row r="55" spans="1:12" x14ac:dyDescent="0.3">
      <c r="B55" s="98" t="s">
        <v>315</v>
      </c>
      <c r="C55" s="98"/>
      <c r="D55" s="98"/>
      <c r="E55" s="98"/>
      <c r="F55" s="98"/>
      <c r="G55" s="99" t="s">
        <v>307</v>
      </c>
      <c r="H55" s="10"/>
    </row>
    <row r="56" spans="1:12" x14ac:dyDescent="0.3">
      <c r="B56" s="98"/>
      <c r="C56" s="98" t="s">
        <v>308</v>
      </c>
      <c r="D56" s="98"/>
      <c r="E56" s="100"/>
      <c r="F56" s="101">
        <f>H47+I47</f>
        <v>11000</v>
      </c>
      <c r="G56" s="99" t="s">
        <v>309</v>
      </c>
    </row>
    <row r="57" spans="1:12" x14ac:dyDescent="0.3">
      <c r="B57" s="98"/>
      <c r="C57" s="98" t="s">
        <v>310</v>
      </c>
      <c r="D57" s="98"/>
      <c r="E57" s="100"/>
      <c r="F57" s="101">
        <f>SUM(H47:I48)</f>
        <v>25000</v>
      </c>
      <c r="G57" s="99" t="s">
        <v>309</v>
      </c>
    </row>
    <row r="58" spans="1:12" x14ac:dyDescent="0.3">
      <c r="B58" s="98"/>
      <c r="C58" s="98" t="s">
        <v>311</v>
      </c>
      <c r="D58" s="98"/>
      <c r="E58" s="100"/>
      <c r="F58" s="101">
        <f>F57</f>
        <v>25000</v>
      </c>
      <c r="G58" s="99" t="s">
        <v>309</v>
      </c>
    </row>
    <row r="59" spans="1:12" x14ac:dyDescent="0.3">
      <c r="B59" s="98"/>
      <c r="C59" s="102" t="s">
        <v>314</v>
      </c>
      <c r="D59" s="98"/>
      <c r="E59" s="100"/>
      <c r="F59" s="98"/>
      <c r="G59" s="98"/>
    </row>
    <row r="60" spans="1:12" x14ac:dyDescent="0.3">
      <c r="B60" s="98" t="s">
        <v>312</v>
      </c>
      <c r="C60" s="98"/>
      <c r="D60" s="98"/>
      <c r="E60" s="100"/>
      <c r="F60" s="98"/>
      <c r="G60" s="98"/>
    </row>
    <row r="61" spans="1:12" x14ac:dyDescent="0.3">
      <c r="B61" s="98"/>
      <c r="C61" s="98" t="s">
        <v>308</v>
      </c>
      <c r="D61" s="98"/>
      <c r="E61" s="100"/>
      <c r="F61" s="101">
        <f>G47</f>
        <v>30000</v>
      </c>
      <c r="G61" s="99" t="s">
        <v>313</v>
      </c>
    </row>
    <row r="62" spans="1:12" x14ac:dyDescent="0.3">
      <c r="B62" s="98"/>
      <c r="C62" s="98" t="s">
        <v>310</v>
      </c>
      <c r="D62" s="98"/>
      <c r="E62" s="100"/>
      <c r="F62" s="101">
        <f>G48</f>
        <v>20000</v>
      </c>
      <c r="G62" s="99" t="s">
        <v>313</v>
      </c>
    </row>
    <row r="63" spans="1:12" x14ac:dyDescent="0.3">
      <c r="A63" s="100"/>
      <c r="B63" s="98"/>
      <c r="C63" s="98" t="s">
        <v>311</v>
      </c>
      <c r="D63" s="98"/>
      <c r="E63" s="100"/>
      <c r="F63" s="101">
        <f>F62</f>
        <v>20000</v>
      </c>
      <c r="G63" s="99" t="s">
        <v>313</v>
      </c>
    </row>
    <row r="64" spans="1:12" x14ac:dyDescent="0.3">
      <c r="A64"/>
      <c r="B64" s="100"/>
      <c r="C64" s="102" t="s">
        <v>314</v>
      </c>
      <c r="D64" s="100"/>
      <c r="E64" s="100"/>
      <c r="F64" s="100"/>
      <c r="G64" s="100"/>
    </row>
    <row r="65" spans="1:12" x14ac:dyDescent="0.3">
      <c r="A65"/>
      <c r="B65"/>
      <c r="C65"/>
      <c r="D65"/>
      <c r="E65"/>
      <c r="F65" s="100"/>
    </row>
    <row r="66" spans="1:12" x14ac:dyDescent="0.3">
      <c r="A66"/>
      <c r="B66" s="261" t="s">
        <v>5</v>
      </c>
      <c r="C66" s="341" t="s">
        <v>316</v>
      </c>
      <c r="D66" s="342"/>
      <c r="E66" s="342"/>
      <c r="F66" s="343"/>
    </row>
    <row r="67" spans="1:12" x14ac:dyDescent="0.3">
      <c r="A67"/>
      <c r="B67" s="95" t="s">
        <v>7</v>
      </c>
      <c r="C67" s="262">
        <v>12</v>
      </c>
      <c r="D67" s="97">
        <f>C67+12</f>
        <v>24</v>
      </c>
      <c r="E67" s="97">
        <f>D67+12</f>
        <v>36</v>
      </c>
      <c r="F67" s="97">
        <f>E67+12</f>
        <v>48</v>
      </c>
    </row>
    <row r="68" spans="1:12" x14ac:dyDescent="0.3">
      <c r="A68"/>
      <c r="B68" s="95">
        <v>2016</v>
      </c>
      <c r="C68" s="96">
        <f>C14</f>
        <v>9730</v>
      </c>
      <c r="D68" s="96">
        <f>D14</f>
        <v>14580</v>
      </c>
      <c r="E68" s="96">
        <f>E14</f>
        <v>17430</v>
      </c>
      <c r="F68" s="96">
        <f>F14</f>
        <v>18300</v>
      </c>
    </row>
    <row r="69" spans="1:12" x14ac:dyDescent="0.3">
      <c r="A69"/>
      <c r="B69" s="95">
        <f>B68+1</f>
        <v>2017</v>
      </c>
      <c r="C69" s="106">
        <f>C15+F56/1000</f>
        <v>9461</v>
      </c>
      <c r="D69" s="106">
        <f>D15+F57/1000</f>
        <v>15345</v>
      </c>
      <c r="E69" s="106">
        <f>E15+F58/1000</f>
        <v>18435</v>
      </c>
      <c r="F69" s="97"/>
    </row>
    <row r="70" spans="1:12" x14ac:dyDescent="0.3">
      <c r="A70"/>
      <c r="B70" s="95">
        <f t="shared" ref="B70:B71" si="5">B69+1</f>
        <v>2018</v>
      </c>
      <c r="C70" s="96">
        <f>C16</f>
        <v>10940</v>
      </c>
      <c r="D70" s="96">
        <f>D16</f>
        <v>16090</v>
      </c>
      <c r="E70" s="97"/>
      <c r="F70" s="97"/>
    </row>
    <row r="71" spans="1:12" x14ac:dyDescent="0.3">
      <c r="A71"/>
      <c r="B71" s="95">
        <f t="shared" si="5"/>
        <v>2019</v>
      </c>
      <c r="C71" s="96">
        <f>C17</f>
        <v>11100</v>
      </c>
      <c r="D71" s="97"/>
      <c r="E71" s="97"/>
      <c r="F71" s="97"/>
    </row>
    <row r="72" spans="1:12" x14ac:dyDescent="0.3">
      <c r="A72"/>
      <c r="B72" s="103"/>
      <c r="C72" s="103"/>
      <c r="D72" s="103"/>
      <c r="E72" s="103"/>
      <c r="F72" s="104"/>
    </row>
    <row r="73" spans="1:12" x14ac:dyDescent="0.3">
      <c r="A73"/>
      <c r="B73" s="261" t="s">
        <v>5</v>
      </c>
      <c r="C73" s="341" t="s">
        <v>317</v>
      </c>
      <c r="D73" s="342"/>
      <c r="E73" s="342"/>
      <c r="F73" s="343"/>
    </row>
    <row r="74" spans="1:12" x14ac:dyDescent="0.3">
      <c r="A74"/>
      <c r="B74" s="95" t="s">
        <v>7</v>
      </c>
      <c r="C74" s="262">
        <v>12</v>
      </c>
      <c r="D74" s="97">
        <f>C74+12</f>
        <v>24</v>
      </c>
      <c r="E74" s="97">
        <f>D74+12</f>
        <v>36</v>
      </c>
      <c r="F74" s="97">
        <f>E74+12</f>
        <v>48</v>
      </c>
    </row>
    <row r="75" spans="1:12" x14ac:dyDescent="0.3">
      <c r="A75"/>
      <c r="B75" s="95">
        <v>2016</v>
      </c>
      <c r="C75" s="96">
        <f>C21</f>
        <v>3070</v>
      </c>
      <c r="D75" s="96">
        <f>D21</f>
        <v>1800</v>
      </c>
      <c r="E75" s="96">
        <f>E21</f>
        <v>920</v>
      </c>
      <c r="F75" s="96">
        <f>F21</f>
        <v>380</v>
      </c>
    </row>
    <row r="76" spans="1:12" x14ac:dyDescent="0.3">
      <c r="A76"/>
      <c r="B76" s="95">
        <f>B75+1</f>
        <v>2017</v>
      </c>
      <c r="C76" s="106">
        <f>C22+F61/1000</f>
        <v>4280</v>
      </c>
      <c r="D76" s="106">
        <f>D22+F62/1000</f>
        <v>2510</v>
      </c>
      <c r="E76" s="106">
        <f>E22+F63/1000</f>
        <v>1160</v>
      </c>
      <c r="F76" s="97"/>
    </row>
    <row r="77" spans="1:12" x14ac:dyDescent="0.3">
      <c r="A77"/>
      <c r="B77" s="95">
        <f t="shared" ref="B77:B78" si="6">B76+1</f>
        <v>2018</v>
      </c>
      <c r="C77" s="96">
        <f>C23</f>
        <v>4260</v>
      </c>
      <c r="D77" s="96">
        <f>D23</f>
        <v>2980</v>
      </c>
      <c r="E77" s="97"/>
      <c r="F77" s="97"/>
    </row>
    <row r="78" spans="1:12" x14ac:dyDescent="0.3">
      <c r="A78" s="100"/>
      <c r="B78" s="95">
        <f t="shared" si="6"/>
        <v>2019</v>
      </c>
      <c r="C78" s="96">
        <f>C24</f>
        <v>3620</v>
      </c>
      <c r="D78" s="97"/>
      <c r="E78" s="97"/>
      <c r="F78" s="97"/>
    </row>
    <row r="80" spans="1:12" x14ac:dyDescent="0.3">
      <c r="A80" s="7" t="s">
        <v>11</v>
      </c>
      <c r="B80" s="5" t="s">
        <v>24</v>
      </c>
      <c r="C80" s="5"/>
      <c r="D80" s="5"/>
      <c r="E80" s="5"/>
      <c r="F80" s="5"/>
      <c r="G80" s="5"/>
      <c r="H80" s="5"/>
      <c r="I80" s="5"/>
      <c r="J80" s="5"/>
      <c r="K80" s="5"/>
      <c r="L80" s="5"/>
    </row>
    <row r="81" spans="1:13" x14ac:dyDescent="0.3">
      <c r="A81" s="9"/>
      <c r="B81" s="5"/>
      <c r="C81" s="5"/>
      <c r="D81" s="5"/>
      <c r="E81" s="5"/>
      <c r="F81" s="5"/>
      <c r="G81" s="5"/>
      <c r="H81" s="5"/>
      <c r="I81" s="5"/>
      <c r="J81" s="5"/>
      <c r="K81" s="5"/>
      <c r="L81" s="5"/>
    </row>
    <row r="82" spans="1:13" x14ac:dyDescent="0.3">
      <c r="A82" s="11"/>
      <c r="B82" s="10"/>
      <c r="C82" s="10"/>
      <c r="D82" s="10"/>
      <c r="E82" s="10"/>
      <c r="F82" s="10"/>
      <c r="G82" s="10"/>
      <c r="H82" s="10"/>
      <c r="I82" s="10"/>
      <c r="J82" s="10"/>
      <c r="K82" s="10"/>
      <c r="L82" s="10"/>
      <c r="M82" s="10"/>
    </row>
    <row r="83" spans="1:13" x14ac:dyDescent="0.3">
      <c r="A83" s="10" t="s">
        <v>10</v>
      </c>
      <c r="B83" s="10"/>
      <c r="C83" s="10"/>
      <c r="D83" s="10"/>
      <c r="E83" s="10"/>
      <c r="F83" s="10"/>
      <c r="G83" s="10"/>
      <c r="H83" s="10"/>
      <c r="I83" s="10"/>
      <c r="J83" s="10"/>
      <c r="K83" s="10"/>
      <c r="L83" s="10"/>
      <c r="M83" s="10"/>
    </row>
    <row r="84" spans="1:13" x14ac:dyDescent="0.3">
      <c r="A84" s="10"/>
      <c r="B84" s="10"/>
      <c r="C84" s="10"/>
      <c r="D84" s="10"/>
      <c r="E84" s="10"/>
      <c r="F84" s="10"/>
      <c r="G84" s="10"/>
      <c r="H84" s="10"/>
      <c r="I84" s="10"/>
      <c r="J84" s="10"/>
      <c r="K84" s="10"/>
      <c r="L84" s="10"/>
      <c r="M84" s="10"/>
    </row>
    <row r="85" spans="1:13" x14ac:dyDescent="0.3">
      <c r="A85" s="10"/>
      <c r="B85" s="98" t="s">
        <v>319</v>
      </c>
      <c r="C85" s="98"/>
      <c r="D85" s="98"/>
      <c r="E85" s="98"/>
      <c r="F85" s="98"/>
      <c r="G85" s="98"/>
      <c r="H85" s="10"/>
      <c r="I85" s="105"/>
      <c r="J85" s="10"/>
      <c r="K85" s="10"/>
      <c r="L85" s="10"/>
      <c r="M85" s="10"/>
    </row>
    <row r="86" spans="1:13" x14ac:dyDescent="0.3">
      <c r="A86" s="10"/>
      <c r="B86" s="98"/>
      <c r="C86" s="98"/>
      <c r="D86" s="98"/>
      <c r="E86" s="98"/>
      <c r="F86" s="98"/>
      <c r="G86" s="98"/>
      <c r="H86" s="10"/>
      <c r="I86" s="10"/>
      <c r="J86" s="10"/>
      <c r="K86" s="10"/>
      <c r="L86" s="10"/>
      <c r="M86" s="10"/>
    </row>
    <row r="87" spans="1:13" x14ac:dyDescent="0.3">
      <c r="A87" s="10"/>
      <c r="B87" s="98" t="str">
        <f>"Case estimate at the end of 2018 = "&amp;TEXT(C77,"#,###")&amp;" + "&amp;TEXT(D76,"#,###")&amp;" + "&amp;TEXT(E75,"#,###")&amp;" ="</f>
        <v>Case estimate at the end of 2018 = 4,260 + 2,510 + 920 =</v>
      </c>
      <c r="C87" s="98"/>
      <c r="D87" s="98"/>
      <c r="E87" s="98"/>
      <c r="F87" s="98"/>
      <c r="G87" s="101">
        <f>C77+D76+E75</f>
        <v>7690</v>
      </c>
      <c r="H87" s="10"/>
      <c r="I87" s="10"/>
      <c r="J87" s="10"/>
      <c r="K87" s="10"/>
      <c r="L87" s="10"/>
      <c r="M87" s="10"/>
    </row>
    <row r="88" spans="1:13" x14ac:dyDescent="0.3">
      <c r="B88" s="98" t="str">
        <f>"Case estimate at the end of 2017 = "&amp;TEXT(C76,"#,###")&amp;" + "&amp;TEXT(D75,"#,###")&amp;" ="</f>
        <v>Case estimate at the end of 2017 = 4,280 + 1,800 =</v>
      </c>
      <c r="C88" s="98"/>
      <c r="D88" s="98"/>
      <c r="E88" s="98"/>
      <c r="F88" s="98"/>
      <c r="G88" s="101">
        <f>C76+D75</f>
        <v>6080</v>
      </c>
    </row>
    <row r="89" spans="1:13" x14ac:dyDescent="0.3">
      <c r="B89" s="98" t="str">
        <f>"Paid during 2018 = "&amp;TEXT(C70,"#,###")&amp;" + "&amp;TEXT(D69,"#,###")&amp;" – "&amp;TEXT(C69,"#,###")&amp;" + "&amp;TEXT(E68,"#,###")&amp;" – "&amp;TEXT(D68,"#,###")&amp;" ="</f>
        <v>Paid during 2018 = 10,940 + 15,345 – 9,461 + 17,430 – 14,580 =</v>
      </c>
      <c r="C89" s="98"/>
      <c r="D89" s="98"/>
      <c r="E89" s="98"/>
      <c r="F89" s="98"/>
      <c r="G89" s="101">
        <f>C70+D69-C69+E68-D68</f>
        <v>19674</v>
      </c>
    </row>
    <row r="90" spans="1:13" x14ac:dyDescent="0.3">
      <c r="B90" s="98" t="s">
        <v>318</v>
      </c>
      <c r="C90" s="98"/>
      <c r="D90" s="98"/>
      <c r="E90" s="98"/>
      <c r="F90" s="98"/>
      <c r="G90" s="101">
        <f>G87-G88+G89</f>
        <v>21284</v>
      </c>
    </row>
  </sheetData>
  <mergeCells count="10">
    <mergeCell ref="C73:F73"/>
    <mergeCell ref="C45:E45"/>
    <mergeCell ref="C46:E46"/>
    <mergeCell ref="C47:E47"/>
    <mergeCell ref="C48:E48"/>
    <mergeCell ref="C5:F5"/>
    <mergeCell ref="C12:F12"/>
    <mergeCell ref="C19:F19"/>
    <mergeCell ref="C32:F32"/>
    <mergeCell ref="C66:F66"/>
  </mergeCells>
  <pageMargins left="0.39370078740157483" right="0.39370078740157483" top="0.39370078740157483" bottom="0.39370078740157483" header="0.31496062992125984" footer="0.31496062992125984"/>
  <pageSetup scale="76" orientation="portrait" verticalDpi="1200" r:id="rId1"/>
  <headerFooter>
    <oddFooter>&amp;L&amp;F [&amp;A]&amp;R&amp;P of &amp;N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3E8C3-F240-4489-8BD9-42243DB5DF65}">
  <dimension ref="A1:R72"/>
  <sheetViews>
    <sheetView zoomScaleNormal="100" workbookViewId="0"/>
  </sheetViews>
  <sheetFormatPr defaultRowHeight="15.6" x14ac:dyDescent="0.3"/>
  <cols>
    <col min="1" max="1" width="8.88671875" style="2" customWidth="1"/>
    <col min="2" max="2" width="11.77734375" style="2" customWidth="1"/>
    <col min="3" max="3" width="22.88671875" style="2" customWidth="1"/>
    <col min="4" max="7" width="11.77734375" style="2" customWidth="1"/>
    <col min="8" max="8" width="8.88671875" style="2" customWidth="1"/>
    <col min="9" max="16384" width="8.88671875" style="2"/>
  </cols>
  <sheetData>
    <row r="1" spans="1:12" ht="17.399999999999999" x14ac:dyDescent="0.3">
      <c r="A1" s="3" t="s">
        <v>140</v>
      </c>
      <c r="B1" s="5"/>
      <c r="C1" s="23" t="s">
        <v>34</v>
      </c>
      <c r="D1" s="5"/>
      <c r="E1" s="5"/>
      <c r="F1" s="5"/>
      <c r="G1" s="5"/>
      <c r="H1" s="5"/>
      <c r="I1" s="5"/>
      <c r="J1" s="5"/>
      <c r="K1" s="5"/>
      <c r="L1" s="4"/>
    </row>
    <row r="2" spans="1:12" x14ac:dyDescent="0.3">
      <c r="A2" s="5"/>
      <c r="B2" s="5"/>
      <c r="C2" s="5"/>
      <c r="D2" s="5"/>
      <c r="E2" s="5"/>
      <c r="F2" s="5"/>
      <c r="G2" s="5"/>
      <c r="H2" s="5"/>
      <c r="I2" s="5"/>
      <c r="J2" s="5"/>
      <c r="K2" s="5"/>
      <c r="L2" s="4"/>
    </row>
    <row r="4" spans="1:12" x14ac:dyDescent="0.3">
      <c r="A4" s="6" t="s">
        <v>51</v>
      </c>
      <c r="B4" s="4"/>
      <c r="C4" s="4"/>
      <c r="D4" s="4"/>
      <c r="E4" s="4"/>
      <c r="F4" s="4"/>
      <c r="G4" s="4"/>
      <c r="H4" s="4"/>
      <c r="I4" s="4"/>
      <c r="J4" s="4"/>
      <c r="K4" s="4"/>
      <c r="L4" s="4"/>
    </row>
    <row r="5" spans="1:12" x14ac:dyDescent="0.3">
      <c r="A5" s="10"/>
      <c r="B5" s="10"/>
      <c r="C5" s="10"/>
      <c r="D5" s="10"/>
      <c r="E5" s="10"/>
      <c r="F5" s="10"/>
      <c r="G5" s="10"/>
      <c r="H5" s="10"/>
      <c r="I5" s="10"/>
      <c r="J5" s="10"/>
      <c r="K5" s="10"/>
      <c r="L5" s="10"/>
    </row>
    <row r="6" spans="1:12" x14ac:dyDescent="0.3">
      <c r="A6" s="6" t="s">
        <v>33</v>
      </c>
      <c r="B6" s="4"/>
      <c r="C6" s="4"/>
      <c r="D6" s="4"/>
      <c r="E6" s="4"/>
      <c r="F6" s="4"/>
      <c r="G6" s="4"/>
      <c r="H6" s="4"/>
      <c r="I6" s="4"/>
      <c r="J6" s="4"/>
      <c r="K6" s="4"/>
      <c r="L6" s="4"/>
    </row>
    <row r="7" spans="1:12" x14ac:dyDescent="0.3">
      <c r="A7" s="10"/>
      <c r="B7" s="10"/>
      <c r="C7" s="10"/>
      <c r="D7" s="10"/>
      <c r="E7" s="10"/>
      <c r="F7" s="10"/>
      <c r="G7" s="10"/>
      <c r="H7" s="10"/>
      <c r="I7" s="10"/>
      <c r="J7" s="10"/>
      <c r="K7" s="10"/>
      <c r="L7" s="10"/>
    </row>
    <row r="8" spans="1:12" x14ac:dyDescent="0.3">
      <c r="A8" s="5" t="s">
        <v>4</v>
      </c>
      <c r="B8" s="5"/>
      <c r="C8" s="5"/>
      <c r="D8" s="5"/>
      <c r="E8" s="5"/>
      <c r="F8" s="5"/>
      <c r="G8" s="5"/>
      <c r="H8" s="5"/>
      <c r="I8" s="5"/>
      <c r="J8" s="5"/>
      <c r="K8" s="5"/>
      <c r="L8" s="4"/>
    </row>
    <row r="9" spans="1:12" x14ac:dyDescent="0.3">
      <c r="A9" s="5"/>
      <c r="B9" s="5"/>
      <c r="C9" s="5"/>
      <c r="D9" s="5"/>
      <c r="E9" s="5"/>
      <c r="F9" s="5"/>
      <c r="G9" s="5"/>
      <c r="H9" s="5"/>
      <c r="I9" s="5"/>
      <c r="J9" s="5"/>
      <c r="K9" s="5"/>
      <c r="L9" s="4"/>
    </row>
    <row r="10" spans="1:12" x14ac:dyDescent="0.3">
      <c r="A10" s="5"/>
      <c r="B10" s="369" t="s">
        <v>141</v>
      </c>
      <c r="C10" s="369"/>
      <c r="D10" s="369" t="s">
        <v>129</v>
      </c>
      <c r="E10" s="369"/>
      <c r="F10" s="5"/>
      <c r="G10" s="5"/>
      <c r="H10" s="5"/>
      <c r="I10" s="5"/>
      <c r="J10" s="5"/>
      <c r="K10" s="5"/>
      <c r="L10" s="4"/>
    </row>
    <row r="11" spans="1:12" x14ac:dyDescent="0.3">
      <c r="A11" s="5"/>
      <c r="B11" s="372" t="s">
        <v>142</v>
      </c>
      <c r="C11" s="372"/>
      <c r="D11" s="373">
        <v>15000</v>
      </c>
      <c r="E11" s="373"/>
      <c r="F11" s="5"/>
      <c r="G11" s="5"/>
      <c r="H11" s="5"/>
      <c r="I11" s="5"/>
      <c r="J11" s="5"/>
      <c r="K11" s="5"/>
      <c r="L11" s="4"/>
    </row>
    <row r="12" spans="1:12" x14ac:dyDescent="0.3">
      <c r="A12" s="5"/>
      <c r="B12" s="372" t="s">
        <v>143</v>
      </c>
      <c r="C12" s="372"/>
      <c r="D12" s="373">
        <v>40000</v>
      </c>
      <c r="E12" s="373"/>
      <c r="F12" s="5"/>
      <c r="G12" s="5"/>
      <c r="H12" s="5"/>
      <c r="I12" s="5"/>
      <c r="J12" s="5"/>
      <c r="K12" s="5"/>
      <c r="L12" s="4"/>
    </row>
    <row r="13" spans="1:12" x14ac:dyDescent="0.3">
      <c r="A13" s="5"/>
      <c r="B13" s="372" t="s">
        <v>144</v>
      </c>
      <c r="C13" s="372"/>
      <c r="D13" s="373">
        <v>5000</v>
      </c>
      <c r="E13" s="373"/>
      <c r="F13" s="5"/>
      <c r="G13" s="5"/>
      <c r="H13" s="5"/>
      <c r="I13" s="5"/>
      <c r="J13" s="5"/>
      <c r="K13" s="5"/>
      <c r="L13" s="4"/>
    </row>
    <row r="14" spans="1:12" x14ac:dyDescent="0.3">
      <c r="A14" s="5"/>
      <c r="B14" s="372" t="s">
        <v>145</v>
      </c>
      <c r="C14" s="372"/>
      <c r="D14" s="373">
        <v>20000</v>
      </c>
      <c r="E14" s="373"/>
      <c r="F14" s="5"/>
      <c r="G14" s="5"/>
      <c r="H14" s="5"/>
      <c r="I14" s="5"/>
      <c r="J14" s="5"/>
      <c r="K14" s="5"/>
      <c r="L14" s="4"/>
    </row>
    <row r="15" spans="1:12" x14ac:dyDescent="0.3">
      <c r="A15" s="5"/>
      <c r="B15" s="5"/>
      <c r="C15" s="5"/>
      <c r="D15" s="5"/>
      <c r="E15" s="5"/>
      <c r="F15" s="5"/>
      <c r="G15" s="5"/>
      <c r="H15" s="5"/>
      <c r="I15" s="5"/>
      <c r="J15" s="5"/>
      <c r="K15" s="5"/>
      <c r="L15" s="4"/>
    </row>
    <row r="16" spans="1:12" ht="32.4" customHeight="1" x14ac:dyDescent="0.3">
      <c r="A16" s="5"/>
      <c r="B16" s="377" t="s">
        <v>146</v>
      </c>
      <c r="C16" s="377"/>
      <c r="D16" s="66" t="s">
        <v>147</v>
      </c>
      <c r="E16" s="377" t="s">
        <v>148</v>
      </c>
      <c r="F16" s="377"/>
      <c r="G16" s="66" t="s">
        <v>149</v>
      </c>
      <c r="H16" s="5"/>
      <c r="I16" s="5"/>
      <c r="J16" s="5"/>
      <c r="K16" s="5"/>
      <c r="L16" s="4"/>
    </row>
    <row r="17" spans="1:18" x14ac:dyDescent="0.3">
      <c r="A17" s="5"/>
      <c r="B17" s="378" t="s">
        <v>150</v>
      </c>
      <c r="C17" s="378"/>
      <c r="D17" s="21">
        <v>1400000</v>
      </c>
      <c r="E17" s="376">
        <v>0.1</v>
      </c>
      <c r="F17" s="376"/>
      <c r="G17" s="68">
        <v>0.5</v>
      </c>
      <c r="H17" s="5"/>
      <c r="I17" s="5"/>
      <c r="J17" s="5"/>
      <c r="K17" s="5"/>
      <c r="L17" s="4"/>
    </row>
    <row r="18" spans="1:18" x14ac:dyDescent="0.3">
      <c r="A18" s="5"/>
      <c r="B18" s="378" t="s">
        <v>151</v>
      </c>
      <c r="C18" s="378"/>
      <c r="D18" s="21">
        <v>1600000</v>
      </c>
      <c r="E18" s="376">
        <v>2</v>
      </c>
      <c r="F18" s="376"/>
      <c r="G18" s="68">
        <v>0.4</v>
      </c>
      <c r="H18" s="5"/>
      <c r="I18" s="5"/>
      <c r="J18" s="5"/>
      <c r="K18" s="5"/>
      <c r="L18" s="4"/>
    </row>
    <row r="19" spans="1:18" x14ac:dyDescent="0.3">
      <c r="A19" s="5"/>
      <c r="B19" s="378" t="s">
        <v>152</v>
      </c>
      <c r="C19" s="378"/>
      <c r="D19" s="21">
        <v>1000000</v>
      </c>
      <c r="E19" s="376">
        <v>1.5</v>
      </c>
      <c r="F19" s="376"/>
      <c r="G19" s="68">
        <v>0.3</v>
      </c>
      <c r="H19" s="5"/>
      <c r="I19" s="5"/>
      <c r="J19" s="5"/>
      <c r="K19" s="5"/>
      <c r="L19" s="4"/>
    </row>
    <row r="20" spans="1:18" x14ac:dyDescent="0.3">
      <c r="A20" s="5"/>
      <c r="B20" s="5"/>
      <c r="C20" s="5"/>
      <c r="D20" s="5"/>
      <c r="E20" s="5"/>
      <c r="F20" s="5"/>
      <c r="G20" s="5"/>
      <c r="H20" s="5"/>
      <c r="I20" s="5"/>
      <c r="J20" s="5"/>
      <c r="K20" s="5"/>
      <c r="L20" s="4"/>
    </row>
    <row r="21" spans="1:18" x14ac:dyDescent="0.3">
      <c r="A21" s="5"/>
      <c r="B21" s="42" t="s">
        <v>63</v>
      </c>
      <c r="C21" s="5" t="s">
        <v>292</v>
      </c>
      <c r="D21" s="5"/>
      <c r="E21" s="5"/>
      <c r="F21" s="5"/>
      <c r="G21" s="5"/>
      <c r="H21" s="5"/>
      <c r="I21" s="5"/>
      <c r="J21" s="5"/>
      <c r="K21" s="5"/>
      <c r="L21" s="4"/>
    </row>
    <row r="22" spans="1:18" x14ac:dyDescent="0.3">
      <c r="A22" s="23"/>
      <c r="B22" s="23"/>
      <c r="C22" s="23"/>
      <c r="D22" s="23"/>
      <c r="E22" s="23"/>
      <c r="F22" s="23"/>
      <c r="G22" s="23"/>
      <c r="H22" s="23"/>
      <c r="I22" s="23"/>
      <c r="J22" s="23"/>
      <c r="K22" s="23"/>
      <c r="L22" s="23"/>
    </row>
    <row r="23" spans="1:18" x14ac:dyDescent="0.3">
      <c r="A23" s="10"/>
      <c r="B23" s="10"/>
      <c r="C23" s="10"/>
      <c r="D23" s="10"/>
      <c r="E23" s="10"/>
      <c r="F23" s="10"/>
      <c r="G23" s="10"/>
      <c r="H23" s="10"/>
      <c r="I23" s="10"/>
      <c r="J23" s="10"/>
      <c r="K23" s="10"/>
      <c r="L23" s="10"/>
    </row>
    <row r="24" spans="1:18" x14ac:dyDescent="0.3">
      <c r="A24" s="10"/>
      <c r="B24" s="10"/>
      <c r="C24" s="10"/>
      <c r="D24" s="10"/>
      <c r="E24" s="10"/>
      <c r="F24" s="10"/>
      <c r="G24" s="10"/>
      <c r="H24" s="10"/>
      <c r="I24" s="10"/>
      <c r="J24" s="10"/>
      <c r="K24" s="10"/>
      <c r="L24" s="10"/>
    </row>
    <row r="25" spans="1:18" x14ac:dyDescent="0.3">
      <c r="A25" s="7" t="s">
        <v>9</v>
      </c>
      <c r="B25" s="5" t="s">
        <v>153</v>
      </c>
      <c r="C25" s="5"/>
      <c r="D25" s="5"/>
      <c r="E25" s="5"/>
      <c r="F25" s="5"/>
      <c r="G25" s="5"/>
      <c r="H25" s="5"/>
      <c r="I25" s="5"/>
      <c r="J25" s="5"/>
      <c r="K25" s="5"/>
      <c r="L25" s="5"/>
      <c r="M25" s="12"/>
      <c r="N25" s="12"/>
      <c r="O25" s="12"/>
      <c r="P25" s="12"/>
      <c r="Q25" s="12"/>
      <c r="R25" s="12"/>
    </row>
    <row r="26" spans="1:18" x14ac:dyDescent="0.3">
      <c r="A26" s="7"/>
      <c r="B26" s="5"/>
      <c r="C26" s="5"/>
      <c r="D26" s="5"/>
      <c r="E26" s="5"/>
      <c r="F26" s="5"/>
      <c r="G26" s="5"/>
      <c r="H26" s="5"/>
      <c r="I26" s="5"/>
      <c r="J26" s="5"/>
      <c r="K26" s="5"/>
      <c r="L26" s="5"/>
      <c r="M26" s="12"/>
      <c r="N26" s="12"/>
      <c r="O26" s="12"/>
      <c r="P26" s="12"/>
      <c r="Q26" s="12"/>
      <c r="R26" s="12"/>
    </row>
    <row r="27" spans="1:18" x14ac:dyDescent="0.3">
      <c r="A27" s="7"/>
      <c r="B27" s="5" t="s">
        <v>16</v>
      </c>
      <c r="C27" s="5" t="s">
        <v>154</v>
      </c>
      <c r="D27" s="5"/>
      <c r="E27" s="5"/>
      <c r="F27" s="5"/>
      <c r="G27" s="5"/>
      <c r="H27" s="5"/>
      <c r="I27" s="5"/>
      <c r="J27" s="5"/>
      <c r="K27" s="5"/>
      <c r="L27" s="5"/>
      <c r="M27" s="12"/>
      <c r="N27" s="12"/>
      <c r="O27" s="12"/>
      <c r="P27" s="12"/>
      <c r="Q27" s="12"/>
      <c r="R27" s="12"/>
    </row>
    <row r="28" spans="1:18" x14ac:dyDescent="0.3">
      <c r="A28" s="7"/>
      <c r="B28" s="5"/>
      <c r="C28" s="5"/>
      <c r="D28" s="5"/>
      <c r="E28" s="5"/>
      <c r="F28" s="5"/>
      <c r="G28" s="5"/>
      <c r="H28" s="5"/>
      <c r="I28" s="5"/>
      <c r="J28" s="5"/>
      <c r="K28" s="5"/>
      <c r="L28" s="5"/>
      <c r="M28" s="12"/>
      <c r="N28" s="12"/>
      <c r="O28" s="12"/>
      <c r="P28" s="12"/>
      <c r="Q28" s="12"/>
      <c r="R28" s="12"/>
    </row>
    <row r="29" spans="1:18" x14ac:dyDescent="0.3">
      <c r="A29" s="7"/>
      <c r="B29" s="5" t="s">
        <v>17</v>
      </c>
      <c r="C29" s="5" t="s">
        <v>155</v>
      </c>
      <c r="D29" s="5"/>
      <c r="E29" s="5"/>
      <c r="F29" s="5"/>
      <c r="G29" s="5"/>
      <c r="H29" s="5"/>
      <c r="I29" s="5"/>
      <c r="J29" s="5"/>
      <c r="K29" s="5"/>
      <c r="L29" s="5"/>
      <c r="M29" s="12"/>
      <c r="N29" s="12"/>
      <c r="O29" s="12"/>
      <c r="P29" s="12"/>
      <c r="Q29" s="12"/>
      <c r="R29" s="12"/>
    </row>
    <row r="30" spans="1:18" x14ac:dyDescent="0.3">
      <c r="A30" s="7"/>
      <c r="B30" s="5"/>
      <c r="C30" s="5"/>
      <c r="D30" s="5"/>
      <c r="E30" s="5"/>
      <c r="F30" s="5"/>
      <c r="G30" s="5"/>
      <c r="H30" s="5"/>
      <c r="I30" s="5"/>
      <c r="J30" s="5"/>
      <c r="K30" s="5"/>
      <c r="L30" s="5"/>
      <c r="M30" s="12"/>
      <c r="N30" s="12"/>
      <c r="O30" s="12"/>
      <c r="P30" s="12"/>
      <c r="Q30" s="12"/>
      <c r="R30" s="12"/>
    </row>
    <row r="31" spans="1:18" x14ac:dyDescent="0.3">
      <c r="A31" s="7"/>
      <c r="B31" s="5" t="s">
        <v>57</v>
      </c>
      <c r="C31" s="5" t="s">
        <v>156</v>
      </c>
      <c r="D31" s="5"/>
      <c r="E31" s="5"/>
      <c r="F31" s="5"/>
      <c r="G31" s="5"/>
      <c r="H31" s="5"/>
      <c r="I31" s="5"/>
      <c r="J31" s="5"/>
      <c r="K31" s="5"/>
      <c r="L31" s="5"/>
      <c r="M31" s="12"/>
      <c r="N31" s="12"/>
      <c r="O31" s="12"/>
      <c r="P31" s="12"/>
      <c r="Q31" s="12"/>
      <c r="R31" s="12"/>
    </row>
    <row r="32" spans="1:18" x14ac:dyDescent="0.3">
      <c r="A32" s="4"/>
      <c r="B32" s="4"/>
      <c r="C32" s="4"/>
      <c r="D32" s="4"/>
      <c r="E32" s="4"/>
      <c r="F32" s="4"/>
      <c r="G32" s="5"/>
      <c r="H32" s="5"/>
      <c r="I32" s="5"/>
      <c r="J32" s="5"/>
      <c r="K32" s="5"/>
      <c r="L32" s="5"/>
    </row>
    <row r="33" spans="1:14" ht="15.6" customHeight="1" x14ac:dyDescent="0.3">
      <c r="A33" s="10"/>
      <c r="B33" s="10"/>
      <c r="C33" s="10"/>
      <c r="D33" s="10"/>
      <c r="E33" s="10"/>
      <c r="F33" s="10"/>
      <c r="G33" s="10"/>
      <c r="H33" s="10"/>
      <c r="I33" s="10"/>
      <c r="J33" s="10"/>
      <c r="K33" s="10"/>
      <c r="L33" s="10"/>
      <c r="M33" s="10"/>
    </row>
    <row r="34" spans="1:14" x14ac:dyDescent="0.3">
      <c r="A34" s="10" t="s">
        <v>10</v>
      </c>
      <c r="B34" s="10"/>
      <c r="C34" s="10"/>
      <c r="D34" s="10"/>
      <c r="E34" s="10"/>
      <c r="F34" s="10"/>
      <c r="G34" s="10"/>
      <c r="H34" s="10"/>
      <c r="I34" s="10"/>
      <c r="J34" s="10"/>
      <c r="K34" s="10"/>
      <c r="L34" s="10"/>
      <c r="M34" s="10"/>
      <c r="N34" s="12"/>
    </row>
    <row r="35" spans="1:14" x14ac:dyDescent="0.3">
      <c r="A35" s="103"/>
      <c r="B35" s="103" t="s">
        <v>428</v>
      </c>
      <c r="C35" s="103"/>
      <c r="D35" s="103"/>
      <c r="E35" s="264">
        <v>10000</v>
      </c>
      <c r="F35" s="103"/>
      <c r="G35" s="103"/>
      <c r="H35" s="103"/>
      <c r="I35" s="103"/>
      <c r="J35" s="10"/>
      <c r="K35" s="10"/>
      <c r="L35" s="10"/>
      <c r="M35" s="10"/>
      <c r="N35" s="12"/>
    </row>
    <row r="36" spans="1:14" x14ac:dyDescent="0.3">
      <c r="A36" s="103"/>
      <c r="B36" s="103"/>
      <c r="C36" s="103"/>
      <c r="D36" s="103"/>
      <c r="E36" s="103"/>
      <c r="F36" s="103"/>
      <c r="G36" s="103"/>
      <c r="H36" s="103"/>
      <c r="I36" s="103"/>
      <c r="J36" s="10"/>
      <c r="K36" s="10"/>
      <c r="L36" s="10"/>
      <c r="M36" s="10"/>
      <c r="N36" s="12"/>
    </row>
    <row r="37" spans="1:14" x14ac:dyDescent="0.3">
      <c r="A37" s="152"/>
      <c r="B37" s="152"/>
      <c r="C37" s="379" t="s">
        <v>141</v>
      </c>
      <c r="D37" s="381" t="s">
        <v>36</v>
      </c>
      <c r="E37" s="381"/>
      <c r="F37" s="381"/>
      <c r="G37" s="103"/>
      <c r="H37" s="103"/>
      <c r="I37" s="103"/>
      <c r="J37" s="10"/>
      <c r="K37" s="10"/>
      <c r="L37" s="10"/>
      <c r="M37" s="10"/>
      <c r="N37" s="12"/>
    </row>
    <row r="38" spans="1:14" x14ac:dyDescent="0.3">
      <c r="A38" s="152"/>
      <c r="B38" s="152"/>
      <c r="C38" s="380"/>
      <c r="D38" s="113" t="s">
        <v>2</v>
      </c>
      <c r="E38" s="113" t="s">
        <v>429</v>
      </c>
      <c r="F38" s="113" t="s">
        <v>430</v>
      </c>
      <c r="G38" s="103"/>
      <c r="H38" s="103"/>
      <c r="I38" s="103"/>
      <c r="J38" s="10"/>
      <c r="K38" s="10"/>
      <c r="L38" s="10"/>
      <c r="M38" s="10"/>
      <c r="N38" s="12"/>
    </row>
    <row r="39" spans="1:14" x14ac:dyDescent="0.3">
      <c r="A39" s="152"/>
      <c r="B39" s="152"/>
      <c r="C39" s="269" t="s">
        <v>142</v>
      </c>
      <c r="D39" s="266">
        <v>15000</v>
      </c>
      <c r="E39" s="266">
        <f>MIN(E35,D39)</f>
        <v>10000</v>
      </c>
      <c r="F39" s="266">
        <f>D39-E39</f>
        <v>5000</v>
      </c>
      <c r="G39" s="103"/>
      <c r="H39" s="103"/>
      <c r="I39" s="103"/>
      <c r="J39" s="10"/>
      <c r="K39" s="10"/>
      <c r="L39" s="10"/>
      <c r="M39" s="10"/>
      <c r="N39" s="12"/>
    </row>
    <row r="40" spans="1:14" x14ac:dyDescent="0.3">
      <c r="A40" s="152"/>
      <c r="B40" s="152"/>
      <c r="C40" s="269" t="s">
        <v>143</v>
      </c>
      <c r="D40" s="266">
        <v>40000</v>
      </c>
      <c r="E40" s="266">
        <f>MIN(E35,D40)</f>
        <v>10000</v>
      </c>
      <c r="F40" s="266">
        <f t="shared" ref="F40:F42" si="0">D40-E40</f>
        <v>30000</v>
      </c>
      <c r="G40" s="103"/>
      <c r="H40" s="103"/>
      <c r="I40" s="103"/>
      <c r="J40" s="10"/>
      <c r="K40" s="10"/>
      <c r="L40" s="10"/>
      <c r="M40" s="10"/>
      <c r="N40" s="12"/>
    </row>
    <row r="41" spans="1:14" x14ac:dyDescent="0.3">
      <c r="A41" s="152"/>
      <c r="B41" s="152"/>
      <c r="C41" s="269" t="s">
        <v>144</v>
      </c>
      <c r="D41" s="266">
        <v>5000</v>
      </c>
      <c r="E41" s="266">
        <f>MIN(E35,D41)</f>
        <v>5000</v>
      </c>
      <c r="F41" s="266">
        <f t="shared" si="0"/>
        <v>0</v>
      </c>
      <c r="G41" s="103"/>
      <c r="H41" s="103"/>
      <c r="I41" s="103"/>
      <c r="J41" s="10"/>
      <c r="K41" s="10"/>
      <c r="L41" s="10"/>
      <c r="M41" s="10"/>
      <c r="N41" s="12"/>
    </row>
    <row r="42" spans="1:14" x14ac:dyDescent="0.3">
      <c r="A42" s="152"/>
      <c r="B42" s="152"/>
      <c r="C42" s="113" t="s">
        <v>431</v>
      </c>
      <c r="D42" s="270">
        <v>20000</v>
      </c>
      <c r="E42" s="270">
        <f>D42</f>
        <v>20000</v>
      </c>
      <c r="F42" s="270">
        <f t="shared" si="0"/>
        <v>0</v>
      </c>
      <c r="G42" s="103"/>
      <c r="H42" s="103"/>
      <c r="I42" s="103"/>
      <c r="J42" s="10"/>
      <c r="K42" s="10"/>
      <c r="L42" s="10"/>
      <c r="M42" s="10"/>
      <c r="N42" s="12"/>
    </row>
    <row r="43" spans="1:14" x14ac:dyDescent="0.3">
      <c r="A43" s="152"/>
      <c r="B43" s="152"/>
      <c r="C43" s="269" t="s">
        <v>323</v>
      </c>
      <c r="D43" s="266">
        <f>SUM(D39:D42)</f>
        <v>80000</v>
      </c>
      <c r="E43" s="266">
        <f>SUM(E39:E42)</f>
        <v>45000</v>
      </c>
      <c r="F43" s="266">
        <f>SUM(F39:F42)</f>
        <v>35000</v>
      </c>
      <c r="G43" s="103"/>
      <c r="H43" s="103"/>
      <c r="I43" s="103"/>
      <c r="J43" s="10"/>
      <c r="K43" s="10"/>
      <c r="L43" s="10"/>
      <c r="M43" s="10"/>
      <c r="N43" s="12"/>
    </row>
    <row r="44" spans="1:14" x14ac:dyDescent="0.3">
      <c r="A44" s="152"/>
      <c r="B44" s="152"/>
      <c r="C44" s="152"/>
      <c r="D44" s="152"/>
      <c r="E44" s="152"/>
      <c r="F44" s="152"/>
      <c r="G44" s="103"/>
      <c r="H44" s="103"/>
      <c r="I44" s="103"/>
      <c r="J44" s="10"/>
      <c r="K44" s="10"/>
      <c r="L44" s="10"/>
      <c r="M44" s="10"/>
      <c r="N44" s="12"/>
    </row>
    <row r="45" spans="1:14" x14ac:dyDescent="0.3">
      <c r="A45" s="152"/>
      <c r="B45" s="152"/>
      <c r="C45" s="152"/>
      <c r="D45" s="152"/>
      <c r="E45" s="381" t="s">
        <v>325</v>
      </c>
      <c r="F45" s="381"/>
      <c r="G45" s="103"/>
      <c r="H45" s="103"/>
      <c r="I45" s="103"/>
      <c r="J45" s="10"/>
      <c r="K45" s="10"/>
      <c r="L45" s="10"/>
      <c r="M45" s="10"/>
      <c r="N45" s="12"/>
    </row>
    <row r="46" spans="1:14" x14ac:dyDescent="0.3">
      <c r="A46" s="146" t="s">
        <v>432</v>
      </c>
      <c r="B46" s="146" t="s">
        <v>147</v>
      </c>
      <c r="C46" s="146" t="s">
        <v>433</v>
      </c>
      <c r="D46" s="146" t="s">
        <v>149</v>
      </c>
      <c r="E46" s="146" t="s">
        <v>429</v>
      </c>
      <c r="F46" s="146" t="s">
        <v>430</v>
      </c>
      <c r="G46" s="103"/>
      <c r="H46" s="103"/>
      <c r="I46" s="103"/>
      <c r="J46" s="10"/>
      <c r="K46" s="10"/>
      <c r="L46" s="10"/>
      <c r="M46" s="10"/>
      <c r="N46" s="12"/>
    </row>
    <row r="47" spans="1:14" x14ac:dyDescent="0.3">
      <c r="A47" s="269" t="s">
        <v>150</v>
      </c>
      <c r="B47" s="266">
        <v>1400000</v>
      </c>
      <c r="C47" s="271">
        <v>0.1</v>
      </c>
      <c r="D47" s="271">
        <v>0.5</v>
      </c>
      <c r="E47" s="266">
        <f>C47*B47/100*D47</f>
        <v>700</v>
      </c>
      <c r="F47" s="266">
        <f>(C47)*B47/100*(1-D47)</f>
        <v>700</v>
      </c>
      <c r="G47" s="103"/>
      <c r="H47" s="103"/>
      <c r="I47" s="103"/>
      <c r="J47" s="10"/>
      <c r="K47" s="10"/>
      <c r="L47" s="10"/>
      <c r="M47" s="10"/>
      <c r="N47" s="12"/>
    </row>
    <row r="48" spans="1:14" x14ac:dyDescent="0.3">
      <c r="A48" s="269" t="s">
        <v>151</v>
      </c>
      <c r="B48" s="266">
        <v>1600000</v>
      </c>
      <c r="C48" s="271">
        <v>2</v>
      </c>
      <c r="D48" s="271">
        <v>0.4</v>
      </c>
      <c r="E48" s="266">
        <f>C48*B48/100*D48</f>
        <v>12800</v>
      </c>
      <c r="F48" s="266">
        <f t="shared" ref="F48:F49" si="1">(C48)*B48/100*(1-D48)</f>
        <v>19200</v>
      </c>
      <c r="G48" s="103"/>
      <c r="H48" s="103"/>
      <c r="I48" s="103"/>
      <c r="J48" s="10"/>
      <c r="K48" s="10"/>
      <c r="L48" s="10"/>
      <c r="M48" s="10"/>
      <c r="N48" s="12"/>
    </row>
    <row r="49" spans="1:14" x14ac:dyDescent="0.3">
      <c r="A49" s="113" t="s">
        <v>152</v>
      </c>
      <c r="B49" s="270">
        <v>1000000</v>
      </c>
      <c r="C49" s="272">
        <v>1.5</v>
      </c>
      <c r="D49" s="272">
        <v>0.3</v>
      </c>
      <c r="E49" s="270">
        <f>C49*B49/100*D49</f>
        <v>4500</v>
      </c>
      <c r="F49" s="270">
        <f t="shared" si="1"/>
        <v>10500</v>
      </c>
      <c r="G49" s="103"/>
      <c r="H49" s="103"/>
      <c r="I49" s="103"/>
      <c r="J49" s="10"/>
      <c r="K49" s="10"/>
      <c r="L49" s="10"/>
      <c r="M49" s="10"/>
      <c r="N49" s="12"/>
    </row>
    <row r="50" spans="1:14" x14ac:dyDescent="0.3">
      <c r="A50" s="269" t="s">
        <v>323</v>
      </c>
      <c r="B50" s="152"/>
      <c r="C50" s="152"/>
      <c r="D50" s="152"/>
      <c r="E50" s="266">
        <f>SUM(E47:E49)</f>
        <v>18000</v>
      </c>
      <c r="F50" s="266">
        <f>SUM(F47:F49)</f>
        <v>30400</v>
      </c>
      <c r="G50" s="103"/>
      <c r="H50" s="103"/>
      <c r="I50" s="103"/>
      <c r="J50" s="10"/>
      <c r="K50" s="10"/>
      <c r="L50" s="10"/>
      <c r="M50" s="10"/>
      <c r="N50" s="12"/>
    </row>
    <row r="51" spans="1:14" x14ac:dyDescent="0.3">
      <c r="A51" s="152"/>
      <c r="B51" s="152"/>
      <c r="C51" s="152"/>
      <c r="D51" s="152"/>
      <c r="E51" s="152"/>
      <c r="F51" s="152"/>
      <c r="G51" s="103"/>
      <c r="H51" s="103"/>
      <c r="I51" s="103"/>
      <c r="J51" s="10"/>
      <c r="K51" s="10"/>
      <c r="L51" s="10"/>
      <c r="M51" s="10"/>
      <c r="N51" s="12"/>
    </row>
    <row r="52" spans="1:14" x14ac:dyDescent="0.3">
      <c r="A52" s="268" t="s">
        <v>16</v>
      </c>
      <c r="B52" s="200">
        <f>E43</f>
        <v>45000</v>
      </c>
      <c r="C52" s="103"/>
      <c r="D52" s="103"/>
      <c r="E52" s="103"/>
      <c r="F52" s="103"/>
      <c r="G52" s="103"/>
      <c r="H52" s="103"/>
      <c r="I52" s="103"/>
      <c r="J52" s="10"/>
      <c r="K52" s="10"/>
      <c r="L52" s="10"/>
      <c r="M52" s="10"/>
      <c r="N52" s="12"/>
    </row>
    <row r="53" spans="1:14" x14ac:dyDescent="0.3">
      <c r="A53" s="266" t="s">
        <v>17</v>
      </c>
      <c r="B53" s="200">
        <f>E50</f>
        <v>18000</v>
      </c>
      <c r="C53" s="103"/>
      <c r="D53" s="103"/>
      <c r="E53" s="103"/>
      <c r="F53" s="103"/>
      <c r="G53" s="103"/>
      <c r="H53" s="103"/>
      <c r="I53" s="103"/>
      <c r="J53" s="10"/>
      <c r="K53" s="10"/>
      <c r="L53" s="10"/>
      <c r="M53" s="10"/>
      <c r="N53" s="12"/>
    </row>
    <row r="54" spans="1:14" x14ac:dyDescent="0.3">
      <c r="A54" s="267" t="s">
        <v>57</v>
      </c>
      <c r="B54" s="200">
        <f>F49</f>
        <v>10500</v>
      </c>
      <c r="C54" s="103"/>
      <c r="D54" s="103"/>
      <c r="E54" s="103"/>
      <c r="F54" s="103"/>
      <c r="G54" s="103"/>
      <c r="H54" s="103"/>
      <c r="I54" s="103"/>
      <c r="J54" s="10"/>
      <c r="K54" s="10"/>
      <c r="L54" s="10"/>
      <c r="M54" s="10"/>
      <c r="N54" s="12"/>
    </row>
    <row r="55" spans="1:14" x14ac:dyDescent="0.3">
      <c r="M55" s="12"/>
      <c r="N55" s="12"/>
    </row>
    <row r="56" spans="1:14" ht="15.6" customHeight="1" x14ac:dyDescent="0.3">
      <c r="A56" s="5" t="s">
        <v>157</v>
      </c>
      <c r="B56" s="5"/>
      <c r="C56" s="5"/>
      <c r="D56" s="5"/>
      <c r="E56" s="5"/>
      <c r="F56" s="5"/>
      <c r="G56" s="5"/>
      <c r="H56" s="5"/>
      <c r="I56" s="5"/>
      <c r="J56" s="5"/>
      <c r="K56" s="5"/>
      <c r="L56" s="4"/>
      <c r="M56" s="12"/>
      <c r="N56" s="12"/>
    </row>
    <row r="57" spans="1:14" x14ac:dyDescent="0.3">
      <c r="A57" s="5"/>
      <c r="B57" s="5"/>
      <c r="C57" s="5"/>
      <c r="D57" s="5"/>
      <c r="E57" s="5"/>
      <c r="F57" s="5"/>
      <c r="G57" s="5"/>
      <c r="H57" s="5"/>
      <c r="I57" s="5"/>
      <c r="J57" s="5"/>
      <c r="K57" s="5"/>
      <c r="L57" s="4"/>
      <c r="M57" s="12"/>
      <c r="N57" s="12"/>
    </row>
    <row r="58" spans="1:14" x14ac:dyDescent="0.3">
      <c r="A58" s="5"/>
      <c r="B58" s="5"/>
      <c r="C58" s="69"/>
      <c r="D58" s="5"/>
      <c r="E58" s="5"/>
      <c r="F58" s="5"/>
      <c r="G58" s="5"/>
      <c r="H58" s="5"/>
      <c r="I58" s="5"/>
      <c r="J58" s="5"/>
      <c r="K58" s="5"/>
      <c r="L58" s="4"/>
      <c r="M58" s="12"/>
      <c r="N58" s="12"/>
    </row>
    <row r="59" spans="1:14" x14ac:dyDescent="0.3">
      <c r="A59" s="5"/>
      <c r="B59" s="5"/>
      <c r="C59" s="5"/>
      <c r="D59" s="5"/>
      <c r="E59" s="5"/>
      <c r="F59" s="5"/>
      <c r="G59" s="5"/>
      <c r="H59" s="5"/>
      <c r="I59" s="5"/>
      <c r="J59" s="5"/>
      <c r="K59" s="5"/>
      <c r="L59" s="4"/>
      <c r="M59" s="12"/>
      <c r="N59" s="12"/>
    </row>
    <row r="60" spans="1:14" x14ac:dyDescent="0.3">
      <c r="A60" s="5"/>
      <c r="B60" s="5"/>
      <c r="C60" s="5"/>
      <c r="D60" s="5"/>
      <c r="E60" s="5"/>
      <c r="F60" s="5"/>
      <c r="G60" s="5"/>
      <c r="H60" s="5"/>
      <c r="I60" s="5"/>
      <c r="J60" s="5"/>
      <c r="K60" s="5"/>
      <c r="L60" s="4"/>
      <c r="M60" s="12"/>
      <c r="N60" s="12"/>
    </row>
    <row r="62" spans="1:14" x14ac:dyDescent="0.3">
      <c r="A62" s="7" t="s">
        <v>11</v>
      </c>
      <c r="B62" s="5" t="s">
        <v>158</v>
      </c>
      <c r="C62" s="5"/>
      <c r="D62" s="5"/>
      <c r="E62" s="5"/>
      <c r="F62" s="5"/>
      <c r="G62" s="5"/>
      <c r="H62" s="5"/>
      <c r="I62" s="5"/>
      <c r="J62" s="5"/>
      <c r="K62" s="5"/>
      <c r="L62" s="5"/>
    </row>
    <row r="63" spans="1:14" x14ac:dyDescent="0.3">
      <c r="A63" s="4"/>
      <c r="B63" s="4"/>
      <c r="C63" s="4"/>
      <c r="D63" s="4"/>
      <c r="E63" s="4"/>
      <c r="F63" s="4"/>
      <c r="G63" s="5"/>
      <c r="H63" s="5"/>
      <c r="I63" s="5"/>
      <c r="J63" s="5"/>
      <c r="K63" s="5"/>
      <c r="L63" s="5"/>
    </row>
    <row r="64" spans="1:14" x14ac:dyDescent="0.3">
      <c r="A64" s="10"/>
      <c r="B64" s="10"/>
      <c r="C64" s="10"/>
      <c r="D64" s="10"/>
      <c r="E64" s="10"/>
      <c r="F64" s="10"/>
      <c r="G64" s="10"/>
      <c r="H64" s="10"/>
      <c r="I64" s="10"/>
      <c r="J64" s="10"/>
      <c r="K64" s="10"/>
      <c r="L64" s="10"/>
    </row>
    <row r="65" spans="1:12" x14ac:dyDescent="0.3">
      <c r="A65" s="10" t="s">
        <v>10</v>
      </c>
      <c r="B65" s="10"/>
      <c r="C65" s="10"/>
      <c r="D65" s="10"/>
      <c r="E65" s="10"/>
      <c r="F65" s="10"/>
      <c r="G65" s="10"/>
      <c r="H65" s="10"/>
      <c r="I65" s="10"/>
      <c r="J65" s="10"/>
      <c r="K65" s="10"/>
      <c r="L65" s="10"/>
    </row>
    <row r="66" spans="1:12" x14ac:dyDescent="0.3">
      <c r="A66" s="98"/>
      <c r="B66" s="98"/>
      <c r="C66" s="103"/>
      <c r="D66" s="103"/>
      <c r="E66" s="10"/>
      <c r="F66" s="10"/>
      <c r="G66" s="10"/>
      <c r="H66" s="10"/>
      <c r="I66" s="10"/>
      <c r="J66" s="10"/>
      <c r="K66" s="10"/>
      <c r="L66" s="10"/>
    </row>
    <row r="67" spans="1:12" x14ac:dyDescent="0.3">
      <c r="A67" s="98" t="s">
        <v>434</v>
      </c>
      <c r="B67" s="98">
        <v>0.5</v>
      </c>
      <c r="C67" s="103"/>
      <c r="D67" s="103"/>
      <c r="E67" s="10"/>
      <c r="F67" s="10"/>
      <c r="G67" s="10"/>
      <c r="H67" s="10"/>
      <c r="I67" s="10"/>
      <c r="J67" s="10"/>
      <c r="K67" s="10"/>
      <c r="L67" s="10"/>
    </row>
    <row r="68" spans="1:12" x14ac:dyDescent="0.3">
      <c r="A68" s="98" t="s">
        <v>435</v>
      </c>
      <c r="B68" s="200">
        <v>50000</v>
      </c>
      <c r="C68" s="103"/>
      <c r="D68" s="103"/>
      <c r="E68" s="10"/>
      <c r="F68" s="10"/>
      <c r="G68" s="10"/>
      <c r="H68" s="10"/>
      <c r="I68" s="10"/>
      <c r="J68" s="10"/>
      <c r="K68" s="10"/>
      <c r="L68" s="10"/>
    </row>
    <row r="69" spans="1:12" x14ac:dyDescent="0.3">
      <c r="A69" s="98" t="s">
        <v>436</v>
      </c>
      <c r="B69" s="263">
        <f>(E43+(1-B67)*F50+B68+B67*F43)/(E50+(1-B67)*F50+B68+B67*F50)</f>
        <v>1.2977642276422765</v>
      </c>
      <c r="C69" s="103"/>
      <c r="D69" s="103"/>
      <c r="E69" s="10"/>
      <c r="F69" s="10"/>
      <c r="G69" s="10"/>
      <c r="H69" s="10"/>
      <c r="I69" s="10"/>
      <c r="J69" s="10"/>
      <c r="K69" s="10"/>
      <c r="L69" s="10"/>
    </row>
    <row r="71" spans="1:12" x14ac:dyDescent="0.3">
      <c r="A71" s="6" t="s">
        <v>82</v>
      </c>
      <c r="B71" s="4"/>
      <c r="C71" s="4"/>
      <c r="D71" s="4"/>
      <c r="E71" s="4"/>
      <c r="F71" s="4"/>
      <c r="G71" s="4"/>
      <c r="H71" s="4"/>
      <c r="I71" s="4"/>
      <c r="J71" s="4"/>
      <c r="K71" s="4"/>
      <c r="L71" s="4"/>
    </row>
    <row r="72" spans="1:12" x14ac:dyDescent="0.3">
      <c r="A72" s="10"/>
      <c r="B72" s="10"/>
      <c r="C72" s="10"/>
      <c r="D72" s="10"/>
      <c r="E72" s="10"/>
      <c r="F72" s="10"/>
      <c r="G72" s="10"/>
      <c r="H72" s="10"/>
      <c r="I72" s="10"/>
      <c r="J72" s="10"/>
      <c r="K72" s="10"/>
      <c r="L72" s="10"/>
    </row>
  </sheetData>
  <mergeCells count="21">
    <mergeCell ref="C37:C38"/>
    <mergeCell ref="D37:F37"/>
    <mergeCell ref="E45:F45"/>
    <mergeCell ref="D10:E10"/>
    <mergeCell ref="D11:E11"/>
    <mergeCell ref="D12:E12"/>
    <mergeCell ref="D13:E13"/>
    <mergeCell ref="D14:E14"/>
    <mergeCell ref="B10:C10"/>
    <mergeCell ref="B11:C11"/>
    <mergeCell ref="B12:C12"/>
    <mergeCell ref="B13:C13"/>
    <mergeCell ref="B14:C14"/>
    <mergeCell ref="E16:F16"/>
    <mergeCell ref="E17:F17"/>
    <mergeCell ref="E18:F18"/>
    <mergeCell ref="E19:F19"/>
    <mergeCell ref="B16:C16"/>
    <mergeCell ref="B17:C17"/>
    <mergeCell ref="B18:C18"/>
    <mergeCell ref="B19:C19"/>
  </mergeCells>
  <pageMargins left="0.39370078740157483" right="0.39370078740157483" top="0.39370078740157483" bottom="0.39370078740157483" header="0.31496062992125984" footer="0.31496062992125984"/>
  <pageSetup scale="79" orientation="portrait" verticalDpi="1200" r:id="rId1"/>
  <headerFooter>
    <oddFooter>&amp;L&amp;F [&amp;A]&amp;R&amp;P of &amp;N</oddFooter>
  </headerFooter>
  <drawing r:id="rId2"/>
  <legacyDrawing r:id="rId3"/>
  <oleObjects>
    <mc:AlternateContent xmlns:mc="http://schemas.openxmlformats.org/markup-compatibility/2006">
      <mc:Choice Requires="x14">
        <oleObject progId="Equation.DSMT4" shapeId="12289" r:id="rId4">
          <objectPr defaultSize="0" autoPict="0" r:id="rId5">
            <anchor moveWithCells="1" sizeWithCells="1">
              <from>
                <xdr:col>1</xdr:col>
                <xdr:colOff>76200</xdr:colOff>
                <xdr:row>56</xdr:row>
                <xdr:rowOff>152400</xdr:rowOff>
              </from>
              <to>
                <xdr:col>3</xdr:col>
                <xdr:colOff>777240</xdr:colOff>
                <xdr:row>58</xdr:row>
                <xdr:rowOff>182880</xdr:rowOff>
              </to>
            </anchor>
          </objectPr>
        </oleObject>
      </mc:Choice>
      <mc:Fallback>
        <oleObject progId="Equation.DSMT4" shapeId="12289" r:id="rId4"/>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A4F3E-27C5-4AD7-91B7-D7A47639E8AD}">
  <dimension ref="A1:R65"/>
  <sheetViews>
    <sheetView zoomScaleNormal="100" workbookViewId="0"/>
  </sheetViews>
  <sheetFormatPr defaultRowHeight="15.6" x14ac:dyDescent="0.3"/>
  <cols>
    <col min="1" max="1" width="8.88671875" style="2" customWidth="1"/>
    <col min="2" max="2" width="12.33203125" style="2" customWidth="1"/>
    <col min="3" max="4" width="16.77734375" style="2" customWidth="1"/>
    <col min="5" max="6" width="13.33203125" style="2" customWidth="1"/>
    <col min="7" max="9" width="12.77734375" style="2" customWidth="1"/>
    <col min="10" max="16384" width="8.88671875" style="2"/>
  </cols>
  <sheetData>
    <row r="1" spans="1:12" ht="17.399999999999999" x14ac:dyDescent="0.3">
      <c r="A1" s="3" t="s">
        <v>159</v>
      </c>
      <c r="B1" s="5"/>
      <c r="C1" s="23" t="s">
        <v>160</v>
      </c>
      <c r="D1" s="5"/>
      <c r="E1" s="5"/>
      <c r="F1" s="5"/>
      <c r="G1" s="5"/>
      <c r="H1" s="5"/>
      <c r="I1" s="5"/>
      <c r="J1" s="5"/>
      <c r="K1" s="5"/>
      <c r="L1" s="4"/>
    </row>
    <row r="2" spans="1:12" x14ac:dyDescent="0.3">
      <c r="A2" s="5"/>
      <c r="B2" s="5"/>
      <c r="C2" s="5"/>
      <c r="D2" s="5"/>
      <c r="E2" s="5"/>
      <c r="F2" s="5"/>
      <c r="G2" s="5"/>
      <c r="H2" s="5"/>
      <c r="I2" s="5"/>
      <c r="J2" s="5"/>
      <c r="K2" s="5"/>
      <c r="L2" s="4"/>
    </row>
    <row r="3" spans="1:12" x14ac:dyDescent="0.3">
      <c r="A3" s="5" t="s">
        <v>161</v>
      </c>
      <c r="B3" s="5"/>
      <c r="C3" s="5"/>
      <c r="D3" s="5"/>
      <c r="E3" s="5"/>
      <c r="F3" s="5"/>
      <c r="G3" s="5"/>
      <c r="H3" s="5"/>
      <c r="I3" s="5"/>
      <c r="J3" s="5"/>
      <c r="K3" s="5"/>
      <c r="L3" s="4"/>
    </row>
    <row r="4" spans="1:12" x14ac:dyDescent="0.3">
      <c r="A4" s="23"/>
      <c r="B4" s="23"/>
      <c r="C4" s="23"/>
      <c r="D4" s="23"/>
      <c r="E4" s="23"/>
      <c r="F4" s="23"/>
      <c r="G4" s="23"/>
      <c r="H4" s="23"/>
      <c r="I4" s="23"/>
      <c r="J4" s="23"/>
      <c r="K4" s="23"/>
      <c r="L4" s="23"/>
    </row>
    <row r="6" spans="1:12" x14ac:dyDescent="0.3">
      <c r="A6" s="6" t="s">
        <v>51</v>
      </c>
      <c r="B6" s="4"/>
      <c r="C6" s="4"/>
      <c r="D6" s="4"/>
      <c r="E6" s="4"/>
      <c r="F6" s="4"/>
      <c r="G6" s="4"/>
      <c r="H6" s="4"/>
      <c r="I6" s="4"/>
      <c r="J6" s="4"/>
      <c r="K6" s="4"/>
      <c r="L6" s="4"/>
    </row>
    <row r="8" spans="1:12" x14ac:dyDescent="0.3">
      <c r="A8" s="6" t="s">
        <v>33</v>
      </c>
      <c r="B8" s="4"/>
      <c r="C8" s="4"/>
      <c r="D8" s="4"/>
      <c r="E8" s="4"/>
      <c r="F8" s="4"/>
      <c r="G8" s="4"/>
      <c r="H8" s="4"/>
      <c r="I8" s="4"/>
      <c r="J8" s="4"/>
      <c r="K8" s="4"/>
      <c r="L8" s="4"/>
    </row>
    <row r="9" spans="1:12" x14ac:dyDescent="0.3">
      <c r="A9" s="10"/>
      <c r="B9" s="10"/>
      <c r="C9" s="10"/>
      <c r="D9" s="10"/>
      <c r="E9" s="10"/>
      <c r="F9" s="10"/>
      <c r="G9" s="10"/>
      <c r="H9" s="10"/>
      <c r="I9" s="10"/>
      <c r="J9" s="10"/>
      <c r="K9" s="10"/>
      <c r="L9" s="10"/>
    </row>
    <row r="10" spans="1:12" x14ac:dyDescent="0.3">
      <c r="A10" s="5" t="s">
        <v>4</v>
      </c>
      <c r="B10" s="5"/>
      <c r="C10" s="5"/>
      <c r="D10" s="5"/>
      <c r="E10" s="5"/>
      <c r="F10" s="5"/>
      <c r="G10" s="5"/>
      <c r="H10" s="5"/>
      <c r="I10" s="5"/>
      <c r="J10" s="5"/>
      <c r="K10" s="5"/>
      <c r="L10" s="4"/>
    </row>
    <row r="11" spans="1:12" x14ac:dyDescent="0.3">
      <c r="A11" s="23"/>
      <c r="B11" s="23"/>
      <c r="C11" s="23"/>
      <c r="D11" s="23"/>
      <c r="E11" s="23"/>
      <c r="F11" s="23"/>
      <c r="G11" s="23"/>
      <c r="H11" s="23"/>
      <c r="I11" s="23"/>
      <c r="J11" s="23"/>
      <c r="K11" s="23"/>
      <c r="L11" s="23"/>
    </row>
    <row r="12" spans="1:12" ht="31.2" x14ac:dyDescent="0.3">
      <c r="A12" s="23"/>
      <c r="B12" s="46" t="s">
        <v>162</v>
      </c>
      <c r="C12" s="46" t="s">
        <v>163</v>
      </c>
      <c r="D12" s="66" t="s">
        <v>164</v>
      </c>
      <c r="E12" s="23"/>
      <c r="F12" s="23"/>
      <c r="G12" s="23"/>
      <c r="H12" s="23"/>
      <c r="I12" s="23"/>
      <c r="J12" s="23"/>
      <c r="K12" s="23"/>
      <c r="L12" s="23"/>
    </row>
    <row r="13" spans="1:12" x14ac:dyDescent="0.3">
      <c r="A13" s="23"/>
      <c r="B13" s="53">
        <v>1</v>
      </c>
      <c r="C13" s="87">
        <v>42736</v>
      </c>
      <c r="D13" s="54">
        <v>7500</v>
      </c>
      <c r="E13" s="23"/>
      <c r="F13" s="23"/>
      <c r="G13" s="23"/>
      <c r="H13" s="23"/>
      <c r="I13" s="23"/>
      <c r="J13" s="23"/>
      <c r="K13" s="23"/>
      <c r="L13" s="23"/>
    </row>
    <row r="14" spans="1:12" x14ac:dyDescent="0.3">
      <c r="A14" s="23"/>
      <c r="B14" s="53">
        <v>2</v>
      </c>
      <c r="C14" s="87">
        <v>42917</v>
      </c>
      <c r="D14" s="53">
        <v>800</v>
      </c>
      <c r="E14" s="23"/>
      <c r="F14" s="23"/>
      <c r="G14" s="23"/>
      <c r="H14" s="23"/>
      <c r="I14" s="23"/>
      <c r="J14" s="23"/>
      <c r="K14" s="23"/>
      <c r="L14" s="23"/>
    </row>
    <row r="15" spans="1:12" x14ac:dyDescent="0.3">
      <c r="A15" s="23"/>
      <c r="B15" s="53">
        <v>3</v>
      </c>
      <c r="C15" s="87">
        <v>42917</v>
      </c>
      <c r="D15" s="54">
        <v>1600</v>
      </c>
      <c r="E15" s="23"/>
      <c r="F15" s="23"/>
      <c r="G15" s="23"/>
      <c r="H15" s="23"/>
      <c r="I15" s="23"/>
      <c r="J15" s="23"/>
      <c r="K15" s="23"/>
      <c r="L15" s="23"/>
    </row>
    <row r="16" spans="1:12" x14ac:dyDescent="0.3">
      <c r="A16" s="23"/>
      <c r="B16" s="53">
        <v>4</v>
      </c>
      <c r="C16" s="87">
        <v>43101</v>
      </c>
      <c r="D16" s="54">
        <v>2400</v>
      </c>
      <c r="E16" s="23"/>
      <c r="F16" s="23"/>
      <c r="G16" s="23"/>
      <c r="H16" s="23"/>
      <c r="I16" s="23"/>
      <c r="J16" s="23"/>
      <c r="K16" s="23"/>
      <c r="L16" s="23"/>
    </row>
    <row r="17" spans="1:18" x14ac:dyDescent="0.3">
      <c r="A17" s="23"/>
      <c r="B17" s="53">
        <v>5</v>
      </c>
      <c r="C17" s="87">
        <v>43101</v>
      </c>
      <c r="D17" s="54">
        <v>6700</v>
      </c>
      <c r="E17" s="23"/>
      <c r="F17" s="23"/>
      <c r="G17" s="23"/>
      <c r="H17" s="23"/>
      <c r="I17" s="23"/>
      <c r="J17" s="23"/>
      <c r="K17" s="23"/>
      <c r="L17" s="23"/>
    </row>
    <row r="18" spans="1:18" x14ac:dyDescent="0.3">
      <c r="A18" s="23"/>
      <c r="B18" s="53">
        <v>6</v>
      </c>
      <c r="C18" s="87">
        <v>43282</v>
      </c>
      <c r="D18" s="54">
        <v>2300</v>
      </c>
      <c r="E18" s="23"/>
      <c r="F18" s="23"/>
      <c r="G18" s="23"/>
      <c r="H18" s="23"/>
      <c r="I18" s="23"/>
      <c r="J18" s="23"/>
      <c r="K18" s="23"/>
      <c r="L18" s="23"/>
    </row>
    <row r="19" spans="1:18" x14ac:dyDescent="0.3">
      <c r="A19" s="23"/>
      <c r="B19" s="53">
        <v>7</v>
      </c>
      <c r="C19" s="87">
        <v>43466</v>
      </c>
      <c r="D19" s="53">
        <v>700</v>
      </c>
      <c r="E19" s="23"/>
      <c r="F19" s="23"/>
      <c r="G19" s="23"/>
      <c r="H19" s="23"/>
      <c r="I19" s="23"/>
      <c r="J19" s="23"/>
      <c r="K19" s="23"/>
      <c r="L19" s="23"/>
    </row>
    <row r="20" spans="1:18" x14ac:dyDescent="0.3">
      <c r="A20" s="23"/>
      <c r="B20" s="53">
        <v>8</v>
      </c>
      <c r="C20" s="87">
        <v>43647</v>
      </c>
      <c r="D20" s="53">
        <v>300</v>
      </c>
      <c r="E20" s="23"/>
      <c r="F20" s="23"/>
      <c r="G20" s="23"/>
      <c r="H20" s="23"/>
      <c r="I20" s="23"/>
      <c r="J20" s="23"/>
      <c r="K20" s="23"/>
      <c r="L20" s="23"/>
    </row>
    <row r="21" spans="1:18" x14ac:dyDescent="0.3">
      <c r="A21" s="23"/>
      <c r="B21" s="53">
        <v>9</v>
      </c>
      <c r="C21" s="87">
        <v>43647</v>
      </c>
      <c r="D21" s="54">
        <v>1100</v>
      </c>
      <c r="E21" s="23"/>
      <c r="F21" s="23"/>
      <c r="G21" s="23"/>
      <c r="H21" s="23"/>
      <c r="I21" s="23"/>
      <c r="J21" s="23"/>
      <c r="K21" s="23"/>
      <c r="L21" s="23"/>
    </row>
    <row r="22" spans="1:18" x14ac:dyDescent="0.3">
      <c r="A22" s="23"/>
      <c r="B22" s="53">
        <v>10</v>
      </c>
      <c r="C22" s="87">
        <v>43647</v>
      </c>
      <c r="D22" s="54">
        <v>4500</v>
      </c>
      <c r="E22" s="23"/>
      <c r="F22" s="23"/>
      <c r="G22" s="23"/>
      <c r="H22" s="23"/>
      <c r="I22" s="23"/>
      <c r="J22" s="23"/>
      <c r="K22" s="23"/>
      <c r="L22" s="23"/>
    </row>
    <row r="23" spans="1:18" x14ac:dyDescent="0.3">
      <c r="A23" s="23"/>
      <c r="B23" s="23"/>
      <c r="C23" s="23"/>
      <c r="D23" s="23"/>
      <c r="E23" s="23"/>
      <c r="F23" s="23"/>
      <c r="G23" s="23"/>
      <c r="H23" s="23"/>
      <c r="I23" s="23"/>
      <c r="J23" s="23"/>
      <c r="K23" s="23"/>
      <c r="L23" s="23"/>
    </row>
    <row r="24" spans="1:18" x14ac:dyDescent="0.3">
      <c r="A24" s="23"/>
      <c r="B24" s="42" t="s">
        <v>63</v>
      </c>
      <c r="C24" s="23" t="s">
        <v>165</v>
      </c>
      <c r="D24" s="23"/>
      <c r="E24" s="23"/>
      <c r="F24" s="23"/>
      <c r="G24" s="23"/>
      <c r="H24" s="23"/>
      <c r="I24" s="23"/>
      <c r="J24" s="23"/>
      <c r="K24" s="23"/>
      <c r="L24" s="23"/>
    </row>
    <row r="25" spans="1:18" x14ac:dyDescent="0.3">
      <c r="A25" s="23"/>
      <c r="B25" s="42" t="s">
        <v>63</v>
      </c>
      <c r="C25" s="23" t="s">
        <v>92</v>
      </c>
      <c r="D25" s="23"/>
      <c r="E25" s="23"/>
      <c r="F25" s="23"/>
      <c r="G25" s="23"/>
      <c r="H25" s="23"/>
      <c r="I25" s="23"/>
      <c r="J25" s="23"/>
      <c r="K25" s="23"/>
      <c r="L25" s="23"/>
    </row>
    <row r="26" spans="1:18" x14ac:dyDescent="0.3">
      <c r="A26" s="23"/>
      <c r="B26" s="42" t="s">
        <v>63</v>
      </c>
      <c r="C26" s="23" t="s">
        <v>166</v>
      </c>
      <c r="D26" s="23"/>
      <c r="E26" s="23"/>
      <c r="F26" s="23"/>
      <c r="G26" s="23"/>
      <c r="H26" s="23"/>
      <c r="I26" s="23"/>
      <c r="J26" s="23"/>
      <c r="K26" s="23"/>
      <c r="L26" s="23"/>
    </row>
    <row r="27" spans="1:18" x14ac:dyDescent="0.3">
      <c r="A27" s="23"/>
      <c r="B27" s="23"/>
      <c r="C27" s="23"/>
      <c r="D27" s="23"/>
      <c r="E27" s="23"/>
      <c r="F27" s="23"/>
      <c r="G27" s="23"/>
      <c r="H27" s="23"/>
      <c r="I27" s="23"/>
      <c r="J27" s="23"/>
      <c r="K27" s="23"/>
      <c r="L27" s="23"/>
    </row>
    <row r="28" spans="1:18" x14ac:dyDescent="0.3">
      <c r="A28" s="10"/>
      <c r="B28" s="10"/>
      <c r="C28" s="10"/>
      <c r="D28" s="10"/>
      <c r="E28" s="10"/>
      <c r="F28" s="10"/>
      <c r="G28" s="10"/>
      <c r="H28" s="10"/>
      <c r="I28" s="10"/>
      <c r="J28" s="10"/>
      <c r="K28" s="10"/>
      <c r="L28" s="10"/>
    </row>
    <row r="29" spans="1:18" x14ac:dyDescent="0.3">
      <c r="A29" s="7" t="s">
        <v>9</v>
      </c>
      <c r="B29" s="5" t="s">
        <v>167</v>
      </c>
      <c r="C29" s="5"/>
      <c r="D29" s="5"/>
      <c r="E29" s="5"/>
      <c r="F29" s="5"/>
      <c r="G29" s="5"/>
      <c r="H29" s="5"/>
      <c r="I29" s="5"/>
      <c r="J29" s="5"/>
      <c r="K29" s="5"/>
      <c r="L29" s="5"/>
      <c r="M29" s="12"/>
      <c r="N29" s="12"/>
      <c r="O29" s="12"/>
      <c r="P29" s="12"/>
      <c r="Q29" s="12"/>
      <c r="R29" s="12"/>
    </row>
    <row r="30" spans="1:18" x14ac:dyDescent="0.3">
      <c r="A30" s="4"/>
      <c r="B30" s="4"/>
      <c r="C30" s="4"/>
      <c r="D30" s="4"/>
      <c r="E30" s="4"/>
      <c r="F30" s="4"/>
      <c r="G30" s="5"/>
      <c r="H30" s="5"/>
      <c r="I30" s="5"/>
      <c r="J30" s="5"/>
      <c r="K30" s="5"/>
      <c r="L30" s="5"/>
    </row>
    <row r="31" spans="1:18" x14ac:dyDescent="0.3">
      <c r="A31" s="10"/>
      <c r="B31" s="10"/>
      <c r="C31" s="10"/>
      <c r="D31" s="10"/>
      <c r="E31" s="10"/>
      <c r="F31" s="10"/>
      <c r="G31" s="10"/>
      <c r="H31" s="10"/>
      <c r="I31" s="10"/>
      <c r="J31" s="10"/>
      <c r="K31" s="10"/>
      <c r="L31" s="10"/>
      <c r="M31" s="10"/>
    </row>
    <row r="32" spans="1:18" x14ac:dyDescent="0.3">
      <c r="A32" s="10" t="s">
        <v>10</v>
      </c>
      <c r="B32" s="10"/>
      <c r="C32" s="10"/>
      <c r="D32" s="10"/>
      <c r="E32" s="10"/>
      <c r="F32" s="10"/>
      <c r="G32" s="10"/>
      <c r="H32" s="10"/>
      <c r="I32" s="10"/>
      <c r="J32" s="10"/>
      <c r="K32" s="10"/>
      <c r="L32" s="10"/>
      <c r="M32" s="10"/>
      <c r="N32" s="12"/>
    </row>
    <row r="33" spans="1:14" x14ac:dyDescent="0.3">
      <c r="A33" s="103" t="s">
        <v>437</v>
      </c>
      <c r="B33" s="104"/>
      <c r="C33" s="104"/>
      <c r="D33" s="104"/>
      <c r="E33" s="154">
        <v>44621</v>
      </c>
      <c r="F33" s="103"/>
      <c r="G33" s="103"/>
      <c r="H33" s="104"/>
      <c r="I33" s="103"/>
      <c r="J33" s="10"/>
      <c r="K33" s="10"/>
      <c r="L33" s="10"/>
      <c r="M33" s="10"/>
      <c r="N33" s="12"/>
    </row>
    <row r="34" spans="1:14" x14ac:dyDescent="0.3">
      <c r="A34" s="103"/>
      <c r="B34" s="103"/>
      <c r="C34" s="103"/>
      <c r="D34" s="103"/>
      <c r="E34" s="103"/>
      <c r="F34" s="103"/>
      <c r="G34" s="156" t="s">
        <v>438</v>
      </c>
      <c r="H34" s="156"/>
      <c r="I34" s="156"/>
      <c r="J34" s="10"/>
      <c r="K34" s="10"/>
      <c r="L34" s="10"/>
      <c r="M34" s="10"/>
      <c r="N34" s="12"/>
    </row>
    <row r="35" spans="1:14" x14ac:dyDescent="0.3">
      <c r="A35" s="103"/>
      <c r="B35" s="103"/>
      <c r="C35" s="103"/>
      <c r="D35" s="156" t="s">
        <v>439</v>
      </c>
      <c r="E35" s="156"/>
      <c r="F35" s="103"/>
      <c r="G35" s="103"/>
      <c r="H35" s="147" t="s">
        <v>440</v>
      </c>
      <c r="I35" s="147" t="s">
        <v>440</v>
      </c>
      <c r="J35" s="10"/>
      <c r="K35" s="10"/>
      <c r="L35" s="10"/>
      <c r="M35" s="10"/>
      <c r="N35" s="12"/>
    </row>
    <row r="36" spans="1:14" ht="31.2" x14ac:dyDescent="0.3">
      <c r="A36" s="162" t="s">
        <v>162</v>
      </c>
      <c r="B36" s="162" t="s">
        <v>163</v>
      </c>
      <c r="C36" s="146" t="s">
        <v>164</v>
      </c>
      <c r="D36" s="162" t="s">
        <v>441</v>
      </c>
      <c r="E36" s="162" t="s">
        <v>442</v>
      </c>
      <c r="F36" s="146" t="s">
        <v>445</v>
      </c>
      <c r="G36" s="146" t="s">
        <v>443</v>
      </c>
      <c r="H36" s="162">
        <v>500</v>
      </c>
      <c r="I36" s="162">
        <v>1000</v>
      </c>
      <c r="J36" s="10"/>
      <c r="K36" s="10"/>
      <c r="L36" s="10"/>
      <c r="M36" s="10"/>
      <c r="N36" s="12"/>
    </row>
    <row r="37" spans="1:14" x14ac:dyDescent="0.3">
      <c r="A37" s="147">
        <v>1</v>
      </c>
      <c r="B37" s="274">
        <v>42736</v>
      </c>
      <c r="C37" s="200">
        <v>7500</v>
      </c>
      <c r="D37" s="275">
        <f>(12*YEAR(E33)+MONTH(E33))-(12*YEAR(B37)+MONTH(B37))</f>
        <v>62</v>
      </c>
      <c r="E37" s="276">
        <f t="shared" ref="E37:E46" si="0">D37/12</f>
        <v>5.166666666666667</v>
      </c>
      <c r="F37" s="160">
        <f>(1.05)^E37</f>
        <v>1.2867022049766927</v>
      </c>
      <c r="G37" s="213">
        <f>F37*C37</f>
        <v>9650.2665373251948</v>
      </c>
      <c r="H37" s="213">
        <f>MAX(0,G37-H36)</f>
        <v>9150.2665373251948</v>
      </c>
      <c r="I37" s="213">
        <f>MAX(0,G37-I36)</f>
        <v>8650.2665373251948</v>
      </c>
      <c r="J37" s="10"/>
      <c r="K37" s="10"/>
      <c r="L37" s="10"/>
      <c r="M37" s="10"/>
      <c r="N37" s="12"/>
    </row>
    <row r="38" spans="1:14" x14ac:dyDescent="0.3">
      <c r="A38" s="147">
        <f>A37+1</f>
        <v>2</v>
      </c>
      <c r="B38" s="274">
        <v>42917</v>
      </c>
      <c r="C38" s="200">
        <v>800</v>
      </c>
      <c r="D38" s="275">
        <f>(12*YEAR(E33)+MONTH(E33))-(12*YEAR(B38)+MONTH(B38))</f>
        <v>56</v>
      </c>
      <c r="E38" s="276">
        <f t="shared" si="0"/>
        <v>4.666666666666667</v>
      </c>
      <c r="F38" s="160">
        <f t="shared" ref="F38:F46" si="1">(1.05)^E38</f>
        <v>1.2556927756997929</v>
      </c>
      <c r="G38" s="213">
        <f t="shared" ref="G38:G46" si="2">F38*C38</f>
        <v>1004.5542205598343</v>
      </c>
      <c r="H38" s="213">
        <f>MAX(0,G38-H36)</f>
        <v>504.55422055983433</v>
      </c>
      <c r="I38" s="213">
        <f>MAX(0,G38-I36)</f>
        <v>4.5542205598343344</v>
      </c>
      <c r="J38" s="10"/>
      <c r="K38" s="10"/>
      <c r="L38" s="10"/>
      <c r="M38" s="10"/>
      <c r="N38" s="12"/>
    </row>
    <row r="39" spans="1:14" x14ac:dyDescent="0.3">
      <c r="A39" s="147">
        <f t="shared" ref="A39:A46" si="3">A38+1</f>
        <v>3</v>
      </c>
      <c r="B39" s="274">
        <v>42917</v>
      </c>
      <c r="C39" s="200">
        <v>1600</v>
      </c>
      <c r="D39" s="275">
        <f>(12*YEAR(E33)+MONTH(E33))-(12*YEAR(B39)+MONTH(B39))</f>
        <v>56</v>
      </c>
      <c r="E39" s="276">
        <f t="shared" si="0"/>
        <v>4.666666666666667</v>
      </c>
      <c r="F39" s="160">
        <f t="shared" si="1"/>
        <v>1.2556927756997929</v>
      </c>
      <c r="G39" s="213">
        <f t="shared" si="2"/>
        <v>2009.1084411196687</v>
      </c>
      <c r="H39" s="213">
        <f>MAX(0,G39-H36)</f>
        <v>1509.1084411196687</v>
      </c>
      <c r="I39" s="213">
        <f>MAX(0,G39-I36)</f>
        <v>1009.1084411196687</v>
      </c>
      <c r="J39" s="10"/>
      <c r="K39" s="10"/>
      <c r="L39" s="10"/>
      <c r="M39" s="10"/>
      <c r="N39" s="12"/>
    </row>
    <row r="40" spans="1:14" x14ac:dyDescent="0.3">
      <c r="A40" s="147">
        <f t="shared" si="3"/>
        <v>4</v>
      </c>
      <c r="B40" s="274">
        <v>43101</v>
      </c>
      <c r="C40" s="200">
        <v>2400</v>
      </c>
      <c r="D40" s="275">
        <f>(12*YEAR(E33)+MONTH(E33))-(12*YEAR(B40)+MONTH(B40))</f>
        <v>50</v>
      </c>
      <c r="E40" s="276">
        <f t="shared" si="0"/>
        <v>4.166666666666667</v>
      </c>
      <c r="F40" s="160">
        <f t="shared" si="1"/>
        <v>1.2254306714063739</v>
      </c>
      <c r="G40" s="213">
        <f t="shared" si="2"/>
        <v>2941.0336113752974</v>
      </c>
      <c r="H40" s="213">
        <f>MAX(0,G40-H36)</f>
        <v>2441.0336113752974</v>
      </c>
      <c r="I40" s="213">
        <f>MAX(0,G40-I36)</f>
        <v>1941.0336113752974</v>
      </c>
      <c r="J40" s="10"/>
      <c r="K40" s="10"/>
      <c r="L40" s="10"/>
      <c r="M40" s="10"/>
      <c r="N40" s="12"/>
    </row>
    <row r="41" spans="1:14" x14ac:dyDescent="0.3">
      <c r="A41" s="147">
        <f t="shared" si="3"/>
        <v>5</v>
      </c>
      <c r="B41" s="274">
        <v>43101</v>
      </c>
      <c r="C41" s="200">
        <v>6700</v>
      </c>
      <c r="D41" s="275">
        <f>(12*YEAR(E33)+MONTH(E33))-(12*YEAR(B41)+MONTH(B41))</f>
        <v>50</v>
      </c>
      <c r="E41" s="276">
        <f t="shared" si="0"/>
        <v>4.166666666666667</v>
      </c>
      <c r="F41" s="160">
        <f t="shared" si="1"/>
        <v>1.2254306714063739</v>
      </c>
      <c r="G41" s="213">
        <f t="shared" si="2"/>
        <v>8210.3854984227055</v>
      </c>
      <c r="H41" s="213">
        <f>MAX(0,G41-H36)</f>
        <v>7710.3854984227055</v>
      </c>
      <c r="I41" s="213">
        <f>MAX(0,G41-I36)</f>
        <v>7210.3854984227055</v>
      </c>
      <c r="J41" s="10"/>
      <c r="K41" s="10"/>
      <c r="L41" s="10"/>
      <c r="M41" s="10"/>
      <c r="N41" s="12"/>
    </row>
    <row r="42" spans="1:14" x14ac:dyDescent="0.3">
      <c r="A42" s="147">
        <f t="shared" si="3"/>
        <v>6</v>
      </c>
      <c r="B42" s="274">
        <v>43282</v>
      </c>
      <c r="C42" s="200">
        <v>2300</v>
      </c>
      <c r="D42" s="275">
        <f>(12*YEAR(E33)+MONTH(E33))-(12*YEAR(B42)+MONTH(B42))</f>
        <v>44</v>
      </c>
      <c r="E42" s="276">
        <f t="shared" si="0"/>
        <v>3.6666666666666665</v>
      </c>
      <c r="F42" s="160">
        <f t="shared" si="1"/>
        <v>1.1958978816188501</v>
      </c>
      <c r="G42" s="213">
        <f t="shared" si="2"/>
        <v>2750.5651277233551</v>
      </c>
      <c r="H42" s="213">
        <f>MAX(0,G42-H36)</f>
        <v>2250.5651277233551</v>
      </c>
      <c r="I42" s="213">
        <f>MAX(0,G42-I36)</f>
        <v>1750.5651277233551</v>
      </c>
      <c r="J42" s="10"/>
      <c r="K42" s="10"/>
      <c r="L42" s="10"/>
      <c r="M42" s="10"/>
      <c r="N42" s="12"/>
    </row>
    <row r="43" spans="1:14" x14ac:dyDescent="0.3">
      <c r="A43" s="147">
        <f t="shared" si="3"/>
        <v>7</v>
      </c>
      <c r="B43" s="274">
        <v>43466</v>
      </c>
      <c r="C43" s="200">
        <v>700</v>
      </c>
      <c r="D43" s="275">
        <f>(12*YEAR(E33)+MONTH(E33))-(12*YEAR(B43)+MONTH(B43))</f>
        <v>38</v>
      </c>
      <c r="E43" s="276">
        <f t="shared" si="0"/>
        <v>3.1666666666666665</v>
      </c>
      <c r="F43" s="160">
        <f t="shared" si="1"/>
        <v>1.1670768299108321</v>
      </c>
      <c r="G43" s="213">
        <f t="shared" si="2"/>
        <v>816.95378093758245</v>
      </c>
      <c r="H43" s="213">
        <f>MAX(0,G43-H36)</f>
        <v>316.95378093758245</v>
      </c>
      <c r="I43" s="213">
        <f>MAX(0,G43-I36)</f>
        <v>0</v>
      </c>
      <c r="J43" s="10"/>
      <c r="K43" s="10"/>
      <c r="L43" s="10"/>
      <c r="M43" s="10"/>
      <c r="N43" s="12"/>
    </row>
    <row r="44" spans="1:14" x14ac:dyDescent="0.3">
      <c r="A44" s="147">
        <f t="shared" si="3"/>
        <v>8</v>
      </c>
      <c r="B44" s="274">
        <v>43647</v>
      </c>
      <c r="C44" s="200">
        <v>300</v>
      </c>
      <c r="D44" s="275">
        <f>(12*YEAR(E33)+MONTH(E33))-(12*YEAR(B44)+MONTH(B44))</f>
        <v>32</v>
      </c>
      <c r="E44" s="276">
        <f t="shared" si="0"/>
        <v>2.6666666666666665</v>
      </c>
      <c r="F44" s="160">
        <f t="shared" si="1"/>
        <v>1.1389503634465239</v>
      </c>
      <c r="G44" s="213">
        <f t="shared" si="2"/>
        <v>341.68510903395719</v>
      </c>
      <c r="H44" s="213">
        <f>MAX(0,G44-H36)</f>
        <v>0</v>
      </c>
      <c r="I44" s="213">
        <f>MAX(0,G44-I36)</f>
        <v>0</v>
      </c>
      <c r="J44" s="10"/>
      <c r="K44" s="10"/>
      <c r="L44" s="10"/>
      <c r="M44" s="10"/>
      <c r="N44" s="12"/>
    </row>
    <row r="45" spans="1:14" x14ac:dyDescent="0.3">
      <c r="A45" s="147">
        <f t="shared" si="3"/>
        <v>9</v>
      </c>
      <c r="B45" s="274">
        <v>43647</v>
      </c>
      <c r="C45" s="200">
        <v>1100</v>
      </c>
      <c r="D45" s="275">
        <f>(12*YEAR(E33)+MONTH(E33))-(12*YEAR(B45)+MONTH(B45))</f>
        <v>32</v>
      </c>
      <c r="E45" s="276">
        <f t="shared" si="0"/>
        <v>2.6666666666666665</v>
      </c>
      <c r="F45" s="160">
        <f t="shared" si="1"/>
        <v>1.1389503634465239</v>
      </c>
      <c r="G45" s="213">
        <f t="shared" si="2"/>
        <v>1252.8453997911763</v>
      </c>
      <c r="H45" s="213">
        <f>MAX(0,G45-H36)</f>
        <v>752.84539979117631</v>
      </c>
      <c r="I45" s="213">
        <f>MAX(0,G45-I36)</f>
        <v>252.84539979117631</v>
      </c>
      <c r="J45" s="10"/>
      <c r="K45" s="10"/>
      <c r="L45" s="10"/>
      <c r="M45" s="10"/>
      <c r="N45" s="12"/>
    </row>
    <row r="46" spans="1:14" x14ac:dyDescent="0.3">
      <c r="A46" s="162">
        <f t="shared" si="3"/>
        <v>10</v>
      </c>
      <c r="B46" s="277">
        <v>43647</v>
      </c>
      <c r="C46" s="278">
        <v>4500</v>
      </c>
      <c r="D46" s="279">
        <f>(12*YEAR(E33)+MONTH(E33))-(12*YEAR(B46)+MONTH(B46))</f>
        <v>32</v>
      </c>
      <c r="E46" s="280">
        <f t="shared" si="0"/>
        <v>2.6666666666666665</v>
      </c>
      <c r="F46" s="164">
        <f t="shared" si="1"/>
        <v>1.1389503634465239</v>
      </c>
      <c r="G46" s="281">
        <f t="shared" si="2"/>
        <v>5125.2766355093572</v>
      </c>
      <c r="H46" s="281">
        <f>MAX(0,G46-H36)</f>
        <v>4625.2766355093572</v>
      </c>
      <c r="I46" s="281">
        <f>MAX(0,G46-I36)</f>
        <v>4125.2766355093572</v>
      </c>
      <c r="J46" s="10"/>
      <c r="K46" s="10"/>
      <c r="L46" s="10"/>
      <c r="M46" s="10"/>
      <c r="N46" s="12"/>
    </row>
    <row r="47" spans="1:14" x14ac:dyDescent="0.3">
      <c r="A47" s="103"/>
      <c r="B47" s="103"/>
      <c r="C47" s="103"/>
      <c r="D47" s="103"/>
      <c r="E47" s="103"/>
      <c r="F47" s="147" t="s">
        <v>323</v>
      </c>
      <c r="G47" s="213">
        <f>SUM(G37:G46)</f>
        <v>34102.674361798126</v>
      </c>
      <c r="H47" s="213">
        <f>SUM(H37:H46)</f>
        <v>29260.989252764171</v>
      </c>
      <c r="I47" s="213">
        <f>SUM(I37:I46)</f>
        <v>24944.035471826588</v>
      </c>
      <c r="J47" s="10"/>
      <c r="K47" s="10"/>
      <c r="L47" s="10"/>
      <c r="M47" s="10"/>
      <c r="N47" s="12"/>
    </row>
    <row r="48" spans="1:14" x14ac:dyDescent="0.3">
      <c r="A48" s="170"/>
      <c r="B48" s="103"/>
      <c r="C48" s="103"/>
      <c r="D48" s="103"/>
      <c r="E48" s="103"/>
      <c r="F48" s="147"/>
      <c r="G48" s="200"/>
      <c r="H48" s="200"/>
      <c r="I48" s="200"/>
      <c r="J48" s="10"/>
      <c r="K48" s="10"/>
      <c r="L48" s="10"/>
      <c r="M48" s="10"/>
      <c r="N48" s="12"/>
    </row>
    <row r="49" spans="1:14" x14ac:dyDescent="0.3">
      <c r="A49" s="170"/>
      <c r="B49" s="103"/>
      <c r="C49" s="103"/>
      <c r="D49" s="103"/>
      <c r="E49" s="103"/>
      <c r="F49" s="103" t="s">
        <v>444</v>
      </c>
      <c r="G49" s="103"/>
      <c r="H49" s="283">
        <f>H47/G47</f>
        <v>0.85802623402293576</v>
      </c>
      <c r="I49" s="283">
        <f>I47/G47</f>
        <v>0.73143927679082377</v>
      </c>
      <c r="J49" s="10"/>
      <c r="K49" s="10"/>
      <c r="L49" s="10"/>
      <c r="M49" s="10"/>
      <c r="N49" s="12"/>
    </row>
    <row r="50" spans="1:14" x14ac:dyDescent="0.3">
      <c r="M50" s="12"/>
      <c r="N50" s="12"/>
    </row>
    <row r="51" spans="1:14" x14ac:dyDescent="0.3">
      <c r="A51" s="6" t="s">
        <v>48</v>
      </c>
      <c r="B51" s="4"/>
      <c r="C51" s="4"/>
      <c r="D51" s="4"/>
      <c r="E51" s="4"/>
      <c r="F51" s="4"/>
      <c r="G51" s="4"/>
      <c r="H51" s="4"/>
      <c r="I51" s="4"/>
      <c r="J51" s="4"/>
      <c r="K51" s="4"/>
      <c r="L51" s="4"/>
      <c r="M51" s="12"/>
      <c r="N51" s="12"/>
    </row>
    <row r="53" spans="1:14" x14ac:dyDescent="0.3">
      <c r="A53" s="7" t="s">
        <v>12</v>
      </c>
      <c r="B53" s="5" t="s">
        <v>168</v>
      </c>
      <c r="C53" s="5"/>
      <c r="D53" s="5"/>
      <c r="E53" s="5"/>
      <c r="F53" s="5"/>
      <c r="G53" s="5"/>
      <c r="H53" s="5"/>
      <c r="I53" s="5"/>
      <c r="J53" s="5"/>
      <c r="K53" s="5"/>
      <c r="L53" s="5"/>
    </row>
    <row r="54" spans="1:14" x14ac:dyDescent="0.3">
      <c r="A54" s="4"/>
      <c r="B54" s="4"/>
      <c r="C54" s="4"/>
      <c r="D54" s="4"/>
      <c r="E54" s="4"/>
      <c r="F54" s="4"/>
      <c r="G54" s="5"/>
      <c r="H54" s="5"/>
      <c r="I54" s="5"/>
      <c r="J54" s="5"/>
      <c r="K54" s="5"/>
      <c r="L54" s="5"/>
    </row>
    <row r="55" spans="1:14" x14ac:dyDescent="0.3">
      <c r="A55" s="10"/>
      <c r="B55" s="10"/>
      <c r="C55" s="10"/>
      <c r="D55" s="10"/>
      <c r="E55" s="10"/>
      <c r="F55" s="10"/>
      <c r="G55" s="10"/>
      <c r="H55" s="10"/>
      <c r="I55" s="10"/>
      <c r="J55" s="10"/>
      <c r="K55" s="10"/>
      <c r="L55" s="10"/>
    </row>
    <row r="56" spans="1:14" x14ac:dyDescent="0.3">
      <c r="A56" s="10" t="s">
        <v>10</v>
      </c>
      <c r="B56" s="10"/>
      <c r="C56" s="10"/>
      <c r="D56" s="10"/>
      <c r="E56" s="10"/>
      <c r="F56" s="10"/>
      <c r="G56" s="10"/>
      <c r="H56" s="10"/>
      <c r="I56" s="10"/>
      <c r="J56" s="10"/>
      <c r="K56" s="10"/>
      <c r="L56" s="10"/>
    </row>
    <row r="57" spans="1:14" x14ac:dyDescent="0.3">
      <c r="A57" s="10"/>
      <c r="B57" s="10"/>
      <c r="C57" s="10"/>
      <c r="D57" s="10"/>
      <c r="E57" s="10"/>
      <c r="F57" s="10"/>
      <c r="G57" s="10"/>
      <c r="H57" s="10"/>
      <c r="I57" s="10"/>
      <c r="J57" s="10"/>
      <c r="K57" s="10"/>
      <c r="L57" s="10"/>
    </row>
    <row r="58" spans="1:14" x14ac:dyDescent="0.3">
      <c r="A58" s="103" t="s">
        <v>446</v>
      </c>
      <c r="B58" s="103"/>
      <c r="C58" s="103"/>
      <c r="D58" s="103"/>
      <c r="E58" s="104"/>
      <c r="F58" s="10"/>
      <c r="G58" s="10"/>
      <c r="H58" s="10"/>
      <c r="I58" s="10"/>
      <c r="J58" s="10"/>
      <c r="K58" s="10"/>
      <c r="L58" s="10"/>
    </row>
    <row r="59" spans="1:14" x14ac:dyDescent="0.3">
      <c r="A59" s="103"/>
      <c r="B59" s="147"/>
      <c r="C59" s="147" t="s">
        <v>447</v>
      </c>
      <c r="D59" s="147" t="s">
        <v>448</v>
      </c>
      <c r="E59" s="104"/>
      <c r="M59" s="10"/>
    </row>
    <row r="60" spans="1:14" x14ac:dyDescent="0.3">
      <c r="A60" s="104"/>
      <c r="B60" s="162" t="s">
        <v>447</v>
      </c>
      <c r="C60" s="162" t="s">
        <v>350</v>
      </c>
      <c r="D60" s="162" t="s">
        <v>449</v>
      </c>
      <c r="E60" s="104"/>
      <c r="M60" s="10"/>
    </row>
    <row r="61" spans="1:14" x14ac:dyDescent="0.3">
      <c r="A61" s="104"/>
      <c r="B61" s="147">
        <v>0</v>
      </c>
      <c r="C61" s="282">
        <v>1</v>
      </c>
      <c r="D61" s="147"/>
      <c r="E61" s="104"/>
      <c r="M61" s="10"/>
    </row>
    <row r="62" spans="1:14" x14ac:dyDescent="0.3">
      <c r="A62" s="103"/>
      <c r="B62" s="147">
        <v>500</v>
      </c>
      <c r="C62" s="282">
        <f>H49</f>
        <v>0.85802623402293576</v>
      </c>
      <c r="D62" s="282">
        <f>1000*(C61-C62)/(B62-B61)</f>
        <v>0.28394753195412847</v>
      </c>
      <c r="E62" s="104"/>
    </row>
    <row r="63" spans="1:14" x14ac:dyDescent="0.3">
      <c r="A63" s="103"/>
      <c r="B63" s="147">
        <v>1000</v>
      </c>
      <c r="C63" s="282">
        <f>I49</f>
        <v>0.73143927679082377</v>
      </c>
      <c r="D63" s="282">
        <f>1000*(C62-C63)/(B63-B62)</f>
        <v>0.25317391446422399</v>
      </c>
      <c r="E63" s="104"/>
    </row>
    <row r="64" spans="1:14" x14ac:dyDescent="0.3">
      <c r="A64" s="103" t="s">
        <v>450</v>
      </c>
      <c r="B64" s="103"/>
      <c r="C64" s="103"/>
      <c r="D64" s="103"/>
      <c r="E64" s="104"/>
    </row>
    <row r="65" spans="1:5" x14ac:dyDescent="0.3">
      <c r="A65" s="103"/>
      <c r="B65" s="103"/>
      <c r="C65" s="103"/>
      <c r="D65" s="103"/>
      <c r="E65" s="103"/>
    </row>
  </sheetData>
  <pageMargins left="0.39370078740157483" right="0.39370078740157483" top="0.39370078740157483" bottom="0.39370078740157483" header="0.31496062992125984" footer="0.31496062992125984"/>
  <pageSetup scale="79" orientation="portrait" verticalDpi="1200" r:id="rId1"/>
  <headerFooter>
    <oddFooter>&amp;L&amp;F [&amp;A]&amp;R&amp;P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7BE5B-BB3F-46BF-9938-CF087E7E1B15}">
  <dimension ref="A1:R37"/>
  <sheetViews>
    <sheetView zoomScaleNormal="100" workbookViewId="0"/>
  </sheetViews>
  <sheetFormatPr defaultRowHeight="15.6" x14ac:dyDescent="0.3"/>
  <cols>
    <col min="1" max="1" width="8.88671875" style="2" customWidth="1"/>
    <col min="2" max="3" width="12.77734375" style="2" customWidth="1"/>
    <col min="4" max="7" width="10.77734375" style="2" customWidth="1"/>
    <col min="8" max="8" width="8.88671875" style="2" customWidth="1"/>
    <col min="9" max="16384" width="8.88671875" style="2"/>
  </cols>
  <sheetData>
    <row r="1" spans="1:12" ht="17.399999999999999" x14ac:dyDescent="0.3">
      <c r="A1" s="3" t="s">
        <v>169</v>
      </c>
      <c r="B1" s="5"/>
      <c r="C1" s="23" t="s">
        <v>34</v>
      </c>
      <c r="D1" s="5"/>
      <c r="E1" s="5"/>
      <c r="F1" s="5"/>
      <c r="G1" s="5"/>
      <c r="H1" s="5"/>
      <c r="I1" s="5"/>
      <c r="J1" s="5"/>
      <c r="K1" s="5"/>
      <c r="L1" s="4"/>
    </row>
    <row r="2" spans="1:12" x14ac:dyDescent="0.3">
      <c r="A2" s="5"/>
      <c r="B2" s="5"/>
      <c r="C2" s="5"/>
      <c r="D2" s="5"/>
      <c r="E2" s="5"/>
      <c r="F2" s="5"/>
      <c r="G2" s="5"/>
      <c r="H2" s="5"/>
      <c r="I2" s="5"/>
      <c r="J2" s="5"/>
      <c r="K2" s="5"/>
      <c r="L2" s="4"/>
    </row>
    <row r="4" spans="1:12" x14ac:dyDescent="0.3">
      <c r="A4" s="6" t="s">
        <v>51</v>
      </c>
      <c r="B4" s="4"/>
      <c r="C4" s="4"/>
      <c r="D4" s="4"/>
      <c r="E4" s="4"/>
      <c r="F4" s="4"/>
      <c r="G4" s="4"/>
      <c r="H4" s="4"/>
      <c r="I4" s="4"/>
      <c r="J4" s="4"/>
      <c r="K4" s="4"/>
      <c r="L4" s="4"/>
    </row>
    <row r="5" spans="1:12" x14ac:dyDescent="0.3">
      <c r="A5" s="10"/>
      <c r="B5" s="10"/>
      <c r="C5" s="10"/>
      <c r="D5" s="10"/>
      <c r="E5" s="10"/>
      <c r="F5" s="10"/>
      <c r="G5" s="10"/>
      <c r="H5" s="10"/>
      <c r="I5" s="10"/>
      <c r="J5" s="10"/>
      <c r="K5" s="10"/>
      <c r="L5" s="10"/>
    </row>
    <row r="6" spans="1:12" x14ac:dyDescent="0.3">
      <c r="A6" s="357" t="s">
        <v>296</v>
      </c>
      <c r="B6" s="358"/>
      <c r="C6" s="358"/>
      <c r="D6" s="358"/>
      <c r="E6" s="358"/>
      <c r="F6" s="358"/>
      <c r="G6" s="358"/>
      <c r="H6" s="358"/>
      <c r="I6" s="358"/>
      <c r="J6" s="358"/>
      <c r="K6" s="358"/>
      <c r="L6" s="358"/>
    </row>
    <row r="7" spans="1:12" x14ac:dyDescent="0.3">
      <c r="A7" s="358"/>
      <c r="B7" s="358"/>
      <c r="C7" s="358"/>
      <c r="D7" s="358"/>
      <c r="E7" s="358"/>
      <c r="F7" s="358"/>
      <c r="G7" s="358"/>
      <c r="H7" s="358"/>
      <c r="I7" s="358"/>
      <c r="J7" s="358"/>
      <c r="K7" s="358"/>
      <c r="L7" s="358"/>
    </row>
    <row r="8" spans="1:12" x14ac:dyDescent="0.3">
      <c r="A8" s="23"/>
      <c r="B8" s="23"/>
      <c r="C8" s="23"/>
      <c r="D8" s="23"/>
      <c r="E8" s="23"/>
      <c r="F8" s="23"/>
      <c r="G8" s="23"/>
      <c r="H8" s="23"/>
      <c r="I8" s="23"/>
      <c r="J8" s="23"/>
      <c r="K8" s="23"/>
      <c r="L8" s="23"/>
    </row>
    <row r="9" spans="1:12" x14ac:dyDescent="0.3">
      <c r="A9" s="23" t="s">
        <v>4</v>
      </c>
      <c r="B9" s="23"/>
      <c r="C9" s="23"/>
      <c r="D9" s="23"/>
      <c r="E9" s="23"/>
      <c r="F9" s="23"/>
      <c r="G9" s="23"/>
      <c r="H9" s="23"/>
      <c r="I9" s="23"/>
      <c r="J9" s="23"/>
      <c r="K9" s="23"/>
      <c r="L9" s="23"/>
    </row>
    <row r="10" spans="1:12" x14ac:dyDescent="0.3">
      <c r="A10" s="23"/>
      <c r="B10" s="23"/>
      <c r="C10" s="23"/>
      <c r="D10" s="23"/>
      <c r="E10" s="23"/>
      <c r="F10" s="23"/>
      <c r="G10" s="23"/>
      <c r="H10" s="23"/>
      <c r="I10" s="23"/>
      <c r="J10" s="23"/>
      <c r="K10" s="23"/>
      <c r="L10" s="23"/>
    </row>
    <row r="11" spans="1:12" ht="32.4" customHeight="1" x14ac:dyDescent="0.3">
      <c r="A11" s="23"/>
      <c r="B11" s="372"/>
      <c r="C11" s="372"/>
      <c r="D11" s="370" t="s">
        <v>170</v>
      </c>
      <c r="E11" s="370"/>
      <c r="F11" s="370" t="s">
        <v>171</v>
      </c>
      <c r="G11" s="370"/>
      <c r="H11" s="23"/>
      <c r="I11" s="23"/>
      <c r="J11" s="23"/>
      <c r="K11" s="23"/>
      <c r="L11" s="23"/>
    </row>
    <row r="12" spans="1:12" x14ac:dyDescent="0.3">
      <c r="A12" s="23"/>
      <c r="B12" s="382" t="s">
        <v>172</v>
      </c>
      <c r="C12" s="383"/>
      <c r="D12" s="373">
        <v>50000</v>
      </c>
      <c r="E12" s="373"/>
      <c r="F12" s="373">
        <v>750000</v>
      </c>
      <c r="G12" s="373"/>
      <c r="H12" s="23"/>
      <c r="I12" s="23"/>
      <c r="J12" s="23"/>
      <c r="K12" s="23"/>
      <c r="L12" s="23"/>
    </row>
    <row r="13" spans="1:12" x14ac:dyDescent="0.3">
      <c r="A13" s="23"/>
      <c r="B13" s="382" t="s">
        <v>173</v>
      </c>
      <c r="C13" s="383"/>
      <c r="D13" s="372" t="s">
        <v>174</v>
      </c>
      <c r="E13" s="372"/>
      <c r="F13" s="373">
        <v>850000</v>
      </c>
      <c r="G13" s="373"/>
      <c r="H13" s="23"/>
      <c r="I13" s="23"/>
      <c r="J13" s="23"/>
      <c r="K13" s="23"/>
      <c r="L13" s="23"/>
    </row>
    <row r="14" spans="1:12" x14ac:dyDescent="0.3">
      <c r="A14" s="23"/>
      <c r="B14" s="382" t="s">
        <v>175</v>
      </c>
      <c r="C14" s="383"/>
      <c r="D14" s="372" t="s">
        <v>176</v>
      </c>
      <c r="E14" s="372"/>
      <c r="F14" s="373">
        <v>770000</v>
      </c>
      <c r="G14" s="373"/>
      <c r="H14" s="23"/>
      <c r="I14" s="23"/>
      <c r="J14" s="23"/>
      <c r="K14" s="23"/>
      <c r="L14" s="23"/>
    </row>
    <row r="15" spans="1:12" x14ac:dyDescent="0.3">
      <c r="A15" s="23"/>
      <c r="B15" s="23"/>
      <c r="C15" s="23"/>
      <c r="D15" s="23"/>
      <c r="E15" s="23"/>
      <c r="F15" s="23"/>
      <c r="G15" s="23"/>
      <c r="H15" s="23"/>
      <c r="I15" s="23"/>
      <c r="J15" s="23"/>
      <c r="K15" s="23"/>
      <c r="L15" s="23"/>
    </row>
    <row r="17" spans="1:18" x14ac:dyDescent="0.3">
      <c r="A17" s="6" t="s">
        <v>33</v>
      </c>
      <c r="B17" s="4"/>
      <c r="C17" s="4"/>
      <c r="D17" s="4"/>
      <c r="E17" s="4"/>
      <c r="F17" s="4"/>
      <c r="G17" s="4"/>
      <c r="H17" s="4"/>
      <c r="I17" s="4"/>
      <c r="J17" s="4"/>
      <c r="K17" s="4"/>
      <c r="L17" s="4"/>
    </row>
    <row r="18" spans="1:18" x14ac:dyDescent="0.3">
      <c r="A18" s="10"/>
      <c r="B18" s="10"/>
      <c r="C18" s="10"/>
      <c r="D18" s="10"/>
      <c r="E18" s="10"/>
      <c r="F18" s="10"/>
      <c r="G18" s="10"/>
      <c r="H18" s="10"/>
      <c r="I18" s="10"/>
      <c r="J18" s="10"/>
      <c r="K18" s="10"/>
      <c r="L18" s="10"/>
    </row>
    <row r="19" spans="1:18" x14ac:dyDescent="0.3">
      <c r="A19" s="357" t="s">
        <v>177</v>
      </c>
      <c r="B19" s="358"/>
      <c r="C19" s="358"/>
      <c r="D19" s="358"/>
      <c r="E19" s="358"/>
      <c r="F19" s="358"/>
      <c r="G19" s="358"/>
      <c r="H19" s="358"/>
      <c r="I19" s="358"/>
      <c r="J19" s="358"/>
      <c r="K19" s="358"/>
      <c r="L19" s="358"/>
    </row>
    <row r="20" spans="1:18" x14ac:dyDescent="0.3">
      <c r="A20" s="358"/>
      <c r="B20" s="358"/>
      <c r="C20" s="358"/>
      <c r="D20" s="358"/>
      <c r="E20" s="358"/>
      <c r="F20" s="358"/>
      <c r="G20" s="358"/>
      <c r="H20" s="358"/>
      <c r="I20" s="358"/>
      <c r="J20" s="358"/>
      <c r="K20" s="358"/>
      <c r="L20" s="358"/>
    </row>
    <row r="21" spans="1:18" x14ac:dyDescent="0.3">
      <c r="A21" s="23"/>
      <c r="B21" s="23"/>
      <c r="C21" s="23"/>
      <c r="D21" s="23"/>
      <c r="E21" s="23"/>
      <c r="F21" s="23"/>
      <c r="G21" s="23"/>
      <c r="H21" s="23"/>
      <c r="I21" s="23"/>
      <c r="J21" s="23"/>
      <c r="K21" s="23"/>
      <c r="L21" s="23"/>
    </row>
    <row r="22" spans="1:18" x14ac:dyDescent="0.3">
      <c r="A22" s="10"/>
      <c r="B22" s="10"/>
      <c r="C22" s="10"/>
      <c r="D22" s="10"/>
      <c r="E22" s="10"/>
      <c r="F22" s="10"/>
      <c r="G22" s="10"/>
      <c r="H22" s="10"/>
      <c r="I22" s="10"/>
      <c r="J22" s="10"/>
      <c r="K22" s="10"/>
      <c r="L22" s="10"/>
    </row>
    <row r="23" spans="1:18" x14ac:dyDescent="0.3">
      <c r="A23" s="7" t="s">
        <v>9</v>
      </c>
      <c r="B23" s="5" t="s">
        <v>178</v>
      </c>
      <c r="C23" s="5"/>
      <c r="D23" s="5"/>
      <c r="E23" s="5"/>
      <c r="F23" s="5"/>
      <c r="G23" s="5"/>
      <c r="H23" s="5"/>
      <c r="I23" s="5"/>
      <c r="J23" s="5"/>
      <c r="K23" s="5"/>
      <c r="L23" s="5"/>
      <c r="M23" s="12"/>
      <c r="N23" s="12"/>
      <c r="O23" s="12"/>
      <c r="P23" s="12"/>
      <c r="Q23" s="12"/>
      <c r="R23" s="12"/>
    </row>
    <row r="24" spans="1:18" x14ac:dyDescent="0.3">
      <c r="A24" s="4"/>
      <c r="B24" s="4"/>
      <c r="C24" s="4"/>
      <c r="D24" s="4"/>
      <c r="E24" s="4"/>
      <c r="F24" s="4"/>
      <c r="G24" s="5"/>
      <c r="H24" s="5"/>
      <c r="I24" s="5"/>
      <c r="J24" s="5"/>
      <c r="K24" s="5"/>
      <c r="L24" s="5"/>
    </row>
    <row r="25" spans="1:18" x14ac:dyDescent="0.3">
      <c r="A25" s="10"/>
      <c r="B25" s="10"/>
      <c r="C25" s="10"/>
      <c r="D25" s="10"/>
      <c r="E25" s="10"/>
      <c r="F25" s="10"/>
      <c r="G25" s="10"/>
      <c r="H25" s="10"/>
      <c r="I25" s="10"/>
      <c r="J25" s="10"/>
      <c r="K25" s="10"/>
      <c r="L25" s="10"/>
      <c r="M25" s="10"/>
    </row>
    <row r="26" spans="1:18" x14ac:dyDescent="0.3">
      <c r="A26" s="10" t="s">
        <v>10</v>
      </c>
      <c r="B26" s="10"/>
      <c r="C26" s="10"/>
      <c r="D26" s="10"/>
      <c r="E26" s="10"/>
      <c r="F26" s="10"/>
      <c r="G26" s="10"/>
      <c r="H26" s="10"/>
      <c r="I26" s="10"/>
      <c r="J26" s="10"/>
      <c r="K26" s="10"/>
      <c r="L26" s="10"/>
      <c r="M26" s="10"/>
      <c r="N26" s="12"/>
    </row>
    <row r="27" spans="1:18" x14ac:dyDescent="0.3">
      <c r="A27" s="103" t="s">
        <v>451</v>
      </c>
      <c r="B27" s="104"/>
      <c r="C27" s="200">
        <v>5000</v>
      </c>
      <c r="D27" s="104"/>
      <c r="E27" s="104"/>
      <c r="F27" s="104"/>
      <c r="I27" s="10"/>
      <c r="J27" s="10"/>
      <c r="K27" s="10"/>
      <c r="L27" s="10"/>
      <c r="M27" s="10"/>
      <c r="N27" s="12"/>
    </row>
    <row r="28" spans="1:18" x14ac:dyDescent="0.3">
      <c r="A28" s="103" t="s">
        <v>452</v>
      </c>
      <c r="B28" s="104"/>
      <c r="C28" s="284">
        <v>0.13700000000000001</v>
      </c>
      <c r="D28" s="104"/>
      <c r="E28" s="104"/>
      <c r="F28" s="104"/>
      <c r="I28" s="10"/>
      <c r="J28" s="10"/>
      <c r="K28" s="10"/>
      <c r="L28" s="10"/>
      <c r="M28" s="10"/>
      <c r="N28" s="12"/>
    </row>
    <row r="29" spans="1:18" x14ac:dyDescent="0.3">
      <c r="A29" s="103" t="s">
        <v>453</v>
      </c>
      <c r="B29" s="104"/>
      <c r="C29" s="285">
        <v>0.27</v>
      </c>
      <c r="D29" s="104"/>
      <c r="E29" s="104"/>
      <c r="F29" s="104"/>
      <c r="M29" s="12"/>
      <c r="N29" s="12"/>
    </row>
    <row r="30" spans="1:18" x14ac:dyDescent="0.3">
      <c r="A30" s="103" t="s">
        <v>454</v>
      </c>
      <c r="B30" s="104"/>
      <c r="C30" s="200">
        <v>440</v>
      </c>
      <c r="D30" s="104"/>
      <c r="E30" s="104"/>
      <c r="F30" s="104"/>
      <c r="M30" s="12"/>
      <c r="N30" s="12"/>
    </row>
    <row r="31" spans="1:18" x14ac:dyDescent="0.3">
      <c r="A31" s="103"/>
      <c r="B31" s="104"/>
      <c r="C31" s="103"/>
      <c r="D31" s="103"/>
      <c r="E31" s="104"/>
      <c r="F31" s="104"/>
      <c r="M31" s="12"/>
      <c r="N31" s="12"/>
    </row>
    <row r="32" spans="1:18" x14ac:dyDescent="0.3">
      <c r="A32" s="103" t="s">
        <v>455</v>
      </c>
      <c r="B32" s="104"/>
      <c r="C32" s="200">
        <f>C27*(1-C28)</f>
        <v>4315</v>
      </c>
      <c r="D32" s="104"/>
      <c r="E32" s="104"/>
      <c r="F32" s="104"/>
      <c r="M32" s="12"/>
      <c r="N32" s="12"/>
    </row>
    <row r="33" spans="1:14" x14ac:dyDescent="0.3">
      <c r="A33" s="103" t="s">
        <v>456</v>
      </c>
      <c r="B33" s="104"/>
      <c r="C33" s="200">
        <f>(C32+C30)/(1-C29)</f>
        <v>6513.6986301369861</v>
      </c>
      <c r="D33" s="104"/>
      <c r="E33" s="104"/>
      <c r="F33" s="104"/>
      <c r="M33" s="12"/>
      <c r="N33" s="12"/>
    </row>
    <row r="35" spans="1:14" x14ac:dyDescent="0.3">
      <c r="A35" s="6" t="s">
        <v>48</v>
      </c>
      <c r="B35" s="4"/>
      <c r="C35" s="4"/>
      <c r="D35" s="4"/>
      <c r="E35" s="4"/>
      <c r="F35" s="4"/>
      <c r="G35" s="4"/>
      <c r="H35" s="4"/>
      <c r="I35" s="4"/>
      <c r="J35" s="4"/>
      <c r="K35" s="4"/>
      <c r="L35" s="4"/>
    </row>
    <row r="36" spans="1:14" x14ac:dyDescent="0.3">
      <c r="A36" s="10"/>
      <c r="B36" s="10"/>
      <c r="C36" s="10"/>
      <c r="D36" s="10"/>
      <c r="E36" s="10"/>
      <c r="F36" s="10"/>
      <c r="G36" s="10"/>
      <c r="H36" s="10"/>
      <c r="I36" s="10"/>
      <c r="J36" s="10"/>
      <c r="K36" s="10"/>
      <c r="L36" s="10"/>
    </row>
    <row r="37" spans="1:14" x14ac:dyDescent="0.3">
      <c r="A37" s="6" t="s">
        <v>82</v>
      </c>
      <c r="B37" s="4"/>
      <c r="C37" s="4"/>
      <c r="D37" s="4"/>
      <c r="E37" s="4"/>
      <c r="F37" s="4"/>
      <c r="G37" s="4"/>
      <c r="H37" s="4"/>
      <c r="I37" s="4"/>
      <c r="J37" s="4"/>
      <c r="K37" s="4"/>
      <c r="L37" s="4"/>
    </row>
  </sheetData>
  <mergeCells count="14">
    <mergeCell ref="A6:L7"/>
    <mergeCell ref="A19:L20"/>
    <mergeCell ref="D11:E11"/>
    <mergeCell ref="D12:E12"/>
    <mergeCell ref="D13:E13"/>
    <mergeCell ref="D14:E14"/>
    <mergeCell ref="F11:G11"/>
    <mergeCell ref="F12:G12"/>
    <mergeCell ref="F13:G13"/>
    <mergeCell ref="F14:G14"/>
    <mergeCell ref="B11:C11"/>
    <mergeCell ref="B12:C12"/>
    <mergeCell ref="B13:C13"/>
    <mergeCell ref="B14:C14"/>
  </mergeCells>
  <pageMargins left="0.39370078740157483" right="0.39370078740157483" top="0.39370078740157483" bottom="0.39370078740157483" header="0.31496062992125984" footer="0.31496062992125984"/>
  <pageSetup scale="80" orientation="portrait" verticalDpi="1200" r:id="rId1"/>
  <headerFooter>
    <oddFooter>&amp;L&amp;F [&amp;A]&amp;R&amp;P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6389F-F7F8-4FA9-9E18-E675923596CC}">
  <dimension ref="A1:R57"/>
  <sheetViews>
    <sheetView zoomScaleNormal="100" workbookViewId="0"/>
  </sheetViews>
  <sheetFormatPr defaultRowHeight="15.6" x14ac:dyDescent="0.3"/>
  <cols>
    <col min="1" max="1" width="8.88671875" style="2" customWidth="1"/>
    <col min="2" max="2" width="12.77734375" style="2" customWidth="1"/>
    <col min="3" max="4" width="20.77734375" style="2" customWidth="1"/>
    <col min="5" max="5" width="19.77734375" style="2" customWidth="1"/>
    <col min="6" max="6" width="15" style="2" customWidth="1"/>
    <col min="7" max="9" width="11.77734375" style="2" customWidth="1"/>
    <col min="10" max="16384" width="8.88671875" style="2"/>
  </cols>
  <sheetData>
    <row r="1" spans="1:12" ht="17.399999999999999" x14ac:dyDescent="0.3">
      <c r="A1" s="3" t="s">
        <v>179</v>
      </c>
      <c r="B1" s="5"/>
      <c r="C1" s="23" t="s">
        <v>68</v>
      </c>
      <c r="D1" s="5"/>
      <c r="E1" s="5"/>
      <c r="F1" s="5"/>
      <c r="G1" s="5"/>
      <c r="H1" s="5"/>
      <c r="I1" s="5"/>
      <c r="J1" s="5"/>
      <c r="K1" s="5"/>
      <c r="L1" s="4"/>
    </row>
    <row r="2" spans="1:12" x14ac:dyDescent="0.3">
      <c r="A2" s="5"/>
      <c r="B2" s="5"/>
      <c r="C2" s="5"/>
      <c r="D2" s="5"/>
      <c r="E2" s="5"/>
      <c r="F2" s="5"/>
      <c r="G2" s="5"/>
      <c r="H2" s="5"/>
      <c r="I2" s="5"/>
      <c r="J2" s="5"/>
      <c r="K2" s="5"/>
      <c r="L2" s="4"/>
    </row>
    <row r="3" spans="1:12" x14ac:dyDescent="0.3">
      <c r="A3" s="5" t="s">
        <v>180</v>
      </c>
      <c r="B3" s="5"/>
      <c r="C3" s="5"/>
      <c r="D3" s="5"/>
      <c r="E3" s="5"/>
      <c r="F3" s="5"/>
      <c r="G3" s="5"/>
      <c r="H3" s="5"/>
      <c r="I3" s="5"/>
      <c r="J3" s="5"/>
      <c r="K3" s="5"/>
      <c r="L3" s="4"/>
    </row>
    <row r="4" spans="1:12" x14ac:dyDescent="0.3">
      <c r="A4" s="23"/>
      <c r="B4" s="23"/>
      <c r="C4" s="23"/>
      <c r="D4" s="23"/>
      <c r="E4" s="23"/>
      <c r="F4" s="23"/>
      <c r="G4" s="23"/>
      <c r="H4" s="23"/>
      <c r="I4" s="23"/>
      <c r="J4" s="23"/>
      <c r="K4" s="23"/>
      <c r="L4" s="23"/>
    </row>
    <row r="6" spans="1:12" x14ac:dyDescent="0.3">
      <c r="A6" s="6" t="s">
        <v>51</v>
      </c>
      <c r="B6" s="4"/>
      <c r="C6" s="4"/>
      <c r="D6" s="4"/>
      <c r="E6" s="4"/>
      <c r="F6" s="4"/>
      <c r="G6" s="4"/>
      <c r="H6" s="4"/>
      <c r="I6" s="4"/>
      <c r="J6" s="4"/>
      <c r="K6" s="4"/>
      <c r="L6" s="4"/>
    </row>
    <row r="7" spans="1:12" x14ac:dyDescent="0.3">
      <c r="A7" s="10"/>
      <c r="B7" s="10"/>
      <c r="C7" s="10"/>
      <c r="D7" s="10"/>
      <c r="E7" s="10"/>
      <c r="F7" s="10"/>
      <c r="G7" s="10"/>
      <c r="H7" s="10"/>
      <c r="I7" s="10"/>
      <c r="J7" s="10"/>
      <c r="K7" s="10"/>
      <c r="L7" s="10"/>
    </row>
    <row r="8" spans="1:12" x14ac:dyDescent="0.3">
      <c r="A8" s="5" t="s">
        <v>181</v>
      </c>
      <c r="B8" s="5"/>
      <c r="C8" s="5"/>
      <c r="D8" s="5"/>
      <c r="E8" s="5"/>
      <c r="F8" s="5"/>
      <c r="G8" s="5"/>
      <c r="H8" s="5"/>
      <c r="I8" s="5"/>
      <c r="J8" s="5"/>
      <c r="K8" s="5"/>
      <c r="L8" s="4"/>
    </row>
    <row r="9" spans="1:12" x14ac:dyDescent="0.3">
      <c r="A9" s="5"/>
      <c r="B9" s="5"/>
      <c r="C9" s="5"/>
      <c r="D9" s="5"/>
      <c r="E9" s="5"/>
      <c r="F9" s="5"/>
      <c r="G9" s="5"/>
      <c r="H9" s="5"/>
      <c r="I9" s="5"/>
      <c r="J9" s="5"/>
      <c r="K9" s="5"/>
      <c r="L9" s="4"/>
    </row>
    <row r="10" spans="1:12" ht="41.4" x14ac:dyDescent="0.3">
      <c r="A10" s="5"/>
      <c r="B10" s="344" t="s">
        <v>127</v>
      </c>
      <c r="C10" s="344"/>
      <c r="D10" s="70" t="s">
        <v>297</v>
      </c>
      <c r="E10" s="70" t="s">
        <v>182</v>
      </c>
      <c r="F10" s="5"/>
      <c r="G10" s="5"/>
      <c r="H10" s="5"/>
      <c r="I10" s="5"/>
      <c r="J10" s="5"/>
      <c r="K10" s="5"/>
      <c r="L10" s="4"/>
    </row>
    <row r="11" spans="1:12" x14ac:dyDescent="0.3">
      <c r="A11" s="5"/>
      <c r="B11" s="372">
        <v>2016</v>
      </c>
      <c r="C11" s="372"/>
      <c r="D11" s="54">
        <v>7420</v>
      </c>
      <c r="E11" s="54">
        <v>7950</v>
      </c>
      <c r="F11" s="5"/>
      <c r="G11" s="5"/>
      <c r="H11" s="5"/>
      <c r="I11" s="5"/>
      <c r="J11" s="5"/>
      <c r="K11" s="5"/>
      <c r="L11" s="4"/>
    </row>
    <row r="12" spans="1:12" x14ac:dyDescent="0.3">
      <c r="A12" s="5"/>
      <c r="B12" s="372">
        <v>2017</v>
      </c>
      <c r="C12" s="372"/>
      <c r="D12" s="54">
        <v>7800</v>
      </c>
      <c r="E12" s="54">
        <v>8150</v>
      </c>
      <c r="F12" s="5"/>
      <c r="G12" s="5"/>
      <c r="H12" s="5"/>
      <c r="I12" s="5"/>
      <c r="J12" s="5"/>
      <c r="K12" s="5"/>
      <c r="L12" s="4"/>
    </row>
    <row r="13" spans="1:12" x14ac:dyDescent="0.3">
      <c r="A13" s="5"/>
      <c r="B13" s="372">
        <v>2018</v>
      </c>
      <c r="C13" s="372"/>
      <c r="D13" s="54">
        <v>8500</v>
      </c>
      <c r="E13" s="54">
        <v>8690</v>
      </c>
      <c r="F13" s="5"/>
      <c r="G13" s="5"/>
      <c r="H13" s="5"/>
      <c r="I13" s="5"/>
      <c r="J13" s="5"/>
      <c r="K13" s="5"/>
      <c r="L13" s="4"/>
    </row>
    <row r="14" spans="1:12" x14ac:dyDescent="0.3">
      <c r="A14" s="5"/>
      <c r="B14" s="372">
        <v>2019</v>
      </c>
      <c r="C14" s="372"/>
      <c r="D14" s="54">
        <v>9150</v>
      </c>
      <c r="E14" s="54">
        <v>9320</v>
      </c>
      <c r="F14" s="5"/>
      <c r="G14" s="5"/>
      <c r="H14" s="5"/>
      <c r="I14" s="5"/>
      <c r="J14" s="5"/>
      <c r="K14" s="5"/>
      <c r="L14" s="4"/>
    </row>
    <row r="15" spans="1:12" x14ac:dyDescent="0.3">
      <c r="A15" s="5"/>
      <c r="B15" s="5"/>
      <c r="C15" s="5"/>
      <c r="D15" s="5"/>
      <c r="E15" s="5"/>
      <c r="F15" s="5"/>
      <c r="G15" s="5"/>
      <c r="H15" s="5"/>
      <c r="I15" s="5"/>
      <c r="J15" s="5"/>
      <c r="K15" s="5"/>
      <c r="L15" s="4"/>
    </row>
    <row r="16" spans="1:12" x14ac:dyDescent="0.3">
      <c r="A16" s="5"/>
      <c r="B16" s="384" t="s">
        <v>183</v>
      </c>
      <c r="C16" s="384"/>
      <c r="D16" s="70" t="s">
        <v>298</v>
      </c>
      <c r="E16" s="70" t="s">
        <v>184</v>
      </c>
      <c r="F16" s="5"/>
      <c r="G16" s="5"/>
      <c r="H16" s="5"/>
      <c r="I16" s="5"/>
      <c r="J16" s="5"/>
      <c r="K16" s="5"/>
      <c r="L16" s="4"/>
    </row>
    <row r="17" spans="1:12" x14ac:dyDescent="0.3">
      <c r="A17" s="5"/>
      <c r="B17" s="378" t="s">
        <v>185</v>
      </c>
      <c r="C17" s="378"/>
      <c r="D17" s="88">
        <v>0.04</v>
      </c>
      <c r="E17" s="88">
        <v>0.05</v>
      </c>
      <c r="F17" s="5"/>
      <c r="G17" s="5"/>
      <c r="H17" s="5"/>
      <c r="I17" s="5"/>
      <c r="J17" s="5"/>
      <c r="K17" s="5"/>
      <c r="L17" s="4"/>
    </row>
    <row r="18" spans="1:12" x14ac:dyDescent="0.3">
      <c r="A18" s="5"/>
      <c r="B18" s="378" t="s">
        <v>186</v>
      </c>
      <c r="C18" s="378"/>
      <c r="D18" s="71">
        <v>0.6</v>
      </c>
      <c r="E18" s="71">
        <v>0.5</v>
      </c>
      <c r="F18" s="5"/>
      <c r="G18" s="5"/>
      <c r="H18" s="5"/>
      <c r="I18" s="5"/>
      <c r="J18" s="5"/>
      <c r="K18" s="5"/>
      <c r="L18" s="4"/>
    </row>
    <row r="19" spans="1:12" x14ac:dyDescent="0.3">
      <c r="A19" s="5"/>
      <c r="B19" s="378" t="s">
        <v>187</v>
      </c>
      <c r="C19" s="378"/>
      <c r="D19" s="88">
        <v>0.05</v>
      </c>
      <c r="E19" s="88">
        <v>0.06</v>
      </c>
      <c r="F19" s="5"/>
      <c r="G19" s="5"/>
      <c r="H19" s="5"/>
      <c r="I19" s="5"/>
      <c r="J19" s="5"/>
      <c r="K19" s="5"/>
      <c r="L19" s="4"/>
    </row>
    <row r="20" spans="1:12" x14ac:dyDescent="0.3">
      <c r="A20" s="5"/>
      <c r="B20" s="5"/>
      <c r="C20" s="5"/>
      <c r="D20" s="5"/>
      <c r="E20" s="5"/>
      <c r="F20" s="5"/>
      <c r="G20" s="5"/>
      <c r="H20" s="5"/>
      <c r="I20" s="5"/>
      <c r="J20" s="5"/>
      <c r="K20" s="5"/>
      <c r="L20" s="4"/>
    </row>
    <row r="21" spans="1:12" x14ac:dyDescent="0.3">
      <c r="A21" s="5"/>
      <c r="B21" s="42" t="s">
        <v>63</v>
      </c>
      <c r="C21" s="5" t="s">
        <v>188</v>
      </c>
      <c r="D21" s="5"/>
      <c r="E21" s="5"/>
      <c r="F21" s="5"/>
      <c r="G21" s="5"/>
      <c r="H21" s="5"/>
      <c r="I21" s="5"/>
      <c r="J21" s="5"/>
      <c r="K21" s="5"/>
      <c r="L21" s="4"/>
    </row>
    <row r="22" spans="1:12" x14ac:dyDescent="0.3">
      <c r="A22" s="5"/>
      <c r="B22" s="42" t="s">
        <v>63</v>
      </c>
      <c r="C22" s="5" t="s">
        <v>189</v>
      </c>
      <c r="D22" s="5"/>
      <c r="E22" s="5"/>
      <c r="F22" s="5"/>
      <c r="G22" s="5"/>
      <c r="H22" s="5"/>
      <c r="I22" s="5"/>
      <c r="J22" s="5"/>
      <c r="K22" s="5"/>
      <c r="L22" s="4"/>
    </row>
    <row r="23" spans="1:12" x14ac:dyDescent="0.3">
      <c r="A23" s="5"/>
      <c r="B23" s="42" t="s">
        <v>63</v>
      </c>
      <c r="C23" s="5" t="s">
        <v>8</v>
      </c>
      <c r="D23" s="5"/>
      <c r="E23" s="5"/>
      <c r="F23" s="5"/>
      <c r="G23" s="5"/>
      <c r="H23" s="5"/>
      <c r="I23" s="5"/>
      <c r="J23" s="5"/>
      <c r="K23" s="5"/>
      <c r="L23" s="4"/>
    </row>
    <row r="24" spans="1:12" x14ac:dyDescent="0.3">
      <c r="A24" s="5"/>
      <c r="B24" s="5"/>
      <c r="C24" s="5"/>
      <c r="D24" s="5"/>
      <c r="E24" s="5"/>
      <c r="F24" s="5"/>
      <c r="G24" s="5"/>
      <c r="H24" s="5"/>
      <c r="I24" s="5"/>
      <c r="J24" s="5"/>
      <c r="K24" s="5"/>
      <c r="L24" s="4"/>
    </row>
    <row r="25" spans="1:12" x14ac:dyDescent="0.3">
      <c r="A25" s="5" t="s">
        <v>190</v>
      </c>
      <c r="B25" s="5"/>
      <c r="C25" s="5"/>
      <c r="D25" s="5"/>
      <c r="E25" s="5"/>
      <c r="F25" s="5"/>
      <c r="G25" s="5"/>
      <c r="H25" s="5"/>
      <c r="I25" s="5"/>
      <c r="J25" s="5"/>
      <c r="K25" s="5"/>
      <c r="L25" s="4"/>
    </row>
    <row r="26" spans="1:12" x14ac:dyDescent="0.3">
      <c r="A26" s="5"/>
      <c r="B26" s="5"/>
      <c r="C26" s="5"/>
      <c r="D26" s="5"/>
      <c r="E26" s="5"/>
      <c r="F26" s="5"/>
      <c r="G26" s="5"/>
      <c r="H26" s="5"/>
      <c r="I26" s="5"/>
      <c r="J26" s="5"/>
      <c r="K26" s="5"/>
      <c r="L26" s="4"/>
    </row>
    <row r="27" spans="1:12" ht="27.6" x14ac:dyDescent="0.3">
      <c r="A27" s="5"/>
      <c r="B27" s="70" t="s">
        <v>127</v>
      </c>
      <c r="C27" s="70" t="s">
        <v>191</v>
      </c>
      <c r="D27" s="5"/>
      <c r="E27" s="5"/>
      <c r="F27" s="5"/>
      <c r="G27" s="5"/>
      <c r="H27" s="5"/>
      <c r="I27" s="5"/>
      <c r="J27" s="5"/>
      <c r="K27" s="5"/>
      <c r="L27" s="4"/>
    </row>
    <row r="28" spans="1:12" x14ac:dyDescent="0.3">
      <c r="A28" s="5"/>
      <c r="B28" s="22">
        <v>2016</v>
      </c>
      <c r="C28" s="67">
        <v>1.1819999999999999</v>
      </c>
      <c r="D28" s="5"/>
      <c r="E28" s="5"/>
      <c r="F28" s="5"/>
      <c r="G28" s="5"/>
      <c r="H28" s="5"/>
      <c r="I28" s="5"/>
      <c r="J28" s="5"/>
      <c r="K28" s="5"/>
      <c r="L28" s="4"/>
    </row>
    <row r="29" spans="1:12" x14ac:dyDescent="0.3">
      <c r="A29" s="5"/>
      <c r="B29" s="22">
        <v>2017</v>
      </c>
      <c r="C29" s="67">
        <v>1.1850000000000001</v>
      </c>
      <c r="D29" s="5"/>
      <c r="E29" s="5"/>
      <c r="F29" s="5"/>
      <c r="G29" s="5"/>
      <c r="H29" s="5"/>
      <c r="I29" s="5"/>
      <c r="J29" s="5"/>
      <c r="K29" s="5"/>
      <c r="L29" s="4"/>
    </row>
    <row r="30" spans="1:12" x14ac:dyDescent="0.3">
      <c r="A30" s="5"/>
      <c r="B30" s="22">
        <v>2018</v>
      </c>
      <c r="C30" s="67">
        <v>1.27</v>
      </c>
      <c r="D30" s="5"/>
      <c r="E30" s="5"/>
      <c r="F30" s="5"/>
      <c r="G30" s="5"/>
      <c r="H30" s="5"/>
      <c r="I30" s="5"/>
      <c r="J30" s="5"/>
      <c r="K30" s="5"/>
      <c r="L30" s="4"/>
    </row>
    <row r="31" spans="1:12" x14ac:dyDescent="0.3">
      <c r="A31" s="5"/>
      <c r="B31" s="22">
        <v>2019</v>
      </c>
      <c r="C31" s="67">
        <v>1.2849999999999999</v>
      </c>
      <c r="D31" s="5"/>
      <c r="E31" s="5"/>
      <c r="F31" s="5"/>
      <c r="G31" s="5"/>
      <c r="H31" s="5"/>
      <c r="I31" s="5"/>
      <c r="J31" s="5"/>
      <c r="K31" s="5"/>
      <c r="L31" s="4"/>
    </row>
    <row r="32" spans="1:12" x14ac:dyDescent="0.3">
      <c r="A32" s="23"/>
      <c r="B32" s="23"/>
      <c r="C32" s="23"/>
      <c r="D32" s="23"/>
      <c r="E32" s="23"/>
      <c r="F32" s="23"/>
      <c r="G32" s="23"/>
      <c r="H32" s="23"/>
      <c r="I32" s="23"/>
      <c r="J32" s="23"/>
      <c r="K32" s="23"/>
      <c r="L32" s="23"/>
    </row>
    <row r="33" spans="1:18" x14ac:dyDescent="0.3">
      <c r="A33" s="10"/>
      <c r="B33" s="10"/>
      <c r="C33" s="10"/>
      <c r="D33" s="10"/>
      <c r="E33" s="10"/>
      <c r="F33" s="10"/>
      <c r="G33" s="10"/>
      <c r="H33" s="10"/>
      <c r="I33" s="10"/>
      <c r="J33" s="10"/>
      <c r="K33" s="10"/>
      <c r="L33" s="10"/>
    </row>
    <row r="34" spans="1:18" x14ac:dyDescent="0.3">
      <c r="A34" s="7" t="s">
        <v>15</v>
      </c>
      <c r="B34" s="5" t="s">
        <v>192</v>
      </c>
      <c r="C34" s="5"/>
      <c r="D34" s="5"/>
      <c r="E34" s="5"/>
      <c r="F34" s="5"/>
      <c r="G34" s="5"/>
      <c r="H34" s="5"/>
      <c r="I34" s="5"/>
      <c r="J34" s="5"/>
      <c r="K34" s="5"/>
      <c r="L34" s="5"/>
      <c r="M34" s="12"/>
      <c r="N34" s="12"/>
      <c r="O34" s="12"/>
      <c r="P34" s="12"/>
      <c r="Q34" s="12"/>
      <c r="R34" s="12"/>
    </row>
    <row r="35" spans="1:18" x14ac:dyDescent="0.3">
      <c r="A35" s="4"/>
      <c r="B35" s="4"/>
      <c r="C35" s="4"/>
      <c r="D35" s="4"/>
      <c r="E35" s="4"/>
      <c r="F35" s="4"/>
      <c r="G35" s="5"/>
      <c r="H35" s="5"/>
      <c r="I35" s="5"/>
      <c r="J35" s="5"/>
      <c r="K35" s="5"/>
      <c r="L35" s="5"/>
    </row>
    <row r="36" spans="1:18" x14ac:dyDescent="0.3">
      <c r="A36" s="10"/>
      <c r="B36" s="10"/>
      <c r="C36" s="10"/>
      <c r="D36" s="10"/>
      <c r="E36" s="10"/>
      <c r="F36" s="10"/>
      <c r="G36" s="10"/>
      <c r="H36" s="10"/>
      <c r="I36" s="10"/>
      <c r="J36" s="10"/>
      <c r="K36" s="10"/>
      <c r="L36" s="10"/>
      <c r="M36" s="10"/>
    </row>
    <row r="37" spans="1:18" x14ac:dyDescent="0.3">
      <c r="A37" s="10" t="s">
        <v>10</v>
      </c>
      <c r="B37" s="10"/>
      <c r="C37" s="10"/>
      <c r="D37" s="10"/>
      <c r="E37" s="10"/>
      <c r="F37" s="10"/>
      <c r="G37" s="10"/>
      <c r="H37" s="10"/>
      <c r="I37" s="10"/>
      <c r="J37" s="10"/>
      <c r="K37" s="10"/>
      <c r="L37" s="10"/>
      <c r="M37" s="10"/>
      <c r="N37" s="12"/>
    </row>
    <row r="38" spans="1:18" x14ac:dyDescent="0.3">
      <c r="A38" s="10"/>
      <c r="B38" s="143" t="s">
        <v>458</v>
      </c>
      <c r="C38" s="143"/>
      <c r="D38" s="143"/>
      <c r="E38" s="151">
        <f>D17*D18+(1-D18)*D19</f>
        <v>4.4000000000000004E-2</v>
      </c>
      <c r="F38" s="151"/>
      <c r="G38" s="260"/>
      <c r="H38" s="260"/>
      <c r="I38" s="260"/>
      <c r="J38" s="10"/>
      <c r="K38" s="10"/>
      <c r="L38" s="10"/>
      <c r="M38" s="10"/>
      <c r="N38" s="12"/>
    </row>
    <row r="39" spans="1:18" x14ac:dyDescent="0.3">
      <c r="A39" s="10"/>
      <c r="B39" s="143" t="s">
        <v>459</v>
      </c>
      <c r="C39" s="143"/>
      <c r="D39" s="143"/>
      <c r="E39" s="151">
        <f>E17*E18+(1-E18)*E19</f>
        <v>5.5E-2</v>
      </c>
      <c r="F39" s="143"/>
      <c r="G39" s="260"/>
      <c r="H39" s="260"/>
      <c r="I39" s="260"/>
      <c r="J39" s="10"/>
      <c r="K39" s="10"/>
      <c r="L39" s="10"/>
      <c r="M39" s="10"/>
      <c r="N39" s="12"/>
    </row>
    <row r="40" spans="1:18" x14ac:dyDescent="0.3">
      <c r="A40" s="10"/>
      <c r="B40" s="260"/>
      <c r="C40" s="260"/>
      <c r="D40" s="143"/>
      <c r="E40" s="143"/>
      <c r="F40" s="143"/>
      <c r="G40" s="143"/>
      <c r="H40" s="143"/>
      <c r="I40" s="151"/>
      <c r="J40" s="10"/>
      <c r="K40" s="10"/>
      <c r="L40" s="10"/>
      <c r="M40" s="10"/>
      <c r="N40" s="12"/>
    </row>
    <row r="41" spans="1:18" x14ac:dyDescent="0.3">
      <c r="A41" s="10"/>
      <c r="B41" s="143"/>
      <c r="C41" s="286" t="s">
        <v>464</v>
      </c>
      <c r="D41" s="286"/>
      <c r="E41" s="143"/>
      <c r="F41" s="286" t="s">
        <v>460</v>
      </c>
      <c r="G41" s="286"/>
      <c r="H41" s="143"/>
      <c r="I41" s="143"/>
      <c r="J41" s="10"/>
      <c r="K41" s="10"/>
      <c r="L41" s="10"/>
      <c r="M41" s="10"/>
      <c r="N41" s="12"/>
    </row>
    <row r="42" spans="1:18" ht="31.2" x14ac:dyDescent="0.3">
      <c r="A42" s="10"/>
      <c r="B42" s="146" t="s">
        <v>127</v>
      </c>
      <c r="C42" s="193" t="s">
        <v>280</v>
      </c>
      <c r="D42" s="109" t="s">
        <v>363</v>
      </c>
      <c r="E42" s="146" t="s">
        <v>364</v>
      </c>
      <c r="F42" s="291">
        <f>E38</f>
        <v>4.4000000000000004E-2</v>
      </c>
      <c r="G42" s="291">
        <f>E39</f>
        <v>5.5E-2</v>
      </c>
      <c r="H42" s="143"/>
      <c r="I42" s="143"/>
      <c r="J42" s="10"/>
      <c r="K42" s="10"/>
      <c r="L42" s="10"/>
      <c r="M42" s="10"/>
      <c r="N42" s="12"/>
    </row>
    <row r="43" spans="1:18" x14ac:dyDescent="0.3">
      <c r="A43" s="10"/>
      <c r="B43" s="179">
        <v>2016</v>
      </c>
      <c r="C43" s="287">
        <f>DATE(B43,7,1)</f>
        <v>42552</v>
      </c>
      <c r="D43" s="287">
        <v>44652</v>
      </c>
      <c r="E43" s="179">
        <f>(12*YEAR(D43)+MONTH(D43))-(12*YEAR(C43)+MONTH(C43))</f>
        <v>69</v>
      </c>
      <c r="F43" s="144">
        <f>(1+$F$42)^(E43/12)</f>
        <v>1.2809372856749013</v>
      </c>
      <c r="G43" s="144">
        <f>(1+$G$42)^(E43/12)</f>
        <v>1.360509701209095</v>
      </c>
      <c r="H43" s="143"/>
      <c r="I43" s="143"/>
      <c r="J43" s="10"/>
      <c r="K43" s="10"/>
      <c r="L43" s="10"/>
      <c r="M43" s="10"/>
      <c r="N43" s="12"/>
    </row>
    <row r="44" spans="1:18" x14ac:dyDescent="0.3">
      <c r="A44" s="10"/>
      <c r="B44" s="179">
        <v>2017</v>
      </c>
      <c r="C44" s="287">
        <f t="shared" ref="C44:C46" si="0">DATE(B44,7,1)</f>
        <v>42917</v>
      </c>
      <c r="D44" s="287">
        <v>44652</v>
      </c>
      <c r="E44" s="179">
        <f t="shared" ref="E44:E46" si="1">(12*YEAR(D44)+MONTH(D44))-(12*YEAR(C44)+MONTH(C44))</f>
        <v>57</v>
      </c>
      <c r="F44" s="144">
        <f t="shared" ref="F44:F46" si="2">(1+$F$42)^(E44/12)</f>
        <v>1.2269514230602503</v>
      </c>
      <c r="G44" s="144">
        <f t="shared" ref="G44:G46" si="3">(1+$G$42)^(E44/12)</f>
        <v>1.2895826551744978</v>
      </c>
      <c r="H44" s="143"/>
      <c r="I44" s="143"/>
      <c r="J44" s="10"/>
      <c r="K44" s="10"/>
      <c r="L44" s="10"/>
      <c r="M44" s="10"/>
      <c r="N44" s="12"/>
    </row>
    <row r="45" spans="1:18" x14ac:dyDescent="0.3">
      <c r="A45" s="10"/>
      <c r="B45" s="179">
        <v>2018</v>
      </c>
      <c r="C45" s="287">
        <f t="shared" si="0"/>
        <v>43282</v>
      </c>
      <c r="D45" s="287">
        <v>44652</v>
      </c>
      <c r="E45" s="179">
        <f t="shared" si="1"/>
        <v>45</v>
      </c>
      <c r="F45" s="144">
        <f t="shared" si="2"/>
        <v>1.1752408266860634</v>
      </c>
      <c r="G45" s="144">
        <f t="shared" si="3"/>
        <v>1.2223532276535523</v>
      </c>
      <c r="H45" s="143"/>
      <c r="I45" s="143"/>
      <c r="J45" s="10"/>
      <c r="K45" s="10"/>
      <c r="L45" s="10"/>
      <c r="M45" s="10"/>
      <c r="N45" s="12"/>
    </row>
    <row r="46" spans="1:18" x14ac:dyDescent="0.3">
      <c r="A46" s="10"/>
      <c r="B46" s="179">
        <v>2019</v>
      </c>
      <c r="C46" s="287">
        <f t="shared" si="0"/>
        <v>43647</v>
      </c>
      <c r="D46" s="287">
        <v>44652</v>
      </c>
      <c r="E46" s="179">
        <f t="shared" si="1"/>
        <v>33</v>
      </c>
      <c r="F46" s="144">
        <f t="shared" si="2"/>
        <v>1.1257096041054246</v>
      </c>
      <c r="G46" s="144">
        <f t="shared" si="3"/>
        <v>1.1586286518043152</v>
      </c>
      <c r="H46" s="143"/>
      <c r="I46" s="143"/>
      <c r="J46" s="10"/>
      <c r="K46" s="10"/>
      <c r="L46" s="10"/>
      <c r="M46" s="10"/>
      <c r="N46" s="12"/>
    </row>
    <row r="47" spans="1:18" x14ac:dyDescent="0.3">
      <c r="A47" s="10"/>
      <c r="B47" s="179"/>
      <c r="C47" s="287"/>
      <c r="D47" s="287"/>
      <c r="E47" s="179"/>
      <c r="F47" s="144"/>
      <c r="G47" s="144"/>
      <c r="H47" s="143"/>
      <c r="I47" s="143"/>
      <c r="J47" s="10"/>
      <c r="K47" s="10"/>
      <c r="L47" s="10"/>
      <c r="M47" s="10"/>
      <c r="N47" s="12"/>
    </row>
    <row r="48" spans="1:18" x14ac:dyDescent="0.3">
      <c r="A48" s="10"/>
      <c r="B48" s="179"/>
      <c r="C48" s="286" t="s">
        <v>461</v>
      </c>
      <c r="D48" s="286"/>
      <c r="E48" s="143"/>
      <c r="F48" s="143"/>
      <c r="G48" s="143"/>
      <c r="H48" s="143"/>
      <c r="I48" s="143"/>
      <c r="J48" s="10"/>
      <c r="K48" s="10"/>
      <c r="L48" s="10"/>
      <c r="M48" s="10"/>
      <c r="N48" s="12"/>
    </row>
    <row r="49" spans="1:14" ht="46.8" x14ac:dyDescent="0.3">
      <c r="A49" s="10"/>
      <c r="B49" s="146" t="s">
        <v>127</v>
      </c>
      <c r="C49" s="146" t="s">
        <v>457</v>
      </c>
      <c r="D49" s="146" t="s">
        <v>184</v>
      </c>
      <c r="E49" s="146" t="s">
        <v>462</v>
      </c>
      <c r="F49" s="146" t="s">
        <v>463</v>
      </c>
      <c r="G49" s="288"/>
      <c r="H49" s="143"/>
      <c r="I49" s="143"/>
      <c r="J49" s="10"/>
      <c r="K49" s="10"/>
      <c r="L49" s="10"/>
      <c r="M49" s="10"/>
      <c r="N49" s="12"/>
    </row>
    <row r="50" spans="1:14" x14ac:dyDescent="0.3">
      <c r="A50" s="10"/>
      <c r="B50" s="179">
        <v>2016</v>
      </c>
      <c r="C50" s="289">
        <f t="shared" ref="C50:D53" si="4">D11*F43</f>
        <v>9504.5546597077682</v>
      </c>
      <c r="D50" s="289">
        <f t="shared" si="4"/>
        <v>10816.052124612304</v>
      </c>
      <c r="E50" s="144">
        <f>D50/C50</f>
        <v>1.1379862089135337</v>
      </c>
      <c r="F50" s="144">
        <f>E50*C28</f>
        <v>1.3450996989357968</v>
      </c>
      <c r="G50" s="290"/>
      <c r="H50" s="143"/>
      <c r="I50" s="128"/>
      <c r="J50" s="10"/>
      <c r="K50" s="10"/>
      <c r="L50" s="10"/>
      <c r="M50" s="10"/>
      <c r="N50" s="12"/>
    </row>
    <row r="51" spans="1:14" x14ac:dyDescent="0.3">
      <c r="A51" s="10"/>
      <c r="B51" s="179">
        <v>2017</v>
      </c>
      <c r="C51" s="289">
        <f t="shared" si="4"/>
        <v>9570.221099869952</v>
      </c>
      <c r="D51" s="289">
        <f t="shared" si="4"/>
        <v>10510.098639672156</v>
      </c>
      <c r="E51" s="144">
        <f>D51/C51</f>
        <v>1.0982085502512555</v>
      </c>
      <c r="F51" s="144">
        <f>E51*C29</f>
        <v>1.3013771320477379</v>
      </c>
      <c r="G51" s="290"/>
      <c r="H51" s="143"/>
      <c r="I51" s="128"/>
      <c r="J51" s="10"/>
      <c r="K51" s="10"/>
      <c r="L51" s="10"/>
      <c r="M51" s="10"/>
      <c r="N51" s="12"/>
    </row>
    <row r="52" spans="1:14" x14ac:dyDescent="0.3">
      <c r="A52" s="10"/>
      <c r="B52" s="179">
        <v>2018</v>
      </c>
      <c r="C52" s="289">
        <f t="shared" si="4"/>
        <v>9989.5470268315385</v>
      </c>
      <c r="D52" s="289">
        <f t="shared" si="4"/>
        <v>10622.24954830937</v>
      </c>
      <c r="E52" s="144">
        <f>D52/C52</f>
        <v>1.0633364575769468</v>
      </c>
      <c r="F52" s="144">
        <f>E52*C30</f>
        <v>1.3504373011227224</v>
      </c>
      <c r="G52" s="290"/>
      <c r="H52" s="143"/>
      <c r="I52" s="128"/>
      <c r="J52" s="10"/>
      <c r="K52" s="10"/>
      <c r="L52" s="10"/>
      <c r="M52" s="10"/>
      <c r="N52" s="12"/>
    </row>
    <row r="53" spans="1:14" x14ac:dyDescent="0.3">
      <c r="A53" s="10"/>
      <c r="B53" s="179">
        <v>2019</v>
      </c>
      <c r="C53" s="289">
        <f t="shared" si="4"/>
        <v>10300.242877564635</v>
      </c>
      <c r="D53" s="289">
        <f t="shared" si="4"/>
        <v>10798.419034816217</v>
      </c>
      <c r="E53" s="144">
        <f>D53/C53</f>
        <v>1.0483654767342117</v>
      </c>
      <c r="F53" s="144">
        <f>E53*C31</f>
        <v>1.347149637603462</v>
      </c>
      <c r="G53" s="290"/>
      <c r="H53" s="143"/>
      <c r="I53" s="143"/>
      <c r="J53" s="10"/>
      <c r="K53" s="10"/>
      <c r="L53" s="10"/>
      <c r="M53" s="10"/>
      <c r="N53" s="12"/>
    </row>
    <row r="55" spans="1:14" x14ac:dyDescent="0.3">
      <c r="A55" s="6" t="s">
        <v>47</v>
      </c>
      <c r="B55" s="4"/>
      <c r="C55" s="4"/>
      <c r="D55" s="4"/>
      <c r="E55" s="4"/>
      <c r="F55" s="4"/>
      <c r="G55" s="4"/>
      <c r="H55" s="4"/>
      <c r="I55" s="4"/>
      <c r="J55" s="4"/>
      <c r="K55" s="4"/>
      <c r="L55" s="4"/>
    </row>
    <row r="56" spans="1:14" x14ac:dyDescent="0.3">
      <c r="A56" s="10"/>
      <c r="B56" s="10"/>
      <c r="C56" s="10"/>
      <c r="D56" s="10"/>
      <c r="E56" s="10"/>
      <c r="F56" s="10"/>
      <c r="G56" s="10"/>
      <c r="H56" s="10"/>
      <c r="I56" s="10"/>
      <c r="J56" s="10"/>
      <c r="K56" s="10"/>
      <c r="L56" s="10"/>
    </row>
    <row r="57" spans="1:14" x14ac:dyDescent="0.3">
      <c r="A57" s="6" t="s">
        <v>48</v>
      </c>
      <c r="B57" s="4"/>
      <c r="C57" s="4"/>
      <c r="D57" s="4"/>
      <c r="E57" s="4"/>
      <c r="F57" s="4"/>
      <c r="G57" s="4"/>
      <c r="H57" s="4"/>
      <c r="I57" s="4"/>
      <c r="J57" s="4"/>
      <c r="K57" s="4"/>
      <c r="L57" s="4"/>
    </row>
  </sheetData>
  <mergeCells count="9">
    <mergeCell ref="B17:C17"/>
    <mergeCell ref="B18:C18"/>
    <mergeCell ref="B19:C19"/>
    <mergeCell ref="B16:C16"/>
    <mergeCell ref="B10:C10"/>
    <mergeCell ref="B11:C11"/>
    <mergeCell ref="B12:C12"/>
    <mergeCell ref="B13:C13"/>
    <mergeCell ref="B14:C14"/>
  </mergeCells>
  <pageMargins left="0.39370078740157483" right="0.39370078740157483" top="0.39370078740157483" bottom="0.39370078740157483" header="0.31496062992125984" footer="0.31496062992125984"/>
  <pageSetup scale="74" orientation="portrait" verticalDpi="1200" r:id="rId1"/>
  <headerFooter>
    <oddFooter>&amp;L&amp;F [&amp;A]&amp;R&amp;P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B3D1B-51FD-4A7D-AD3D-9B11F35449C6}">
  <dimension ref="A1:R130"/>
  <sheetViews>
    <sheetView zoomScaleNormal="100" workbookViewId="0"/>
  </sheetViews>
  <sheetFormatPr defaultRowHeight="15.6" x14ac:dyDescent="0.3"/>
  <cols>
    <col min="1" max="1" width="8.88671875" style="2" customWidth="1"/>
    <col min="2" max="8" width="11.77734375" style="2" customWidth="1"/>
    <col min="9" max="9" width="14.77734375" style="2" customWidth="1"/>
    <col min="10" max="12" width="9.77734375" style="2" customWidth="1"/>
    <col min="13" max="16384" width="8.88671875" style="2"/>
  </cols>
  <sheetData>
    <row r="1" spans="1:12" ht="17.399999999999999" x14ac:dyDescent="0.3">
      <c r="A1" s="3" t="s">
        <v>193</v>
      </c>
      <c r="B1" s="5"/>
      <c r="C1" s="23" t="s">
        <v>160</v>
      </c>
      <c r="D1" s="5"/>
      <c r="E1" s="5"/>
      <c r="F1" s="5"/>
      <c r="G1" s="5"/>
      <c r="H1" s="5"/>
      <c r="I1" s="5"/>
      <c r="J1" s="5"/>
      <c r="K1" s="5"/>
      <c r="L1" s="4"/>
    </row>
    <row r="2" spans="1:12" x14ac:dyDescent="0.3">
      <c r="A2" s="5"/>
      <c r="B2" s="5"/>
      <c r="C2" s="5"/>
      <c r="D2" s="5"/>
      <c r="E2" s="5"/>
      <c r="F2" s="5"/>
      <c r="G2" s="5"/>
      <c r="H2" s="5"/>
      <c r="I2" s="5"/>
      <c r="J2" s="5"/>
      <c r="K2" s="5"/>
      <c r="L2" s="4"/>
    </row>
    <row r="3" spans="1:12" x14ac:dyDescent="0.3">
      <c r="A3" s="5" t="s">
        <v>194</v>
      </c>
      <c r="B3" s="5"/>
      <c r="C3" s="5"/>
      <c r="D3" s="5"/>
      <c r="E3" s="5"/>
      <c r="F3" s="5"/>
      <c r="G3" s="5"/>
      <c r="H3" s="5"/>
      <c r="I3" s="5"/>
      <c r="J3" s="5"/>
      <c r="K3" s="5"/>
      <c r="L3" s="4"/>
    </row>
    <row r="4" spans="1:12" x14ac:dyDescent="0.3">
      <c r="A4" s="23"/>
      <c r="B4" s="23"/>
      <c r="C4" s="23"/>
      <c r="D4" s="23"/>
      <c r="E4" s="23"/>
      <c r="F4" s="23"/>
      <c r="G4" s="23"/>
      <c r="H4" s="23"/>
      <c r="I4" s="23"/>
      <c r="J4" s="23"/>
      <c r="K4" s="23"/>
      <c r="L4" s="23"/>
    </row>
    <row r="5" spans="1:12" x14ac:dyDescent="0.3">
      <c r="A5" s="23"/>
      <c r="B5" s="370" t="s">
        <v>127</v>
      </c>
      <c r="C5" s="370" t="s">
        <v>20</v>
      </c>
      <c r="D5" s="370"/>
      <c r="E5" s="370"/>
      <c r="F5" s="370"/>
      <c r="G5" s="370"/>
      <c r="H5" s="370"/>
      <c r="I5" s="370" t="s">
        <v>289</v>
      </c>
      <c r="J5" s="23"/>
      <c r="K5" s="23"/>
      <c r="L5" s="23"/>
    </row>
    <row r="6" spans="1:12" ht="16.2" customHeight="1" x14ac:dyDescent="0.3">
      <c r="A6" s="23"/>
      <c r="B6" s="387"/>
      <c r="C6" s="19">
        <v>12</v>
      </c>
      <c r="D6" s="19">
        <v>24</v>
      </c>
      <c r="E6" s="19">
        <v>36</v>
      </c>
      <c r="F6" s="19">
        <v>48</v>
      </c>
      <c r="G6" s="19">
        <v>60</v>
      </c>
      <c r="H6" s="19">
        <v>72</v>
      </c>
      <c r="I6" s="370"/>
      <c r="J6" s="23"/>
      <c r="K6" s="23"/>
      <c r="L6" s="23"/>
    </row>
    <row r="7" spans="1:12" x14ac:dyDescent="0.3">
      <c r="A7" s="23"/>
      <c r="B7" s="22">
        <v>2014</v>
      </c>
      <c r="C7" s="21">
        <v>3013</v>
      </c>
      <c r="D7" s="21">
        <v>4401</v>
      </c>
      <c r="E7" s="21">
        <v>5552</v>
      </c>
      <c r="F7" s="21">
        <v>6159</v>
      </c>
      <c r="G7" s="21">
        <v>6509</v>
      </c>
      <c r="H7" s="21">
        <v>6557</v>
      </c>
      <c r="I7" s="21">
        <v>6557</v>
      </c>
      <c r="J7" s="23"/>
      <c r="K7" s="23"/>
      <c r="L7" s="23"/>
    </row>
    <row r="8" spans="1:12" x14ac:dyDescent="0.3">
      <c r="A8" s="23"/>
      <c r="B8" s="22">
        <v>2015</v>
      </c>
      <c r="C8" s="21">
        <v>3401</v>
      </c>
      <c r="D8" s="21">
        <v>4902</v>
      </c>
      <c r="E8" s="21">
        <v>6078</v>
      </c>
      <c r="F8" s="21">
        <v>6747</v>
      </c>
      <c r="G8" s="21">
        <v>7242</v>
      </c>
      <c r="H8" s="22"/>
      <c r="I8" s="21">
        <v>7293</v>
      </c>
      <c r="J8" s="23"/>
      <c r="K8" s="23"/>
      <c r="L8" s="23"/>
    </row>
    <row r="9" spans="1:12" x14ac:dyDescent="0.3">
      <c r="A9" s="23"/>
      <c r="B9" s="22">
        <v>2016</v>
      </c>
      <c r="C9" s="21">
        <v>3559</v>
      </c>
      <c r="D9" s="21">
        <v>5374</v>
      </c>
      <c r="E9" s="21">
        <v>6744</v>
      </c>
      <c r="F9" s="21">
        <v>7544</v>
      </c>
      <c r="G9" s="22"/>
      <c r="H9" s="22"/>
      <c r="I9" s="21">
        <v>8087</v>
      </c>
      <c r="J9" s="23"/>
      <c r="K9" s="23"/>
      <c r="L9" s="23"/>
    </row>
    <row r="10" spans="1:12" x14ac:dyDescent="0.3">
      <c r="A10" s="23"/>
      <c r="B10" s="22">
        <v>2017</v>
      </c>
      <c r="C10" s="21">
        <v>3189</v>
      </c>
      <c r="D10" s="21">
        <v>4604</v>
      </c>
      <c r="E10" s="21">
        <v>5988</v>
      </c>
      <c r="F10" s="72"/>
      <c r="G10" s="72"/>
      <c r="H10" s="72"/>
      <c r="I10" s="21">
        <v>7150</v>
      </c>
      <c r="J10" s="23"/>
      <c r="K10" s="23"/>
      <c r="L10" s="23"/>
    </row>
    <row r="11" spans="1:12" x14ac:dyDescent="0.3">
      <c r="A11" s="23"/>
      <c r="B11" s="22">
        <v>2018</v>
      </c>
      <c r="C11" s="22">
        <v>3.2919999999999998</v>
      </c>
      <c r="D11" s="21">
        <v>5018</v>
      </c>
      <c r="E11" s="22"/>
      <c r="F11" s="72"/>
      <c r="G11" s="72"/>
      <c r="H11" s="72"/>
      <c r="I11" s="21">
        <v>7572</v>
      </c>
      <c r="J11" s="23"/>
      <c r="K11" s="23"/>
      <c r="L11" s="23"/>
    </row>
    <row r="12" spans="1:12" x14ac:dyDescent="0.3">
      <c r="A12" s="23"/>
      <c r="B12" s="22">
        <v>2019</v>
      </c>
      <c r="C12" s="21">
        <v>3537</v>
      </c>
      <c r="D12" s="22"/>
      <c r="E12" s="22"/>
      <c r="F12" s="72"/>
      <c r="G12" s="72"/>
      <c r="H12" s="72"/>
      <c r="I12" s="21">
        <v>7875</v>
      </c>
      <c r="J12" s="23"/>
      <c r="K12" s="23"/>
      <c r="L12" s="23"/>
    </row>
    <row r="13" spans="1:12" x14ac:dyDescent="0.3">
      <c r="A13" s="23"/>
      <c r="B13" s="23"/>
      <c r="C13" s="23"/>
      <c r="D13" s="23"/>
      <c r="E13" s="23"/>
      <c r="F13" s="23"/>
      <c r="G13" s="23"/>
      <c r="H13" s="23"/>
      <c r="I13" s="23"/>
      <c r="J13" s="23"/>
      <c r="K13" s="23"/>
      <c r="L13" s="23"/>
    </row>
    <row r="14" spans="1:12" x14ac:dyDescent="0.3">
      <c r="A14" s="23"/>
      <c r="B14" s="23" t="s">
        <v>195</v>
      </c>
      <c r="C14" s="23"/>
      <c r="D14" s="23"/>
      <c r="E14" s="23"/>
      <c r="F14" s="23"/>
      <c r="G14" s="23"/>
      <c r="H14" s="23"/>
      <c r="I14" s="23"/>
      <c r="J14" s="23"/>
      <c r="K14" s="23"/>
      <c r="L14" s="23"/>
    </row>
    <row r="15" spans="1:12" x14ac:dyDescent="0.3">
      <c r="A15" s="23"/>
      <c r="B15" s="23"/>
      <c r="C15" s="23"/>
      <c r="D15" s="23"/>
      <c r="E15" s="23"/>
      <c r="F15" s="23"/>
      <c r="G15" s="23"/>
      <c r="H15" s="23"/>
      <c r="I15" s="23"/>
      <c r="J15" s="23"/>
      <c r="K15" s="23"/>
      <c r="L15" s="23"/>
    </row>
    <row r="16" spans="1:12" x14ac:dyDescent="0.3">
      <c r="A16" s="23" t="s">
        <v>196</v>
      </c>
      <c r="B16" s="23"/>
      <c r="C16" s="23"/>
      <c r="D16" s="23"/>
      <c r="E16" s="23"/>
      <c r="F16" s="23"/>
      <c r="G16" s="23"/>
      <c r="H16" s="23"/>
      <c r="I16" s="23"/>
      <c r="J16" s="23"/>
      <c r="K16" s="23"/>
      <c r="L16" s="23"/>
    </row>
    <row r="17" spans="1:18" x14ac:dyDescent="0.3">
      <c r="A17" s="23"/>
      <c r="B17" s="23"/>
      <c r="C17" s="23"/>
      <c r="D17" s="23"/>
      <c r="E17" s="23"/>
      <c r="F17" s="23"/>
      <c r="G17" s="23"/>
      <c r="H17" s="23"/>
      <c r="I17" s="23"/>
      <c r="J17" s="23"/>
      <c r="K17" s="23"/>
      <c r="L17" s="23"/>
    </row>
    <row r="18" spans="1:18" x14ac:dyDescent="0.3">
      <c r="A18" s="23"/>
      <c r="B18" s="370" t="s">
        <v>127</v>
      </c>
      <c r="C18" s="370" t="s">
        <v>197</v>
      </c>
      <c r="D18" s="388"/>
      <c r="E18" s="23"/>
      <c r="F18" s="23"/>
      <c r="G18" s="23"/>
      <c r="H18" s="23"/>
      <c r="I18" s="23"/>
      <c r="J18" s="23"/>
      <c r="K18" s="23"/>
      <c r="L18" s="23"/>
    </row>
    <row r="19" spans="1:18" x14ac:dyDescent="0.3">
      <c r="A19" s="23"/>
      <c r="B19" s="387"/>
      <c r="C19" s="370"/>
      <c r="D19" s="388"/>
      <c r="E19" s="23"/>
      <c r="F19" s="23"/>
      <c r="G19" s="23"/>
      <c r="H19" s="23"/>
      <c r="I19" s="23"/>
      <c r="J19" s="23"/>
      <c r="K19" s="23"/>
      <c r="L19" s="23"/>
    </row>
    <row r="20" spans="1:18" x14ac:dyDescent="0.3">
      <c r="A20" s="23"/>
      <c r="B20" s="22">
        <v>2014</v>
      </c>
      <c r="C20" s="386">
        <v>6557</v>
      </c>
      <c r="D20" s="386"/>
      <c r="E20" s="23"/>
      <c r="F20" s="23"/>
      <c r="G20" s="23"/>
      <c r="H20" s="23"/>
      <c r="I20" s="23"/>
      <c r="J20" s="23"/>
      <c r="K20" s="23"/>
      <c r="L20" s="23"/>
    </row>
    <row r="21" spans="1:18" x14ac:dyDescent="0.3">
      <c r="A21" s="23"/>
      <c r="B21" s="22">
        <v>2015</v>
      </c>
      <c r="C21" s="386">
        <v>7283</v>
      </c>
      <c r="D21" s="386"/>
      <c r="E21" s="23"/>
      <c r="F21" s="23"/>
      <c r="G21" s="23"/>
      <c r="H21" s="23"/>
      <c r="I21" s="23"/>
      <c r="J21" s="23"/>
      <c r="K21" s="23"/>
      <c r="L21" s="23"/>
    </row>
    <row r="22" spans="1:18" x14ac:dyDescent="0.3">
      <c r="A22" s="23"/>
      <c r="B22" s="22">
        <v>2016</v>
      </c>
      <c r="C22" s="386">
        <v>7923</v>
      </c>
      <c r="D22" s="386"/>
      <c r="E22" s="23"/>
      <c r="F22" s="23"/>
      <c r="G22" s="23"/>
      <c r="H22" s="23"/>
      <c r="I22" s="23"/>
      <c r="J22" s="23"/>
      <c r="K22" s="23"/>
      <c r="L22" s="23"/>
    </row>
    <row r="23" spans="1:18" x14ac:dyDescent="0.3">
      <c r="A23" s="23"/>
      <c r="B23" s="22">
        <v>2017</v>
      </c>
      <c r="C23" s="386">
        <v>6572</v>
      </c>
      <c r="D23" s="386"/>
      <c r="E23" s="23"/>
      <c r="F23" s="23"/>
      <c r="G23" s="23"/>
      <c r="H23" s="23"/>
      <c r="I23" s="23"/>
      <c r="J23" s="23"/>
      <c r="K23" s="23"/>
      <c r="L23" s="23"/>
    </row>
    <row r="24" spans="1:18" x14ac:dyDescent="0.3">
      <c r="A24" s="23"/>
      <c r="B24" s="22">
        <v>2018</v>
      </c>
      <c r="C24" s="386">
        <v>6335</v>
      </c>
      <c r="D24" s="386"/>
      <c r="E24" s="23"/>
      <c r="F24" s="23"/>
      <c r="G24" s="23"/>
      <c r="H24" s="23"/>
      <c r="I24" s="23"/>
      <c r="J24" s="23"/>
      <c r="K24" s="23"/>
      <c r="L24" s="23"/>
    </row>
    <row r="25" spans="1:18" x14ac:dyDescent="0.3">
      <c r="A25" s="23"/>
      <c r="B25" s="22">
        <v>2019</v>
      </c>
      <c r="C25" s="386">
        <v>5129</v>
      </c>
      <c r="D25" s="386"/>
      <c r="E25" s="23"/>
      <c r="F25" s="23"/>
      <c r="G25" s="23"/>
      <c r="H25" s="23"/>
      <c r="I25" s="23"/>
      <c r="J25" s="23"/>
      <c r="K25" s="23"/>
      <c r="L25" s="23"/>
    </row>
    <row r="26" spans="1:18" x14ac:dyDescent="0.3">
      <c r="A26" s="23"/>
      <c r="B26" s="23"/>
      <c r="C26" s="23"/>
      <c r="D26" s="23"/>
      <c r="E26" s="23"/>
      <c r="F26" s="23"/>
      <c r="G26" s="23"/>
      <c r="H26" s="23"/>
      <c r="I26" s="23"/>
      <c r="J26" s="23"/>
      <c r="K26" s="23"/>
      <c r="L26" s="23"/>
    </row>
    <row r="27" spans="1:18" x14ac:dyDescent="0.3">
      <c r="A27" s="10"/>
      <c r="B27" s="10"/>
      <c r="C27" s="10"/>
      <c r="D27" s="10"/>
      <c r="E27" s="10"/>
      <c r="F27" s="10"/>
      <c r="G27" s="10"/>
      <c r="H27" s="10"/>
      <c r="I27" s="10"/>
      <c r="J27" s="10"/>
      <c r="K27" s="10"/>
      <c r="L27" s="10"/>
    </row>
    <row r="28" spans="1:18" x14ac:dyDescent="0.3">
      <c r="A28" s="7" t="s">
        <v>14</v>
      </c>
      <c r="B28" s="357" t="s">
        <v>198</v>
      </c>
      <c r="C28" s="358"/>
      <c r="D28" s="358"/>
      <c r="E28" s="358"/>
      <c r="F28" s="358"/>
      <c r="G28" s="358"/>
      <c r="H28" s="358"/>
      <c r="I28" s="358"/>
      <c r="J28" s="358"/>
      <c r="K28" s="358"/>
      <c r="L28" s="358"/>
      <c r="M28" s="12"/>
      <c r="N28" s="12"/>
      <c r="O28" s="12"/>
      <c r="P28" s="12"/>
      <c r="Q28" s="12"/>
      <c r="R28" s="12"/>
    </row>
    <row r="29" spans="1:18" x14ac:dyDescent="0.3">
      <c r="A29" s="7"/>
      <c r="B29" s="358"/>
      <c r="C29" s="358"/>
      <c r="D29" s="358"/>
      <c r="E29" s="358"/>
      <c r="F29" s="358"/>
      <c r="G29" s="358"/>
      <c r="H29" s="358"/>
      <c r="I29" s="358"/>
      <c r="J29" s="358"/>
      <c r="K29" s="358"/>
      <c r="L29" s="358"/>
      <c r="M29" s="12"/>
      <c r="N29" s="12"/>
      <c r="O29" s="12"/>
      <c r="P29" s="12"/>
      <c r="Q29" s="12"/>
      <c r="R29" s="12"/>
    </row>
    <row r="30" spans="1:18" x14ac:dyDescent="0.3">
      <c r="A30" s="4"/>
      <c r="B30" s="4"/>
      <c r="C30" s="4"/>
      <c r="D30" s="4"/>
      <c r="E30" s="4"/>
      <c r="F30" s="4"/>
      <c r="G30" s="5"/>
      <c r="H30" s="5"/>
      <c r="I30" s="5"/>
      <c r="J30" s="5"/>
      <c r="K30" s="5"/>
      <c r="L30" s="5"/>
    </row>
    <row r="31" spans="1:18" x14ac:dyDescent="0.3">
      <c r="A31" s="10"/>
      <c r="B31" s="10"/>
      <c r="C31" s="10"/>
      <c r="D31" s="10"/>
      <c r="E31" s="10"/>
      <c r="F31" s="10"/>
      <c r="G31" s="10"/>
      <c r="H31" s="10"/>
      <c r="I31" s="10"/>
      <c r="J31" s="10"/>
      <c r="K31" s="10"/>
      <c r="L31" s="10"/>
      <c r="M31" s="10"/>
    </row>
    <row r="32" spans="1:18" x14ac:dyDescent="0.3">
      <c r="A32" s="10" t="s">
        <v>10</v>
      </c>
      <c r="B32" s="10"/>
      <c r="C32" s="10"/>
      <c r="D32" s="10"/>
      <c r="E32" s="10"/>
      <c r="F32" s="10"/>
      <c r="G32" s="10"/>
      <c r="H32" s="10"/>
      <c r="I32" s="10"/>
      <c r="J32" s="10"/>
      <c r="K32" s="10"/>
      <c r="L32" s="10"/>
      <c r="M32" s="10"/>
      <c r="N32" s="12"/>
    </row>
    <row r="33" spans="1:14" ht="46.8" x14ac:dyDescent="0.3">
      <c r="B33" s="162" t="s">
        <v>465</v>
      </c>
      <c r="C33" s="292" t="s">
        <v>102</v>
      </c>
      <c r="D33" s="293" t="s">
        <v>466</v>
      </c>
      <c r="E33" s="293" t="s">
        <v>467</v>
      </c>
      <c r="F33" s="293" t="s">
        <v>468</v>
      </c>
      <c r="G33" s="293" t="s">
        <v>469</v>
      </c>
      <c r="H33" s="293" t="s">
        <v>471</v>
      </c>
      <c r="I33" s="293" t="s">
        <v>470</v>
      </c>
      <c r="J33" s="292" t="s">
        <v>326</v>
      </c>
      <c r="K33" s="10"/>
      <c r="L33" s="10"/>
      <c r="M33" s="10"/>
      <c r="N33" s="12"/>
    </row>
    <row r="34" spans="1:14" x14ac:dyDescent="0.3">
      <c r="B34" s="147">
        <v>2014</v>
      </c>
      <c r="C34" s="161">
        <f t="shared" ref="C34:C39" si="0">I7</f>
        <v>6557</v>
      </c>
      <c r="D34" s="161">
        <f>H7</f>
        <v>6557</v>
      </c>
      <c r="E34" s="161">
        <f t="shared" ref="E34:E39" si="1">C20</f>
        <v>6557</v>
      </c>
      <c r="F34" s="229">
        <f t="shared" ref="F34:F39" si="2">D34/C34</f>
        <v>1</v>
      </c>
      <c r="G34" s="229">
        <f>F34</f>
        <v>1</v>
      </c>
      <c r="H34" s="161">
        <f>C34*(G34-F34)</f>
        <v>0</v>
      </c>
      <c r="I34" s="161">
        <f t="shared" ref="I34:I39" si="3">E34-D34</f>
        <v>0</v>
      </c>
      <c r="J34" s="161">
        <f t="shared" ref="J34:J38" si="4">I34-H34</f>
        <v>0</v>
      </c>
      <c r="K34" s="10"/>
      <c r="L34" s="10"/>
      <c r="M34" s="10"/>
      <c r="N34" s="12"/>
    </row>
    <row r="35" spans="1:14" x14ac:dyDescent="0.3">
      <c r="B35" s="147">
        <v>2015</v>
      </c>
      <c r="C35" s="161">
        <f t="shared" si="0"/>
        <v>7293</v>
      </c>
      <c r="D35" s="161">
        <f>G8</f>
        <v>7242</v>
      </c>
      <c r="E35" s="161">
        <f t="shared" si="1"/>
        <v>7283</v>
      </c>
      <c r="F35" s="229">
        <f t="shared" si="2"/>
        <v>0.99300699300699302</v>
      </c>
      <c r="G35" s="229">
        <f t="shared" ref="G35:G38" si="5">(3/12)*F35+(9/12)*F34</f>
        <v>0.99825174825174823</v>
      </c>
      <c r="H35" s="161">
        <f>(C35-D35)*(G35-F35)/(1-F35)</f>
        <v>38.249999999999801</v>
      </c>
      <c r="I35" s="161">
        <f t="shared" si="3"/>
        <v>41</v>
      </c>
      <c r="J35" s="161">
        <f t="shared" si="4"/>
        <v>2.750000000000199</v>
      </c>
      <c r="K35" s="10"/>
      <c r="L35" s="10"/>
      <c r="M35" s="10"/>
      <c r="N35" s="12"/>
    </row>
    <row r="36" spans="1:14" x14ac:dyDescent="0.3">
      <c r="B36" s="147">
        <v>2016</v>
      </c>
      <c r="C36" s="161">
        <f t="shared" si="0"/>
        <v>8087</v>
      </c>
      <c r="D36" s="161">
        <f>F9</f>
        <v>7544</v>
      </c>
      <c r="E36" s="161">
        <f t="shared" si="1"/>
        <v>7923</v>
      </c>
      <c r="F36" s="229">
        <f t="shared" si="2"/>
        <v>0.93285519970322739</v>
      </c>
      <c r="G36" s="229">
        <f t="shared" si="5"/>
        <v>0.97796904468105161</v>
      </c>
      <c r="H36" s="161">
        <f>(C36-D36)*(G36-F36)/(1-F36)</f>
        <v>364.83566433566443</v>
      </c>
      <c r="I36" s="161">
        <f t="shared" si="3"/>
        <v>379</v>
      </c>
      <c r="J36" s="161">
        <f>I36-H36</f>
        <v>14.164335664335567</v>
      </c>
      <c r="K36" s="10"/>
      <c r="L36" s="10"/>
      <c r="M36" s="10"/>
      <c r="N36" s="12"/>
    </row>
    <row r="37" spans="1:14" x14ac:dyDescent="0.3">
      <c r="B37" s="147">
        <v>2017</v>
      </c>
      <c r="C37" s="161">
        <f t="shared" si="0"/>
        <v>7150</v>
      </c>
      <c r="D37" s="161">
        <f>E10</f>
        <v>5988</v>
      </c>
      <c r="E37" s="161">
        <f t="shared" si="1"/>
        <v>6572</v>
      </c>
      <c r="F37" s="229">
        <f t="shared" si="2"/>
        <v>0.83748251748251745</v>
      </c>
      <c r="G37" s="229">
        <f t="shared" si="5"/>
        <v>0.9090120291480499</v>
      </c>
      <c r="H37" s="161">
        <f>(C37-D37)*(G37-F37)/(1-F37)</f>
        <v>511.43600840855697</v>
      </c>
      <c r="I37" s="161">
        <f t="shared" si="3"/>
        <v>584</v>
      </c>
      <c r="J37" s="161">
        <f t="shared" si="4"/>
        <v>72.563991591443028</v>
      </c>
      <c r="K37" s="10"/>
      <c r="L37" s="10"/>
      <c r="M37" s="10"/>
      <c r="N37" s="12"/>
    </row>
    <row r="38" spans="1:14" x14ac:dyDescent="0.3">
      <c r="B38" s="147">
        <v>2018</v>
      </c>
      <c r="C38" s="161">
        <f t="shared" si="0"/>
        <v>7572</v>
      </c>
      <c r="D38" s="161">
        <f>D11</f>
        <v>5018</v>
      </c>
      <c r="E38" s="161">
        <f t="shared" si="1"/>
        <v>6335</v>
      </c>
      <c r="F38" s="229">
        <f t="shared" si="2"/>
        <v>0.66270470153195982</v>
      </c>
      <c r="G38" s="229">
        <f t="shared" si="5"/>
        <v>0.79378806349487807</v>
      </c>
      <c r="H38" s="161">
        <f>(C38-D38)*(G38-F38)/(1-F38)</f>
        <v>992.56321678321694</v>
      </c>
      <c r="I38" s="161">
        <f t="shared" si="3"/>
        <v>1317</v>
      </c>
      <c r="J38" s="161">
        <f t="shared" si="4"/>
        <v>324.43678321678306</v>
      </c>
      <c r="K38" s="10"/>
      <c r="L38" s="10"/>
      <c r="M38" s="10"/>
      <c r="N38" s="12"/>
    </row>
    <row r="39" spans="1:14" x14ac:dyDescent="0.3">
      <c r="B39" s="162">
        <v>2019</v>
      </c>
      <c r="C39" s="165">
        <f t="shared" si="0"/>
        <v>7875</v>
      </c>
      <c r="D39" s="165">
        <f>C12</f>
        <v>3537</v>
      </c>
      <c r="E39" s="165">
        <f t="shared" si="1"/>
        <v>5129</v>
      </c>
      <c r="F39" s="233">
        <f t="shared" si="2"/>
        <v>0.44914285714285712</v>
      </c>
      <c r="G39" s="233">
        <f>(3/12)*F39+(9/12)*F38</f>
        <v>0.60931424043468418</v>
      </c>
      <c r="H39" s="165">
        <f>(C39-D39)*(G39-F39)/(1-F39)</f>
        <v>1261.3496434231381</v>
      </c>
      <c r="I39" s="165">
        <f t="shared" si="3"/>
        <v>1592</v>
      </c>
      <c r="J39" s="165">
        <f>I39-H39</f>
        <v>330.6503565768619</v>
      </c>
      <c r="K39" s="10"/>
      <c r="L39" s="10"/>
      <c r="M39" s="10"/>
      <c r="N39" s="12"/>
    </row>
    <row r="40" spans="1:14" x14ac:dyDescent="0.3">
      <c r="B40" s="147" t="s">
        <v>323</v>
      </c>
      <c r="C40" s="161">
        <f>SUM(C34:C39)</f>
        <v>44534</v>
      </c>
      <c r="D40" s="161">
        <f>SUM(D34:D39)</f>
        <v>35886</v>
      </c>
      <c r="E40" s="161">
        <f>SUM(E34:E39)</f>
        <v>39799</v>
      </c>
      <c r="F40" s="161"/>
      <c r="G40" s="161"/>
      <c r="H40" s="161">
        <f t="shared" ref="H40:J40" si="6">SUM(H34:H39)</f>
        <v>3168.4345329505759</v>
      </c>
      <c r="I40" s="161">
        <f t="shared" si="6"/>
        <v>3913</v>
      </c>
      <c r="J40" s="161">
        <f t="shared" si="6"/>
        <v>744.56546704942377</v>
      </c>
      <c r="K40" s="10"/>
      <c r="L40" s="10"/>
      <c r="M40" s="10"/>
      <c r="N40" s="12"/>
    </row>
    <row r="41" spans="1:14" x14ac:dyDescent="0.3">
      <c r="M41" s="12"/>
      <c r="N41" s="12"/>
    </row>
    <row r="42" spans="1:14" x14ac:dyDescent="0.3">
      <c r="A42" s="6" t="s">
        <v>33</v>
      </c>
      <c r="B42" s="4"/>
      <c r="C42" s="4"/>
      <c r="D42" s="4"/>
      <c r="E42" s="4"/>
      <c r="F42" s="4"/>
      <c r="G42" s="4"/>
      <c r="H42" s="4"/>
      <c r="I42" s="4"/>
      <c r="J42" s="4"/>
      <c r="K42" s="4"/>
      <c r="L42" s="4"/>
      <c r="M42" s="12"/>
      <c r="N42" s="12"/>
    </row>
    <row r="44" spans="1:14" x14ac:dyDescent="0.3">
      <c r="A44" s="385" t="s">
        <v>199</v>
      </c>
      <c r="B44" s="358"/>
      <c r="C44" s="358"/>
      <c r="D44" s="358"/>
      <c r="E44" s="358"/>
      <c r="F44" s="358"/>
      <c r="G44" s="358"/>
      <c r="H44" s="358"/>
      <c r="I44" s="358"/>
      <c r="J44" s="358"/>
      <c r="K44" s="358"/>
      <c r="L44" s="358"/>
    </row>
    <row r="45" spans="1:14" x14ac:dyDescent="0.3">
      <c r="A45" s="358"/>
      <c r="B45" s="358"/>
      <c r="C45" s="358"/>
      <c r="D45" s="358"/>
      <c r="E45" s="358"/>
      <c r="F45" s="358"/>
      <c r="G45" s="358"/>
      <c r="H45" s="358"/>
      <c r="I45" s="358"/>
      <c r="J45" s="358"/>
      <c r="K45" s="358"/>
      <c r="L45" s="358"/>
    </row>
    <row r="46" spans="1:14" x14ac:dyDescent="0.3">
      <c r="A46" s="23"/>
      <c r="B46" s="23"/>
      <c r="C46" s="23"/>
      <c r="D46" s="23"/>
      <c r="E46" s="23"/>
      <c r="F46" s="23"/>
      <c r="G46" s="23"/>
      <c r="H46" s="23"/>
      <c r="I46" s="23"/>
      <c r="J46" s="23"/>
      <c r="K46" s="23"/>
      <c r="L46" s="23"/>
    </row>
    <row r="47" spans="1:14" x14ac:dyDescent="0.3">
      <c r="A47" s="23" t="s">
        <v>200</v>
      </c>
      <c r="B47" s="23"/>
      <c r="C47" s="23"/>
      <c r="D47" s="23"/>
      <c r="E47" s="23"/>
      <c r="F47" s="23"/>
      <c r="G47" s="23"/>
      <c r="H47" s="23"/>
      <c r="I47" s="23"/>
      <c r="J47" s="23"/>
      <c r="K47" s="23"/>
      <c r="L47" s="23"/>
    </row>
    <row r="48" spans="1:14" x14ac:dyDescent="0.3">
      <c r="A48" s="23"/>
      <c r="B48" s="23"/>
      <c r="C48" s="23"/>
      <c r="D48" s="23"/>
      <c r="E48" s="23"/>
      <c r="F48" s="23"/>
      <c r="G48" s="23"/>
      <c r="H48" s="23"/>
      <c r="I48" s="23"/>
      <c r="J48" s="23"/>
      <c r="K48" s="23"/>
      <c r="L48" s="23"/>
    </row>
    <row r="49" spans="1:12" x14ac:dyDescent="0.3">
      <c r="A49" s="23"/>
      <c r="B49" s="16" t="s">
        <v>5</v>
      </c>
      <c r="C49" s="340" t="s">
        <v>201</v>
      </c>
      <c r="D49" s="370"/>
      <c r="E49" s="370"/>
      <c r="F49" s="370"/>
      <c r="G49" s="370"/>
      <c r="H49" s="370"/>
      <c r="I49" s="23"/>
      <c r="J49" s="23"/>
      <c r="K49" s="23"/>
      <c r="L49" s="23"/>
    </row>
    <row r="50" spans="1:12" x14ac:dyDescent="0.3">
      <c r="A50" s="23"/>
      <c r="B50" s="17" t="s">
        <v>7</v>
      </c>
      <c r="C50" s="18">
        <v>12</v>
      </c>
      <c r="D50" s="19">
        <v>24</v>
      </c>
      <c r="E50" s="19">
        <v>36</v>
      </c>
      <c r="F50" s="19">
        <v>48</v>
      </c>
      <c r="G50" s="19">
        <v>60</v>
      </c>
      <c r="H50" s="19">
        <v>72</v>
      </c>
      <c r="I50" s="23"/>
      <c r="J50" s="23"/>
      <c r="K50" s="23"/>
      <c r="L50" s="23"/>
    </row>
    <row r="51" spans="1:12" x14ac:dyDescent="0.3">
      <c r="A51" s="23"/>
      <c r="B51" s="20">
        <v>2014</v>
      </c>
      <c r="C51" s="21">
        <v>1377</v>
      </c>
      <c r="D51" s="21">
        <v>2616</v>
      </c>
      <c r="E51" s="21">
        <v>3958</v>
      </c>
      <c r="F51" s="21">
        <v>4809</v>
      </c>
      <c r="G51" s="21">
        <v>5675</v>
      </c>
      <c r="H51" s="21">
        <v>6010</v>
      </c>
      <c r="I51" s="23"/>
      <c r="J51" s="23"/>
      <c r="K51" s="23"/>
      <c r="L51" s="23"/>
    </row>
    <row r="52" spans="1:12" x14ac:dyDescent="0.3">
      <c r="A52" s="23"/>
      <c r="B52" s="22">
        <v>2015</v>
      </c>
      <c r="C52" s="21">
        <v>1553</v>
      </c>
      <c r="D52" s="21">
        <v>2928</v>
      </c>
      <c r="E52" s="21">
        <v>4381</v>
      </c>
      <c r="F52" s="21">
        <v>5275</v>
      </c>
      <c r="G52" s="21">
        <v>6221</v>
      </c>
      <c r="H52" s="22"/>
      <c r="I52" s="23"/>
      <c r="J52" s="23"/>
      <c r="K52" s="23"/>
      <c r="L52" s="23"/>
    </row>
    <row r="53" spans="1:12" x14ac:dyDescent="0.3">
      <c r="A53" s="23"/>
      <c r="B53" s="22">
        <v>2016</v>
      </c>
      <c r="C53" s="21">
        <v>1692</v>
      </c>
      <c r="D53" s="21">
        <v>3238</v>
      </c>
      <c r="E53" s="21">
        <v>4860</v>
      </c>
      <c r="F53" s="21">
        <v>5887</v>
      </c>
      <c r="G53" s="22"/>
      <c r="H53" s="22"/>
      <c r="I53" s="23"/>
      <c r="J53" s="23"/>
      <c r="K53" s="23"/>
      <c r="L53" s="23"/>
    </row>
    <row r="54" spans="1:12" x14ac:dyDescent="0.3">
      <c r="A54" s="23"/>
      <c r="B54" s="22">
        <v>2017</v>
      </c>
      <c r="C54" s="21">
        <v>1446</v>
      </c>
      <c r="D54" s="21">
        <v>2749</v>
      </c>
      <c r="E54" s="21">
        <v>4152</v>
      </c>
      <c r="F54" s="72"/>
      <c r="G54" s="72"/>
      <c r="H54" s="72"/>
      <c r="I54" s="23"/>
      <c r="J54" s="23"/>
      <c r="K54" s="23"/>
      <c r="L54" s="23"/>
    </row>
    <row r="55" spans="1:12" x14ac:dyDescent="0.3">
      <c r="A55" s="23"/>
      <c r="B55" s="22">
        <v>2018</v>
      </c>
      <c r="C55" s="21">
        <v>1496</v>
      </c>
      <c r="D55" s="21">
        <v>2849</v>
      </c>
      <c r="E55" s="22"/>
      <c r="F55" s="72"/>
      <c r="G55" s="72"/>
      <c r="H55" s="72"/>
      <c r="I55" s="23"/>
      <c r="J55" s="23"/>
      <c r="K55" s="23"/>
      <c r="L55" s="23"/>
    </row>
    <row r="56" spans="1:12" x14ac:dyDescent="0.3">
      <c r="A56" s="23"/>
      <c r="B56" s="22">
        <v>2019</v>
      </c>
      <c r="C56" s="21">
        <v>1448</v>
      </c>
      <c r="D56" s="22"/>
      <c r="E56" s="22"/>
      <c r="F56" s="72"/>
      <c r="G56" s="72"/>
      <c r="H56" s="72"/>
      <c r="I56" s="23"/>
      <c r="J56" s="23"/>
      <c r="K56" s="23"/>
      <c r="L56" s="23"/>
    </row>
    <row r="57" spans="1:12" x14ac:dyDescent="0.3">
      <c r="A57" s="23"/>
      <c r="B57" s="73"/>
      <c r="C57" s="1"/>
      <c r="D57" s="1"/>
      <c r="E57" s="1"/>
      <c r="F57" s="1"/>
      <c r="G57" s="1"/>
      <c r="H57" s="1"/>
      <c r="I57" s="23"/>
      <c r="J57" s="23"/>
      <c r="K57" s="23"/>
      <c r="L57" s="23"/>
    </row>
    <row r="58" spans="1:12" ht="16.2" customHeight="1" x14ac:dyDescent="0.3">
      <c r="A58" s="23"/>
      <c r="B58" s="16" t="s">
        <v>5</v>
      </c>
      <c r="C58" s="340" t="s">
        <v>98</v>
      </c>
      <c r="D58" s="370"/>
      <c r="E58" s="370"/>
      <c r="F58" s="370"/>
      <c r="G58" s="370"/>
      <c r="H58" s="370"/>
      <c r="I58" s="23"/>
      <c r="J58" s="23"/>
      <c r="K58" s="23"/>
      <c r="L58" s="23"/>
    </row>
    <row r="59" spans="1:12" x14ac:dyDescent="0.3">
      <c r="A59" s="23"/>
      <c r="B59" s="17" t="s">
        <v>7</v>
      </c>
      <c r="C59" s="18">
        <v>12</v>
      </c>
      <c r="D59" s="19">
        <v>24</v>
      </c>
      <c r="E59" s="19">
        <v>36</v>
      </c>
      <c r="F59" s="19">
        <v>48</v>
      </c>
      <c r="G59" s="19">
        <v>60</v>
      </c>
      <c r="H59" s="19">
        <v>72</v>
      </c>
      <c r="I59" s="23"/>
      <c r="J59" s="23"/>
      <c r="K59" s="23"/>
      <c r="L59" s="23"/>
    </row>
    <row r="60" spans="1:12" x14ac:dyDescent="0.3">
      <c r="A60" s="23"/>
      <c r="B60" s="20">
        <v>2014</v>
      </c>
      <c r="C60" s="21">
        <v>477</v>
      </c>
      <c r="D60" s="21">
        <v>666</v>
      </c>
      <c r="E60" s="21">
        <v>727</v>
      </c>
      <c r="F60" s="21">
        <v>753</v>
      </c>
      <c r="G60" s="21">
        <v>781</v>
      </c>
      <c r="H60" s="21">
        <v>796</v>
      </c>
      <c r="I60" s="23"/>
      <c r="J60" s="23"/>
      <c r="K60" s="23"/>
      <c r="L60" s="23"/>
    </row>
    <row r="61" spans="1:12" x14ac:dyDescent="0.3">
      <c r="A61" s="23"/>
      <c r="B61" s="22">
        <v>2015</v>
      </c>
      <c r="C61" s="21">
        <v>487</v>
      </c>
      <c r="D61" s="21">
        <v>697</v>
      </c>
      <c r="E61" s="21">
        <v>762</v>
      </c>
      <c r="F61" s="21">
        <v>786</v>
      </c>
      <c r="G61" s="21">
        <v>806</v>
      </c>
      <c r="H61" s="22"/>
      <c r="I61" s="23"/>
      <c r="J61" s="23"/>
      <c r="K61" s="23"/>
      <c r="L61" s="23"/>
    </row>
    <row r="62" spans="1:12" x14ac:dyDescent="0.3">
      <c r="A62" s="23"/>
      <c r="B62" s="22">
        <v>2016</v>
      </c>
      <c r="C62" s="21">
        <v>521</v>
      </c>
      <c r="D62" s="21">
        <v>736</v>
      </c>
      <c r="E62" s="21">
        <v>802</v>
      </c>
      <c r="F62" s="21">
        <v>827</v>
      </c>
      <c r="G62" s="22"/>
      <c r="H62" s="22"/>
      <c r="I62" s="23"/>
      <c r="J62" s="23"/>
      <c r="K62" s="23"/>
      <c r="L62" s="23"/>
    </row>
    <row r="63" spans="1:12" x14ac:dyDescent="0.3">
      <c r="A63" s="23"/>
      <c r="B63" s="22">
        <v>2017</v>
      </c>
      <c r="C63" s="21">
        <v>457</v>
      </c>
      <c r="D63" s="21">
        <v>640</v>
      </c>
      <c r="E63" s="21">
        <v>697</v>
      </c>
      <c r="F63" s="72"/>
      <c r="G63" s="72"/>
      <c r="H63" s="72"/>
      <c r="I63" s="23"/>
      <c r="J63" s="23"/>
      <c r="K63" s="23"/>
      <c r="L63" s="23"/>
    </row>
    <row r="64" spans="1:12" x14ac:dyDescent="0.3">
      <c r="A64" s="23"/>
      <c r="B64" s="22">
        <v>2018</v>
      </c>
      <c r="C64" s="21">
        <v>452</v>
      </c>
      <c r="D64" s="21">
        <v>641</v>
      </c>
      <c r="E64" s="22"/>
      <c r="F64" s="72"/>
      <c r="G64" s="72"/>
      <c r="H64" s="72"/>
      <c r="I64" s="23"/>
      <c r="J64" s="23"/>
      <c r="K64" s="23"/>
      <c r="L64" s="23"/>
    </row>
    <row r="65" spans="1:12" x14ac:dyDescent="0.3">
      <c r="A65" s="23"/>
      <c r="B65" s="22">
        <v>2019</v>
      </c>
      <c r="C65" s="21">
        <v>447</v>
      </c>
      <c r="D65" s="22"/>
      <c r="E65" s="22"/>
      <c r="F65" s="72"/>
      <c r="G65" s="72"/>
      <c r="H65" s="72"/>
      <c r="I65" s="23"/>
      <c r="J65" s="23"/>
      <c r="K65" s="23"/>
      <c r="L65" s="23"/>
    </row>
    <row r="66" spans="1:12" x14ac:dyDescent="0.3">
      <c r="A66" s="23"/>
      <c r="B66" s="74"/>
      <c r="C66" s="1"/>
      <c r="D66" s="1"/>
      <c r="E66" s="1"/>
      <c r="F66" s="1"/>
      <c r="G66" s="1"/>
      <c r="H66" s="1"/>
      <c r="I66" s="23"/>
      <c r="J66" s="23"/>
      <c r="K66" s="23"/>
      <c r="L66" s="23"/>
    </row>
    <row r="67" spans="1:12" ht="16.2" customHeight="1" x14ac:dyDescent="0.3">
      <c r="A67" s="23"/>
      <c r="B67" s="16" t="s">
        <v>5</v>
      </c>
      <c r="C67" s="340" t="s">
        <v>202</v>
      </c>
      <c r="D67" s="370"/>
      <c r="E67" s="370"/>
      <c r="F67" s="370"/>
      <c r="G67" s="370"/>
      <c r="H67" s="370"/>
      <c r="I67" s="23"/>
      <c r="J67" s="23"/>
      <c r="K67" s="23"/>
      <c r="L67" s="23"/>
    </row>
    <row r="68" spans="1:12" x14ac:dyDescent="0.3">
      <c r="A68" s="23"/>
      <c r="B68" s="17" t="s">
        <v>7</v>
      </c>
      <c r="C68" s="18">
        <v>12</v>
      </c>
      <c r="D68" s="19">
        <v>24</v>
      </c>
      <c r="E68" s="19">
        <v>36</v>
      </c>
      <c r="F68" s="19">
        <v>48</v>
      </c>
      <c r="G68" s="19">
        <v>60</v>
      </c>
      <c r="H68" s="19">
        <v>72</v>
      </c>
      <c r="I68" s="23"/>
      <c r="J68" s="23"/>
      <c r="K68" s="23"/>
      <c r="L68" s="23"/>
    </row>
    <row r="69" spans="1:12" x14ac:dyDescent="0.3">
      <c r="A69" s="23"/>
      <c r="B69" s="20">
        <v>2014</v>
      </c>
      <c r="C69" s="21">
        <v>297</v>
      </c>
      <c r="D69" s="21">
        <v>176</v>
      </c>
      <c r="E69" s="21">
        <v>126</v>
      </c>
      <c r="F69" s="21">
        <v>100</v>
      </c>
      <c r="G69" s="21">
        <v>72</v>
      </c>
      <c r="H69" s="21">
        <v>57</v>
      </c>
      <c r="I69" s="23"/>
      <c r="J69" s="23"/>
      <c r="K69" s="23"/>
      <c r="L69" s="23"/>
    </row>
    <row r="70" spans="1:12" x14ac:dyDescent="0.3">
      <c r="A70" s="23"/>
      <c r="B70" s="22">
        <v>2015</v>
      </c>
      <c r="C70" s="21">
        <v>320</v>
      </c>
      <c r="D70" s="21">
        <v>186</v>
      </c>
      <c r="E70" s="21">
        <v>128</v>
      </c>
      <c r="F70" s="21">
        <v>104</v>
      </c>
      <c r="G70" s="21">
        <v>84</v>
      </c>
      <c r="H70" s="22"/>
      <c r="I70" s="23"/>
      <c r="J70" s="23"/>
      <c r="K70" s="23"/>
      <c r="L70" s="23"/>
    </row>
    <row r="71" spans="1:12" x14ac:dyDescent="0.3">
      <c r="A71" s="23"/>
      <c r="B71" s="22">
        <v>2016</v>
      </c>
      <c r="C71" s="21">
        <v>309</v>
      </c>
      <c r="D71" s="21">
        <v>191</v>
      </c>
      <c r="E71" s="21">
        <v>136</v>
      </c>
      <c r="F71" s="21">
        <v>111</v>
      </c>
      <c r="G71" s="22"/>
      <c r="H71" s="22"/>
      <c r="I71" s="23"/>
      <c r="J71" s="23"/>
      <c r="K71" s="23"/>
      <c r="L71" s="23"/>
    </row>
    <row r="72" spans="1:12" x14ac:dyDescent="0.3">
      <c r="A72" s="23"/>
      <c r="B72" s="22">
        <v>2017</v>
      </c>
      <c r="C72" s="21">
        <v>277</v>
      </c>
      <c r="D72" s="21">
        <v>157</v>
      </c>
      <c r="E72" s="21">
        <v>111</v>
      </c>
      <c r="F72" s="72"/>
      <c r="G72" s="72"/>
      <c r="H72" s="72"/>
      <c r="I72" s="23"/>
      <c r="J72" s="23"/>
      <c r="K72" s="23"/>
      <c r="L72" s="23"/>
    </row>
    <row r="73" spans="1:12" x14ac:dyDescent="0.3">
      <c r="A73" s="23"/>
      <c r="B73" s="22">
        <v>2018</v>
      </c>
      <c r="C73" s="21">
        <v>272</v>
      </c>
      <c r="D73" s="21">
        <v>158</v>
      </c>
      <c r="E73" s="22"/>
      <c r="F73" s="72"/>
      <c r="G73" s="72"/>
      <c r="H73" s="72"/>
      <c r="I73" s="23"/>
      <c r="J73" s="23"/>
      <c r="K73" s="23"/>
      <c r="L73" s="23"/>
    </row>
    <row r="74" spans="1:12" x14ac:dyDescent="0.3">
      <c r="A74" s="23"/>
      <c r="B74" s="22">
        <v>2019</v>
      </c>
      <c r="C74" s="21">
        <v>267</v>
      </c>
      <c r="D74" s="22"/>
      <c r="E74" s="22"/>
      <c r="F74" s="72"/>
      <c r="G74" s="72"/>
      <c r="H74" s="72"/>
      <c r="I74" s="23"/>
      <c r="J74" s="23"/>
      <c r="K74" s="23"/>
      <c r="L74" s="23"/>
    </row>
    <row r="75" spans="1:12" x14ac:dyDescent="0.3">
      <c r="A75" s="23"/>
      <c r="B75" s="23"/>
      <c r="C75" s="23"/>
      <c r="D75" s="23"/>
      <c r="E75" s="23"/>
      <c r="F75" s="23"/>
      <c r="G75" s="23"/>
      <c r="H75" s="23"/>
      <c r="I75" s="23"/>
      <c r="J75" s="23"/>
      <c r="K75" s="23"/>
      <c r="L75" s="23"/>
    </row>
    <row r="77" spans="1:12" x14ac:dyDescent="0.3">
      <c r="A77" s="7" t="s">
        <v>9</v>
      </c>
      <c r="B77" s="5" t="s">
        <v>203</v>
      </c>
      <c r="C77" s="5"/>
      <c r="D77" s="5"/>
      <c r="E77" s="5"/>
      <c r="F77" s="5"/>
      <c r="G77" s="5"/>
      <c r="H77" s="5"/>
      <c r="I77" s="5"/>
      <c r="J77" s="5"/>
      <c r="K77" s="5"/>
      <c r="L77" s="5"/>
    </row>
    <row r="78" spans="1:12" x14ac:dyDescent="0.3">
      <c r="A78" s="4"/>
      <c r="B78" s="4"/>
      <c r="C78" s="4"/>
      <c r="D78" s="4"/>
      <c r="E78" s="4"/>
      <c r="F78" s="4"/>
      <c r="G78" s="5"/>
      <c r="H78" s="5"/>
      <c r="I78" s="5"/>
      <c r="J78" s="5"/>
      <c r="K78" s="5"/>
      <c r="L78" s="5"/>
    </row>
    <row r="79" spans="1:12" x14ac:dyDescent="0.3">
      <c r="A79" s="10"/>
      <c r="B79" s="10"/>
      <c r="C79" s="10"/>
      <c r="D79" s="10"/>
      <c r="E79" s="10"/>
      <c r="F79" s="10"/>
      <c r="G79" s="10"/>
      <c r="H79" s="10"/>
      <c r="I79" s="10"/>
      <c r="J79" s="10"/>
      <c r="K79" s="10"/>
      <c r="L79" s="10"/>
    </row>
    <row r="80" spans="1:12" x14ac:dyDescent="0.3">
      <c r="A80" s="10" t="s">
        <v>10</v>
      </c>
      <c r="B80" s="10"/>
      <c r="C80" s="10"/>
      <c r="D80" s="10"/>
      <c r="E80" s="10"/>
      <c r="F80" s="10"/>
      <c r="G80" s="10"/>
      <c r="H80" s="10"/>
      <c r="I80" s="10"/>
      <c r="J80" s="10"/>
      <c r="K80" s="10"/>
      <c r="L80" s="10"/>
    </row>
    <row r="81" spans="1:16" x14ac:dyDescent="0.3">
      <c r="A81" s="10"/>
      <c r="B81" s="10"/>
      <c r="C81" s="10"/>
      <c r="D81" s="10"/>
      <c r="E81" s="10"/>
      <c r="F81" s="10"/>
      <c r="G81" s="10"/>
      <c r="H81" s="10"/>
      <c r="I81" s="10"/>
      <c r="J81" s="10"/>
      <c r="K81" s="10"/>
      <c r="L81" s="10"/>
    </row>
    <row r="82" spans="1:16" x14ac:dyDescent="0.3">
      <c r="A82" s="10"/>
      <c r="B82" s="390" t="s">
        <v>475</v>
      </c>
      <c r="C82" s="390"/>
      <c r="D82" s="390"/>
      <c r="E82" s="390"/>
      <c r="F82" s="390"/>
      <c r="G82" s="390"/>
      <c r="H82" s="390"/>
      <c r="I82" s="390"/>
      <c r="J82" s="390"/>
      <c r="K82" s="390"/>
      <c r="L82" s="10"/>
    </row>
    <row r="83" spans="1:16" x14ac:dyDescent="0.3">
      <c r="A83" s="10"/>
      <c r="B83" s="390"/>
      <c r="C83" s="390"/>
      <c r="D83" s="390"/>
      <c r="E83" s="390"/>
      <c r="F83" s="390"/>
      <c r="G83" s="390"/>
      <c r="H83" s="390"/>
      <c r="I83" s="390"/>
      <c r="J83" s="390"/>
      <c r="K83" s="390"/>
      <c r="L83" s="10"/>
    </row>
    <row r="84" spans="1:16" x14ac:dyDescent="0.3">
      <c r="A84" s="10"/>
      <c r="B84" s="152"/>
      <c r="C84" s="152"/>
      <c r="D84" s="152"/>
      <c r="E84" s="152"/>
      <c r="F84" s="152"/>
      <c r="G84" s="152"/>
      <c r="H84" s="152"/>
      <c r="I84" s="152"/>
      <c r="J84" s="152"/>
      <c r="K84" s="152"/>
      <c r="L84" s="152"/>
      <c r="M84" s="143"/>
      <c r="N84" s="143"/>
      <c r="O84" s="143"/>
      <c r="P84" s="143"/>
    </row>
    <row r="85" spans="1:16" x14ac:dyDescent="0.3">
      <c r="A85" s="10"/>
      <c r="B85" s="204" t="s">
        <v>5</v>
      </c>
      <c r="C85" s="389" t="s">
        <v>472</v>
      </c>
      <c r="D85" s="389"/>
      <c r="E85" s="389"/>
      <c r="F85" s="389"/>
      <c r="G85" s="389"/>
      <c r="H85" s="389"/>
      <c r="I85" s="143"/>
      <c r="J85" s="143"/>
      <c r="K85" s="143"/>
      <c r="L85" s="143"/>
      <c r="M85" s="143"/>
      <c r="N85" s="143"/>
      <c r="O85" s="143"/>
      <c r="P85" s="143"/>
    </row>
    <row r="86" spans="1:16" x14ac:dyDescent="0.3">
      <c r="A86" s="10"/>
      <c r="B86" s="162" t="s">
        <v>7</v>
      </c>
      <c r="C86" s="162">
        <v>12</v>
      </c>
      <c r="D86" s="162">
        <v>24</v>
      </c>
      <c r="E86" s="162">
        <v>36</v>
      </c>
      <c r="F86" s="162">
        <v>48</v>
      </c>
      <c r="G86" s="162">
        <v>60</v>
      </c>
      <c r="H86" s="162">
        <v>72</v>
      </c>
      <c r="I86" s="143"/>
      <c r="J86" s="143"/>
      <c r="K86" s="143"/>
      <c r="L86" s="143"/>
      <c r="M86" s="143"/>
      <c r="N86" s="143"/>
      <c r="O86" s="143"/>
      <c r="P86" s="143"/>
    </row>
    <row r="87" spans="1:16" x14ac:dyDescent="0.3">
      <c r="A87" s="10"/>
      <c r="B87" s="204">
        <f t="shared" ref="B87:B90" si="7">B88-1</f>
        <v>2014</v>
      </c>
      <c r="C87" s="294">
        <f t="shared" ref="C87:H87" si="8">C51/C7</f>
        <v>0.45701958181214736</v>
      </c>
      <c r="D87" s="294">
        <f t="shared" si="8"/>
        <v>0.59441036128152691</v>
      </c>
      <c r="E87" s="294">
        <f t="shared" si="8"/>
        <v>0.71289625360230546</v>
      </c>
      <c r="F87" s="294">
        <f t="shared" si="8"/>
        <v>0.78080857282026306</v>
      </c>
      <c r="G87" s="294">
        <f t="shared" si="8"/>
        <v>0.87186971885082198</v>
      </c>
      <c r="H87" s="294">
        <f t="shared" si="8"/>
        <v>0.91657770321793508</v>
      </c>
      <c r="I87" s="143"/>
      <c r="J87" s="143"/>
      <c r="K87" s="143"/>
      <c r="L87" s="143"/>
      <c r="M87" s="143"/>
      <c r="N87" s="143"/>
      <c r="O87" s="143"/>
      <c r="P87" s="143"/>
    </row>
    <row r="88" spans="1:16" x14ac:dyDescent="0.3">
      <c r="A88" s="10"/>
      <c r="B88" s="204">
        <f t="shared" si="7"/>
        <v>2015</v>
      </c>
      <c r="C88" s="294">
        <f>C52/C8</f>
        <v>0.45663040282269923</v>
      </c>
      <c r="D88" s="294">
        <f>D52/D8</f>
        <v>0.59730722154222771</v>
      </c>
      <c r="E88" s="294">
        <f>E52/E8</f>
        <v>0.72079631457716353</v>
      </c>
      <c r="F88" s="294">
        <f>F52/F8</f>
        <v>0.78182896101971244</v>
      </c>
      <c r="G88" s="294">
        <f>G52/G8</f>
        <v>0.85901684617508978</v>
      </c>
      <c r="H88" s="294"/>
      <c r="I88" s="143"/>
      <c r="J88" s="143"/>
      <c r="K88" s="143"/>
      <c r="L88" s="143"/>
      <c r="M88" s="143"/>
      <c r="N88" s="143"/>
      <c r="O88" s="143"/>
      <c r="P88" s="143"/>
    </row>
    <row r="89" spans="1:16" x14ac:dyDescent="0.3">
      <c r="A89" s="10"/>
      <c r="B89" s="204">
        <f t="shared" si="7"/>
        <v>2016</v>
      </c>
      <c r="C89" s="294">
        <f>C53/C9</f>
        <v>0.47541444225906154</v>
      </c>
      <c r="D89" s="294">
        <f>D53/D9</f>
        <v>0.60253070338667658</v>
      </c>
      <c r="E89" s="294">
        <f>E53/E9</f>
        <v>0.72064056939501775</v>
      </c>
      <c r="F89" s="294">
        <f>F53/F9</f>
        <v>0.78035524920466592</v>
      </c>
      <c r="G89" s="294"/>
      <c r="H89" s="143"/>
      <c r="I89" s="143"/>
      <c r="J89" s="143"/>
      <c r="K89" s="143"/>
      <c r="L89" s="143"/>
      <c r="M89" s="143"/>
      <c r="N89" s="143"/>
      <c r="O89" s="143"/>
      <c r="P89" s="143"/>
    </row>
    <row r="90" spans="1:16" x14ac:dyDescent="0.3">
      <c r="A90" s="10"/>
      <c r="B90" s="204">
        <f t="shared" si="7"/>
        <v>2017</v>
      </c>
      <c r="C90" s="294">
        <f>C54/C10</f>
        <v>0.45343367826904984</v>
      </c>
      <c r="D90" s="294">
        <f>D54/D10</f>
        <v>0.59708948740225887</v>
      </c>
      <c r="E90" s="294">
        <f>E54/E10</f>
        <v>0.69338677354709422</v>
      </c>
      <c r="F90" s="294"/>
      <c r="G90" s="294"/>
      <c r="H90" s="143"/>
      <c r="I90" s="143"/>
      <c r="J90" s="143"/>
      <c r="K90" s="143"/>
      <c r="L90" s="143"/>
      <c r="M90" s="143"/>
      <c r="N90" s="143"/>
      <c r="O90" s="143"/>
      <c r="P90" s="143"/>
    </row>
    <row r="91" spans="1:16" x14ac:dyDescent="0.3">
      <c r="A91" s="10"/>
      <c r="B91" s="204">
        <f>B92-1</f>
        <v>2018</v>
      </c>
      <c r="C91" s="294">
        <f>C55/C11</f>
        <v>454.43499392466589</v>
      </c>
      <c r="D91" s="294">
        <f>D55/D11</f>
        <v>0.56775607811877238</v>
      </c>
      <c r="E91" s="294"/>
      <c r="F91" s="294"/>
      <c r="G91" s="294"/>
      <c r="H91" s="143"/>
      <c r="I91" s="143"/>
      <c r="J91" s="143"/>
      <c r="K91" s="143"/>
      <c r="L91" s="143"/>
      <c r="M91" s="143"/>
      <c r="N91" s="143"/>
      <c r="O91" s="143"/>
      <c r="P91" s="143"/>
    </row>
    <row r="92" spans="1:16" x14ac:dyDescent="0.3">
      <c r="A92" s="10"/>
      <c r="B92" s="204">
        <v>2019</v>
      </c>
      <c r="C92" s="294">
        <f>C56/C12</f>
        <v>0.40938648572236358</v>
      </c>
      <c r="D92" s="294"/>
      <c r="E92" s="294"/>
      <c r="F92" s="294"/>
      <c r="G92" s="294"/>
      <c r="H92" s="143"/>
      <c r="I92" s="129"/>
      <c r="J92" s="129"/>
      <c r="K92" s="129"/>
      <c r="L92" s="129"/>
      <c r="M92" s="129"/>
      <c r="N92" s="129"/>
      <c r="O92" s="143"/>
      <c r="P92" s="143"/>
    </row>
    <row r="93" spans="1:16" x14ac:dyDescent="0.3">
      <c r="A93" s="10"/>
      <c r="B93" s="204"/>
      <c r="C93" s="294"/>
      <c r="D93" s="294"/>
      <c r="E93" s="294"/>
      <c r="F93" s="294"/>
      <c r="G93" s="294"/>
      <c r="H93" s="143"/>
      <c r="I93" s="129"/>
      <c r="J93" s="129"/>
      <c r="K93" s="129"/>
      <c r="L93" s="129"/>
      <c r="M93" s="129"/>
      <c r="N93" s="129"/>
      <c r="O93" s="143"/>
      <c r="P93" s="143"/>
    </row>
    <row r="94" spans="1:16" x14ac:dyDescent="0.3">
      <c r="A94" s="10"/>
      <c r="B94" s="295" t="s">
        <v>474</v>
      </c>
      <c r="C94" s="143"/>
      <c r="D94" s="143"/>
      <c r="E94" s="143"/>
      <c r="F94" s="143"/>
      <c r="G94" s="143"/>
      <c r="H94" s="129"/>
      <c r="I94" s="129"/>
      <c r="J94" s="129"/>
      <c r="K94" s="129"/>
      <c r="L94" s="129"/>
      <c r="M94" s="129"/>
      <c r="N94" s="129"/>
      <c r="O94" s="143"/>
      <c r="P94" s="143"/>
    </row>
    <row r="95" spans="1:16" x14ac:dyDescent="0.3">
      <c r="A95" s="10"/>
      <c r="B95" s="295"/>
      <c r="C95" s="143"/>
      <c r="D95" s="143"/>
      <c r="E95" s="143"/>
      <c r="F95" s="143"/>
      <c r="G95" s="143"/>
      <c r="H95" s="143"/>
      <c r="I95" s="143"/>
      <c r="J95" s="143"/>
      <c r="K95" s="143"/>
      <c r="L95" s="143"/>
      <c r="M95" s="143"/>
      <c r="N95" s="143"/>
      <c r="O95" s="143"/>
      <c r="P95" s="143"/>
    </row>
    <row r="96" spans="1:16" x14ac:dyDescent="0.3">
      <c r="A96" s="10"/>
      <c r="B96" s="204" t="s">
        <v>5</v>
      </c>
      <c r="C96" s="389" t="s">
        <v>473</v>
      </c>
      <c r="D96" s="389"/>
      <c r="E96" s="389"/>
      <c r="F96" s="389"/>
      <c r="G96" s="389"/>
      <c r="H96" s="389"/>
      <c r="I96" s="143"/>
      <c r="J96" s="143"/>
      <c r="K96" s="143"/>
      <c r="L96" s="143"/>
      <c r="M96" s="143"/>
      <c r="N96" s="143"/>
      <c r="O96" s="143"/>
      <c r="P96" s="143"/>
    </row>
    <row r="97" spans="1:16" x14ac:dyDescent="0.3">
      <c r="A97" s="10"/>
      <c r="B97" s="162" t="s">
        <v>7</v>
      </c>
      <c r="C97" s="162">
        <v>12</v>
      </c>
      <c r="D97" s="162">
        <v>24</v>
      </c>
      <c r="E97" s="162">
        <v>36</v>
      </c>
      <c r="F97" s="162">
        <v>48</v>
      </c>
      <c r="G97" s="162">
        <v>60</v>
      </c>
      <c r="H97" s="162">
        <v>72</v>
      </c>
      <c r="I97" s="143"/>
      <c r="J97" s="143"/>
      <c r="K97" s="143"/>
      <c r="L97" s="143"/>
      <c r="M97" s="143"/>
      <c r="N97" s="143"/>
      <c r="O97" s="143"/>
      <c r="P97" s="143"/>
    </row>
    <row r="98" spans="1:16" x14ac:dyDescent="0.3">
      <c r="A98" s="10"/>
      <c r="B98" s="204">
        <f t="shared" ref="B98:B101" si="9">B99-1</f>
        <v>2014</v>
      </c>
      <c r="C98" s="296">
        <f t="shared" ref="C98:H98" si="10">(C7-C51)/C69</f>
        <v>5.5084175084175087</v>
      </c>
      <c r="D98" s="296">
        <f t="shared" si="10"/>
        <v>10.142045454545455</v>
      </c>
      <c r="E98" s="296">
        <f t="shared" si="10"/>
        <v>12.65079365079365</v>
      </c>
      <c r="F98" s="296">
        <f t="shared" si="10"/>
        <v>13.5</v>
      </c>
      <c r="G98" s="296">
        <f t="shared" si="10"/>
        <v>11.583333333333334</v>
      </c>
      <c r="H98" s="296">
        <f t="shared" si="10"/>
        <v>9.5964912280701746</v>
      </c>
      <c r="I98" s="143"/>
      <c r="J98" s="143"/>
      <c r="K98" s="143"/>
      <c r="L98" s="143"/>
      <c r="M98" s="143"/>
      <c r="N98" s="143"/>
      <c r="O98" s="143"/>
      <c r="P98" s="143"/>
    </row>
    <row r="99" spans="1:16" x14ac:dyDescent="0.3">
      <c r="A99" s="10"/>
      <c r="B99" s="204">
        <f t="shared" si="9"/>
        <v>2015</v>
      </c>
      <c r="C99" s="296">
        <f>(C8-C52)/C70</f>
        <v>5.7750000000000004</v>
      </c>
      <c r="D99" s="296">
        <f>(D8-D52)/D70</f>
        <v>10.612903225806452</v>
      </c>
      <c r="E99" s="296">
        <f>(E8-E52)/E70</f>
        <v>13.2578125</v>
      </c>
      <c r="F99" s="296">
        <f>(F8-F52)/F70</f>
        <v>14.153846153846153</v>
      </c>
      <c r="G99" s="296">
        <f>(G8-G52)/G70</f>
        <v>12.154761904761905</v>
      </c>
      <c r="H99" s="296"/>
      <c r="I99" s="143"/>
      <c r="J99" s="143"/>
      <c r="K99" s="143"/>
      <c r="L99" s="143"/>
      <c r="M99" s="143"/>
      <c r="N99" s="143"/>
      <c r="O99" s="143"/>
      <c r="P99" s="143"/>
    </row>
    <row r="100" spans="1:16" x14ac:dyDescent="0.3">
      <c r="A100" s="10"/>
      <c r="B100" s="204">
        <f t="shared" si="9"/>
        <v>2016</v>
      </c>
      <c r="C100" s="296">
        <f>(C9-C53)/C71</f>
        <v>6.0420711974110031</v>
      </c>
      <c r="D100" s="296">
        <f>(D9-D53)/D71</f>
        <v>11.183246073298429</v>
      </c>
      <c r="E100" s="296">
        <f>(E9-E53)/E71</f>
        <v>13.852941176470589</v>
      </c>
      <c r="F100" s="296">
        <f>(F9-F53)/F71</f>
        <v>14.927927927927929</v>
      </c>
      <c r="G100" s="296"/>
      <c r="H100" s="143"/>
      <c r="I100" s="143"/>
      <c r="J100" s="143"/>
      <c r="K100" s="143"/>
      <c r="L100" s="143"/>
      <c r="M100" s="143"/>
      <c r="N100" s="143"/>
      <c r="O100" s="143"/>
      <c r="P100" s="143"/>
    </row>
    <row r="101" spans="1:16" x14ac:dyDescent="0.3">
      <c r="A101" s="10"/>
      <c r="B101" s="204">
        <f t="shared" si="9"/>
        <v>2017</v>
      </c>
      <c r="C101" s="296">
        <f>(C10-C54)/C72</f>
        <v>6.2924187725631766</v>
      </c>
      <c r="D101" s="296">
        <f>(D10-D54)/D72</f>
        <v>11.815286624203821</v>
      </c>
      <c r="E101" s="296">
        <f>(E10-E54)/E72</f>
        <v>16.54054054054054</v>
      </c>
      <c r="F101" s="296"/>
      <c r="G101" s="296"/>
      <c r="H101" s="143"/>
      <c r="I101" s="143"/>
      <c r="J101" s="143"/>
      <c r="K101" s="143"/>
      <c r="L101" s="143"/>
      <c r="M101" s="143"/>
      <c r="N101" s="143"/>
      <c r="O101" s="143"/>
      <c r="P101" s="143"/>
    </row>
    <row r="102" spans="1:16" x14ac:dyDescent="0.3">
      <c r="A102" s="10"/>
      <c r="B102" s="204">
        <f>B103-1</f>
        <v>2018</v>
      </c>
      <c r="C102" s="296">
        <f>(C11-C55)/C73</f>
        <v>-5.4878970588235294</v>
      </c>
      <c r="D102" s="296">
        <f>(D11-D55)/D73</f>
        <v>13.727848101265822</v>
      </c>
      <c r="E102" s="296"/>
      <c r="F102" s="296"/>
      <c r="G102" s="296"/>
      <c r="H102" s="143"/>
      <c r="I102" s="143"/>
      <c r="J102" s="143"/>
      <c r="K102" s="143"/>
      <c r="L102" s="143"/>
      <c r="M102" s="143"/>
      <c r="N102" s="143"/>
      <c r="O102" s="143"/>
      <c r="P102" s="143"/>
    </row>
    <row r="103" spans="1:16" x14ac:dyDescent="0.3">
      <c r="A103" s="10"/>
      <c r="B103" s="204">
        <v>2019</v>
      </c>
      <c r="C103" s="296">
        <f>(C12-C56)/C74</f>
        <v>7.8239700374531838</v>
      </c>
      <c r="D103" s="296"/>
      <c r="E103" s="296"/>
      <c r="F103" s="296"/>
      <c r="G103" s="296"/>
      <c r="H103" s="143"/>
      <c r="I103" s="129"/>
      <c r="J103" s="129"/>
      <c r="K103" s="129"/>
      <c r="L103" s="129"/>
      <c r="M103" s="129"/>
      <c r="N103" s="129"/>
      <c r="O103" s="143"/>
      <c r="P103" s="143"/>
    </row>
    <row r="104" spans="1:16" x14ac:dyDescent="0.3">
      <c r="B104" s="143"/>
      <c r="C104" s="143"/>
      <c r="D104" s="143"/>
      <c r="E104" s="143"/>
      <c r="F104" s="143"/>
      <c r="G104" s="143"/>
      <c r="H104" s="143"/>
      <c r="I104" s="143"/>
      <c r="J104" s="143"/>
      <c r="K104" s="143"/>
      <c r="L104" s="143"/>
      <c r="M104" s="152"/>
      <c r="N104" s="143"/>
      <c r="O104" s="143"/>
      <c r="P104" s="143"/>
    </row>
    <row r="105" spans="1:16" x14ac:dyDescent="0.3">
      <c r="B105" s="295" t="s">
        <v>474</v>
      </c>
      <c r="C105" s="143"/>
      <c r="D105" s="143"/>
      <c r="E105" s="143"/>
      <c r="F105" s="143"/>
      <c r="G105" s="143"/>
      <c r="H105" s="143"/>
      <c r="I105" s="143"/>
      <c r="J105" s="143"/>
      <c r="K105" s="143"/>
      <c r="L105" s="143"/>
      <c r="M105" s="152"/>
      <c r="N105" s="143"/>
      <c r="O105" s="143"/>
      <c r="P105" s="143"/>
    </row>
    <row r="107" spans="1:16" x14ac:dyDescent="0.3">
      <c r="A107" s="7" t="s">
        <v>11</v>
      </c>
      <c r="B107" s="5" t="s">
        <v>204</v>
      </c>
      <c r="C107" s="5"/>
      <c r="D107" s="5"/>
      <c r="E107" s="5"/>
      <c r="F107" s="5"/>
      <c r="G107" s="5"/>
      <c r="H107" s="5"/>
      <c r="I107" s="5"/>
      <c r="J107" s="5"/>
      <c r="K107" s="5"/>
      <c r="L107" s="5"/>
    </row>
    <row r="108" spans="1:16" x14ac:dyDescent="0.3">
      <c r="A108" s="4"/>
      <c r="B108" s="4"/>
      <c r="C108" s="4"/>
      <c r="D108" s="4"/>
      <c r="E108" s="4"/>
      <c r="F108" s="4"/>
      <c r="G108" s="5"/>
      <c r="H108" s="5"/>
      <c r="I108" s="5"/>
      <c r="J108" s="5"/>
      <c r="K108" s="5"/>
      <c r="L108" s="5"/>
    </row>
    <row r="109" spans="1:16" x14ac:dyDescent="0.3">
      <c r="A109" s="10"/>
      <c r="B109" s="10"/>
      <c r="C109" s="10"/>
      <c r="D109" s="10"/>
      <c r="E109" s="10"/>
      <c r="F109" s="10"/>
      <c r="G109" s="10"/>
      <c r="H109" s="10"/>
      <c r="I109" s="10"/>
      <c r="J109" s="10"/>
      <c r="K109" s="10"/>
      <c r="L109" s="10"/>
    </row>
    <row r="110" spans="1:16" x14ac:dyDescent="0.3">
      <c r="A110" s="10" t="s">
        <v>10</v>
      </c>
      <c r="B110" s="10"/>
      <c r="C110" s="10"/>
      <c r="D110" s="10"/>
      <c r="E110" s="10"/>
      <c r="F110" s="10"/>
      <c r="G110" s="10"/>
      <c r="H110" s="10"/>
      <c r="I110" s="10"/>
      <c r="J110" s="10"/>
      <c r="K110" s="10"/>
      <c r="L110" s="10"/>
    </row>
    <row r="111" spans="1:16" x14ac:dyDescent="0.3">
      <c r="B111" s="204" t="s">
        <v>5</v>
      </c>
      <c r="C111" s="389" t="s">
        <v>476</v>
      </c>
      <c r="D111" s="389"/>
      <c r="E111" s="389"/>
      <c r="F111" s="389"/>
      <c r="G111" s="389"/>
      <c r="H111" s="204"/>
      <c r="I111" s="143"/>
    </row>
    <row r="112" spans="1:16" x14ac:dyDescent="0.3">
      <c r="B112" s="162" t="s">
        <v>7</v>
      </c>
      <c r="C112" s="162">
        <v>12</v>
      </c>
      <c r="D112" s="162">
        <v>24</v>
      </c>
      <c r="E112" s="162">
        <v>36</v>
      </c>
      <c r="F112" s="162">
        <v>48</v>
      </c>
      <c r="G112" s="162">
        <v>60</v>
      </c>
      <c r="H112" s="162">
        <v>72</v>
      </c>
      <c r="I112" s="143"/>
    </row>
    <row r="113" spans="2:9" x14ac:dyDescent="0.3">
      <c r="B113" s="204">
        <f t="shared" ref="B113:B116" si="11">B114-1</f>
        <v>2014</v>
      </c>
      <c r="C113" s="190">
        <f t="shared" ref="C113:H113" si="12">C60+C69</f>
        <v>774</v>
      </c>
      <c r="D113" s="190">
        <f t="shared" si="12"/>
        <v>842</v>
      </c>
      <c r="E113" s="190">
        <f t="shared" si="12"/>
        <v>853</v>
      </c>
      <c r="F113" s="190">
        <f t="shared" si="12"/>
        <v>853</v>
      </c>
      <c r="G113" s="190">
        <f t="shared" si="12"/>
        <v>853</v>
      </c>
      <c r="H113" s="190">
        <f t="shared" si="12"/>
        <v>853</v>
      </c>
      <c r="I113" s="143"/>
    </row>
    <row r="114" spans="2:9" x14ac:dyDescent="0.3">
      <c r="B114" s="204">
        <f t="shared" si="11"/>
        <v>2015</v>
      </c>
      <c r="C114" s="190">
        <f>C61+C70</f>
        <v>807</v>
      </c>
      <c r="D114" s="190">
        <f>D61+D70</f>
        <v>883</v>
      </c>
      <c r="E114" s="190">
        <f>E61+E70</f>
        <v>890</v>
      </c>
      <c r="F114" s="190">
        <f>F61+F70</f>
        <v>890</v>
      </c>
      <c r="G114" s="190">
        <f>G61+G70</f>
        <v>890</v>
      </c>
      <c r="H114" s="190"/>
      <c r="I114" s="143"/>
    </row>
    <row r="115" spans="2:9" x14ac:dyDescent="0.3">
      <c r="B115" s="204">
        <f t="shared" si="11"/>
        <v>2016</v>
      </c>
      <c r="C115" s="190">
        <f>C62+C71</f>
        <v>830</v>
      </c>
      <c r="D115" s="190">
        <f>D62+D71</f>
        <v>927</v>
      </c>
      <c r="E115" s="190">
        <f>E62+E71</f>
        <v>938</v>
      </c>
      <c r="F115" s="190">
        <f>F62+F71</f>
        <v>938</v>
      </c>
      <c r="G115" s="190"/>
      <c r="H115" s="190"/>
      <c r="I115" s="143"/>
    </row>
    <row r="116" spans="2:9" x14ac:dyDescent="0.3">
      <c r="B116" s="204">
        <f t="shared" si="11"/>
        <v>2017</v>
      </c>
      <c r="C116" s="190">
        <f>C63+C72</f>
        <v>734</v>
      </c>
      <c r="D116" s="190">
        <f>D63+D72</f>
        <v>797</v>
      </c>
      <c r="E116" s="190">
        <f>E63+E72</f>
        <v>808</v>
      </c>
      <c r="F116" s="190"/>
      <c r="G116" s="190"/>
      <c r="H116" s="190"/>
      <c r="I116" s="143"/>
    </row>
    <row r="117" spans="2:9" x14ac:dyDescent="0.3">
      <c r="B117" s="204">
        <f>B118-1</f>
        <v>2018</v>
      </c>
      <c r="C117" s="190">
        <f>C64+C73</f>
        <v>724</v>
      </c>
      <c r="D117" s="190">
        <f>D64+D73</f>
        <v>799</v>
      </c>
      <c r="E117" s="190"/>
      <c r="F117" s="190"/>
      <c r="G117" s="190"/>
      <c r="H117" s="190"/>
      <c r="I117" s="143"/>
    </row>
    <row r="118" spans="2:9" x14ac:dyDescent="0.3">
      <c r="B118" s="204">
        <v>2019</v>
      </c>
      <c r="C118" s="190">
        <f>C65+C74</f>
        <v>714</v>
      </c>
      <c r="D118" s="190"/>
      <c r="E118" s="190"/>
      <c r="F118" s="190"/>
      <c r="G118" s="190"/>
      <c r="H118" s="190"/>
      <c r="I118" s="143"/>
    </row>
    <row r="119" spans="2:9" x14ac:dyDescent="0.3">
      <c r="B119" s="152"/>
      <c r="C119" s="152"/>
      <c r="D119" s="152"/>
      <c r="E119" s="152"/>
      <c r="F119" s="152"/>
      <c r="G119" s="152"/>
      <c r="H119" s="152"/>
      <c r="I119" s="143"/>
    </row>
    <row r="120" spans="2:9" x14ac:dyDescent="0.3">
      <c r="B120" s="204" t="s">
        <v>5</v>
      </c>
      <c r="C120" s="389" t="s">
        <v>477</v>
      </c>
      <c r="D120" s="389"/>
      <c r="E120" s="389"/>
      <c r="F120" s="389"/>
      <c r="G120" s="389"/>
      <c r="H120" s="204"/>
      <c r="I120" s="143"/>
    </row>
    <row r="121" spans="2:9" x14ac:dyDescent="0.3">
      <c r="B121" s="162" t="s">
        <v>7</v>
      </c>
      <c r="C121" s="162">
        <v>12</v>
      </c>
      <c r="D121" s="162">
        <v>24</v>
      </c>
      <c r="E121" s="162">
        <v>36</v>
      </c>
      <c r="F121" s="162">
        <v>48</v>
      </c>
      <c r="G121" s="162">
        <v>60</v>
      </c>
      <c r="H121" s="162">
        <v>72</v>
      </c>
      <c r="I121" s="143"/>
    </row>
    <row r="122" spans="2:9" x14ac:dyDescent="0.3">
      <c r="B122" s="204">
        <f t="shared" ref="B122:B125" si="13">B123-1</f>
        <v>2014</v>
      </c>
      <c r="C122" s="294">
        <f t="shared" ref="C122:H122" si="14">C60/C113</f>
        <v>0.61627906976744184</v>
      </c>
      <c r="D122" s="294">
        <f t="shared" si="14"/>
        <v>0.79097387173396672</v>
      </c>
      <c r="E122" s="294">
        <f t="shared" si="14"/>
        <v>0.85228604923798357</v>
      </c>
      <c r="F122" s="294">
        <f t="shared" si="14"/>
        <v>0.88276670574443139</v>
      </c>
      <c r="G122" s="294">
        <f t="shared" si="14"/>
        <v>0.91559202813599061</v>
      </c>
      <c r="H122" s="294">
        <f t="shared" si="14"/>
        <v>0.93317702227432586</v>
      </c>
      <c r="I122" s="143"/>
    </row>
    <row r="123" spans="2:9" x14ac:dyDescent="0.3">
      <c r="B123" s="204">
        <f t="shared" si="13"/>
        <v>2015</v>
      </c>
      <c r="C123" s="294">
        <f>C61/C114</f>
        <v>0.60346964064436182</v>
      </c>
      <c r="D123" s="294">
        <f>D61/D114</f>
        <v>0.78935447338618348</v>
      </c>
      <c r="E123" s="294">
        <f>E61/E114</f>
        <v>0.85617977528089884</v>
      </c>
      <c r="F123" s="294">
        <f>F61/F114</f>
        <v>0.88314606741573032</v>
      </c>
      <c r="G123" s="294">
        <f>G61/G114</f>
        <v>0.90561797752808992</v>
      </c>
      <c r="H123" s="294"/>
      <c r="I123" s="143"/>
    </row>
    <row r="124" spans="2:9" x14ac:dyDescent="0.3">
      <c r="B124" s="204">
        <f t="shared" si="13"/>
        <v>2016</v>
      </c>
      <c r="C124" s="294">
        <f>C62/C115</f>
        <v>0.62771084337349392</v>
      </c>
      <c r="D124" s="294">
        <f>D62/D115</f>
        <v>0.7939590075512406</v>
      </c>
      <c r="E124" s="294">
        <f>E62/E115</f>
        <v>0.85501066098081024</v>
      </c>
      <c r="F124" s="294">
        <f>F62/F115</f>
        <v>0.88166311300639655</v>
      </c>
      <c r="G124" s="294"/>
      <c r="H124" s="294"/>
      <c r="I124" s="143"/>
    </row>
    <row r="125" spans="2:9" x14ac:dyDescent="0.3">
      <c r="B125" s="204">
        <f t="shared" si="13"/>
        <v>2017</v>
      </c>
      <c r="C125" s="294">
        <f>C63/C116</f>
        <v>0.62261580381471393</v>
      </c>
      <c r="D125" s="294">
        <f>D63/D116</f>
        <v>0.80301129234629864</v>
      </c>
      <c r="E125" s="294">
        <f>E63/E116</f>
        <v>0.86262376237623761</v>
      </c>
      <c r="F125" s="294"/>
      <c r="G125" s="294"/>
      <c r="H125" s="294"/>
      <c r="I125" s="143"/>
    </row>
    <row r="126" spans="2:9" x14ac:dyDescent="0.3">
      <c r="B126" s="204">
        <f>B127-1</f>
        <v>2018</v>
      </c>
      <c r="C126" s="294">
        <f>C64/C117</f>
        <v>0.62430939226519333</v>
      </c>
      <c r="D126" s="294">
        <f>D64/D117</f>
        <v>0.80225281602002507</v>
      </c>
      <c r="E126" s="294"/>
      <c r="F126" s="294"/>
      <c r="G126" s="294"/>
      <c r="H126" s="294"/>
      <c r="I126" s="143"/>
    </row>
    <row r="127" spans="2:9" x14ac:dyDescent="0.3">
      <c r="B127" s="204">
        <v>2019</v>
      </c>
      <c r="C127" s="294">
        <f>C65/C118</f>
        <v>0.62605042016806722</v>
      </c>
      <c r="D127" s="294"/>
      <c r="E127" s="294"/>
      <c r="F127" s="294"/>
      <c r="G127" s="294"/>
      <c r="H127" s="294"/>
      <c r="I127" s="143"/>
    </row>
    <row r="128" spans="2:9" x14ac:dyDescent="0.3">
      <c r="B128" s="143"/>
      <c r="C128" s="143"/>
      <c r="D128" s="143"/>
      <c r="E128" s="143"/>
      <c r="F128" s="143"/>
      <c r="G128" s="143"/>
      <c r="H128" s="143"/>
      <c r="I128" s="143"/>
    </row>
    <row r="129" spans="2:9" x14ac:dyDescent="0.3">
      <c r="B129" s="295" t="s">
        <v>478</v>
      </c>
      <c r="C129" s="143"/>
      <c r="D129" s="143"/>
      <c r="E129" s="143"/>
      <c r="F129" s="143"/>
      <c r="G129" s="143"/>
      <c r="H129" s="143"/>
      <c r="I129" s="143"/>
    </row>
    <row r="130" spans="2:9" x14ac:dyDescent="0.3">
      <c r="B130" s="143"/>
      <c r="C130" s="143"/>
      <c r="D130" s="143"/>
      <c r="E130" s="143"/>
      <c r="F130" s="143"/>
      <c r="G130" s="143"/>
      <c r="H130" s="143"/>
      <c r="I130" s="143"/>
    </row>
  </sheetData>
  <mergeCells count="21">
    <mergeCell ref="C120:G120"/>
    <mergeCell ref="C85:H85"/>
    <mergeCell ref="C96:H96"/>
    <mergeCell ref="B82:K83"/>
    <mergeCell ref="C111:G111"/>
    <mergeCell ref="C20:D20"/>
    <mergeCell ref="B18:B19"/>
    <mergeCell ref="C5:H5"/>
    <mergeCell ref="I5:I6"/>
    <mergeCell ref="B5:B6"/>
    <mergeCell ref="C18:D19"/>
    <mergeCell ref="C21:D21"/>
    <mergeCell ref="C22:D22"/>
    <mergeCell ref="C23:D23"/>
    <mergeCell ref="C24:D24"/>
    <mergeCell ref="C25:D25"/>
    <mergeCell ref="B28:L29"/>
    <mergeCell ref="A44:L45"/>
    <mergeCell ref="C49:H49"/>
    <mergeCell ref="C58:H58"/>
    <mergeCell ref="C67:H67"/>
  </mergeCells>
  <pageMargins left="0.39370078740157483" right="0.39370078740157483" top="0.39370078740157483" bottom="0.39370078740157483" header="0.31496062992125984" footer="0.31496062992125984"/>
  <pageSetup scale="71" orientation="portrait" verticalDpi="1200" r:id="rId1"/>
  <headerFooter>
    <oddFooter>&amp;L&amp;F [&amp;A]&amp;R&amp;P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CA1C6-96EE-4439-A3A2-4ED4F1E069BE}">
  <dimension ref="A1:R51"/>
  <sheetViews>
    <sheetView zoomScaleNormal="100" workbookViewId="0"/>
  </sheetViews>
  <sheetFormatPr defaultRowHeight="15.6" x14ac:dyDescent="0.3"/>
  <cols>
    <col min="1" max="1" width="8.88671875" style="2" customWidth="1"/>
    <col min="2" max="6" width="12.77734375" style="2" customWidth="1"/>
    <col min="7" max="7" width="8.88671875" style="2"/>
    <col min="8" max="8" width="8.88671875" style="2" customWidth="1"/>
    <col min="9" max="16384" width="8.88671875" style="2"/>
  </cols>
  <sheetData>
    <row r="1" spans="1:12" ht="17.399999999999999" x14ac:dyDescent="0.3">
      <c r="A1" s="3" t="s">
        <v>206</v>
      </c>
      <c r="B1" s="5"/>
      <c r="C1" s="23" t="s">
        <v>34</v>
      </c>
      <c r="D1" s="5"/>
      <c r="E1" s="5"/>
      <c r="F1" s="5"/>
      <c r="G1" s="5"/>
      <c r="H1" s="5"/>
      <c r="I1" s="5"/>
      <c r="J1" s="5"/>
      <c r="K1" s="5"/>
      <c r="L1" s="4"/>
    </row>
    <row r="2" spans="1:12" x14ac:dyDescent="0.3">
      <c r="A2" s="5"/>
      <c r="B2" s="5"/>
      <c r="C2" s="5"/>
      <c r="D2" s="5"/>
      <c r="E2" s="5"/>
      <c r="F2" s="5"/>
      <c r="G2" s="5"/>
      <c r="H2" s="5"/>
      <c r="I2" s="5"/>
      <c r="J2" s="5"/>
      <c r="K2" s="5"/>
      <c r="L2" s="4"/>
    </row>
    <row r="4" spans="1:12" x14ac:dyDescent="0.3">
      <c r="A4" s="6" t="s">
        <v>51</v>
      </c>
      <c r="B4" s="4"/>
      <c r="C4" s="4"/>
      <c r="D4" s="4"/>
      <c r="E4" s="4"/>
      <c r="F4" s="4"/>
      <c r="G4" s="4"/>
      <c r="H4" s="4"/>
      <c r="I4" s="4"/>
      <c r="J4" s="4"/>
      <c r="K4" s="4"/>
      <c r="L4" s="4"/>
    </row>
    <row r="5" spans="1:12" x14ac:dyDescent="0.3">
      <c r="A5" s="10"/>
      <c r="B5" s="10"/>
      <c r="C5" s="10"/>
      <c r="D5" s="10"/>
      <c r="E5" s="10"/>
      <c r="F5" s="10"/>
      <c r="G5" s="10"/>
      <c r="H5" s="10"/>
      <c r="I5" s="10"/>
      <c r="J5" s="10"/>
      <c r="K5" s="10"/>
      <c r="L5" s="10"/>
    </row>
    <row r="6" spans="1:12" x14ac:dyDescent="0.3">
      <c r="A6" s="23" t="s">
        <v>207</v>
      </c>
      <c r="B6" s="23"/>
      <c r="C6" s="23"/>
      <c r="D6" s="23"/>
      <c r="E6" s="23"/>
      <c r="F6" s="23"/>
      <c r="G6" s="23"/>
      <c r="H6" s="23"/>
      <c r="I6" s="23"/>
      <c r="J6" s="23"/>
      <c r="K6" s="23"/>
      <c r="L6" s="23"/>
    </row>
    <row r="7" spans="1:12" x14ac:dyDescent="0.3">
      <c r="A7" s="23"/>
      <c r="B7" s="23"/>
      <c r="C7" s="23"/>
      <c r="D7" s="23"/>
      <c r="E7" s="23"/>
      <c r="F7" s="23"/>
      <c r="G7" s="23"/>
      <c r="H7" s="23"/>
      <c r="I7" s="23"/>
      <c r="J7" s="23"/>
      <c r="K7" s="23"/>
      <c r="L7" s="23"/>
    </row>
    <row r="8" spans="1:12" x14ac:dyDescent="0.3">
      <c r="A8" s="23"/>
      <c r="B8" s="377" t="s">
        <v>85</v>
      </c>
      <c r="C8" s="377" t="s">
        <v>208</v>
      </c>
      <c r="D8" s="377" t="s">
        <v>209</v>
      </c>
      <c r="E8" s="370" t="s">
        <v>210</v>
      </c>
      <c r="F8" s="370"/>
      <c r="G8" s="23"/>
      <c r="H8" s="23"/>
      <c r="I8" s="23"/>
      <c r="J8" s="23"/>
      <c r="K8" s="23"/>
      <c r="L8" s="23"/>
    </row>
    <row r="9" spans="1:12" ht="31.2" x14ac:dyDescent="0.3">
      <c r="A9" s="23"/>
      <c r="B9" s="377"/>
      <c r="C9" s="377"/>
      <c r="D9" s="377"/>
      <c r="E9" s="19" t="s">
        <v>211</v>
      </c>
      <c r="F9" s="19" t="s">
        <v>212</v>
      </c>
      <c r="G9" s="23"/>
      <c r="H9" s="23"/>
      <c r="I9" s="23"/>
      <c r="J9" s="23"/>
      <c r="K9" s="23"/>
      <c r="L9" s="23"/>
    </row>
    <row r="10" spans="1:12" x14ac:dyDescent="0.3">
      <c r="A10" s="23"/>
      <c r="B10" s="22">
        <v>2017</v>
      </c>
      <c r="C10" s="21">
        <v>7430</v>
      </c>
      <c r="D10" s="21">
        <v>810000</v>
      </c>
      <c r="E10" s="88">
        <v>7.3999999999999996E-2</v>
      </c>
      <c r="F10" s="88">
        <v>7.4999999999999997E-2</v>
      </c>
      <c r="G10" s="23"/>
      <c r="H10" s="23"/>
      <c r="I10" s="23"/>
      <c r="J10" s="23"/>
      <c r="K10" s="23"/>
      <c r="L10" s="23"/>
    </row>
    <row r="11" spans="1:12" x14ac:dyDescent="0.3">
      <c r="A11" s="23"/>
      <c r="B11" s="22">
        <v>2018</v>
      </c>
      <c r="C11" s="21">
        <v>7890</v>
      </c>
      <c r="D11" s="21">
        <v>850000</v>
      </c>
      <c r="E11" s="88">
        <v>7.4999999999999997E-2</v>
      </c>
      <c r="F11" s="88">
        <v>7.2999999999999995E-2</v>
      </c>
      <c r="G11" s="23"/>
      <c r="H11" s="23"/>
      <c r="I11" s="23"/>
      <c r="J11" s="23"/>
      <c r="K11" s="23"/>
      <c r="L11" s="23"/>
    </row>
    <row r="12" spans="1:12" x14ac:dyDescent="0.3">
      <c r="A12" s="23"/>
      <c r="B12" s="22">
        <v>2019</v>
      </c>
      <c r="C12" s="21">
        <v>8310</v>
      </c>
      <c r="D12" s="21">
        <v>880000</v>
      </c>
      <c r="E12" s="88">
        <v>7.5999999999999998E-2</v>
      </c>
      <c r="F12" s="88">
        <v>7.0999999999999994E-2</v>
      </c>
      <c r="G12" s="23"/>
      <c r="H12" s="23"/>
      <c r="I12" s="23"/>
      <c r="J12" s="23"/>
      <c r="K12" s="23"/>
      <c r="L12" s="23"/>
    </row>
    <row r="13" spans="1:12" x14ac:dyDescent="0.3">
      <c r="A13" s="23"/>
      <c r="B13" s="23"/>
      <c r="C13" s="23"/>
      <c r="D13" s="23"/>
      <c r="E13" s="23"/>
      <c r="F13" s="23"/>
      <c r="G13" s="23"/>
      <c r="H13" s="23"/>
      <c r="I13" s="23"/>
      <c r="J13" s="23"/>
      <c r="K13" s="23"/>
      <c r="L13" s="23"/>
    </row>
    <row r="14" spans="1:12" x14ac:dyDescent="0.3">
      <c r="A14" s="23"/>
      <c r="B14" s="42" t="s">
        <v>63</v>
      </c>
      <c r="C14" s="23" t="s">
        <v>213</v>
      </c>
      <c r="D14" s="23"/>
      <c r="E14" s="23"/>
      <c r="F14" s="23"/>
      <c r="G14" s="23"/>
      <c r="H14" s="23"/>
      <c r="I14" s="23"/>
      <c r="J14" s="23"/>
      <c r="K14" s="23"/>
      <c r="L14" s="23"/>
    </row>
    <row r="15" spans="1:12" x14ac:dyDescent="0.3">
      <c r="A15" s="23"/>
      <c r="B15" s="23"/>
      <c r="C15" s="23"/>
      <c r="D15" s="23"/>
      <c r="E15" s="23"/>
      <c r="F15" s="23"/>
      <c r="G15" s="23"/>
      <c r="H15" s="23"/>
      <c r="I15" s="23"/>
      <c r="J15" s="23"/>
      <c r="K15" s="23"/>
      <c r="L15" s="23"/>
    </row>
    <row r="17" spans="1:18" x14ac:dyDescent="0.3">
      <c r="A17" s="6" t="s">
        <v>33</v>
      </c>
      <c r="B17" s="4"/>
      <c r="C17" s="4"/>
      <c r="D17" s="4"/>
      <c r="E17" s="4"/>
      <c r="F17" s="4"/>
      <c r="G17" s="4"/>
      <c r="H17" s="4"/>
      <c r="I17" s="4"/>
      <c r="J17" s="4"/>
      <c r="K17" s="4"/>
      <c r="L17" s="4"/>
    </row>
    <row r="18" spans="1:18" x14ac:dyDescent="0.3">
      <c r="A18" s="10"/>
      <c r="B18" s="10"/>
      <c r="C18" s="10"/>
      <c r="D18" s="10"/>
      <c r="E18" s="10"/>
      <c r="F18" s="10"/>
      <c r="G18" s="10"/>
      <c r="H18" s="10"/>
      <c r="I18" s="10"/>
      <c r="J18" s="10"/>
      <c r="K18" s="10"/>
      <c r="L18" s="10"/>
    </row>
    <row r="19" spans="1:18" x14ac:dyDescent="0.3">
      <c r="A19" s="23" t="s">
        <v>90</v>
      </c>
      <c r="B19" s="23"/>
      <c r="C19" s="23"/>
      <c r="D19" s="23"/>
      <c r="E19" s="23"/>
      <c r="F19" s="23"/>
      <c r="G19" s="23"/>
      <c r="H19" s="23"/>
      <c r="I19" s="23"/>
      <c r="J19" s="23"/>
      <c r="K19" s="23"/>
      <c r="L19" s="23"/>
    </row>
    <row r="20" spans="1:18" x14ac:dyDescent="0.3">
      <c r="A20" s="23"/>
      <c r="B20" s="23"/>
      <c r="C20" s="23"/>
      <c r="D20" s="23"/>
      <c r="E20" s="23"/>
      <c r="F20" s="23"/>
      <c r="G20" s="23"/>
      <c r="H20" s="23"/>
      <c r="I20" s="23"/>
      <c r="J20" s="23"/>
      <c r="K20" s="23"/>
      <c r="L20" s="23"/>
    </row>
    <row r="21" spans="1:18" x14ac:dyDescent="0.3">
      <c r="A21" s="23"/>
      <c r="B21" s="378"/>
      <c r="C21" s="378"/>
      <c r="D21" s="370" t="s">
        <v>214</v>
      </c>
      <c r="E21" s="370"/>
      <c r="F21" s="23"/>
      <c r="G21" s="23"/>
      <c r="H21" s="23"/>
      <c r="I21" s="23"/>
      <c r="J21" s="23"/>
      <c r="K21" s="23"/>
      <c r="L21" s="23"/>
    </row>
    <row r="22" spans="1:18" x14ac:dyDescent="0.3">
      <c r="A22" s="23"/>
      <c r="B22" s="378" t="s">
        <v>215</v>
      </c>
      <c r="C22" s="378"/>
      <c r="D22" s="386">
        <v>3510000</v>
      </c>
      <c r="E22" s="386"/>
      <c r="F22" s="23"/>
      <c r="G22" s="23"/>
      <c r="H22" s="23"/>
      <c r="I22" s="23"/>
      <c r="J22" s="23"/>
      <c r="K22" s="23"/>
      <c r="L22" s="23"/>
    </row>
    <row r="23" spans="1:18" x14ac:dyDescent="0.3">
      <c r="A23" s="23"/>
      <c r="B23" s="378" t="s">
        <v>216</v>
      </c>
      <c r="C23" s="378"/>
      <c r="D23" s="386">
        <v>1600000</v>
      </c>
      <c r="E23" s="386"/>
      <c r="F23" s="23"/>
      <c r="G23" s="23"/>
      <c r="H23" s="23"/>
      <c r="I23" s="23"/>
      <c r="J23" s="23"/>
      <c r="K23" s="23"/>
      <c r="L23" s="23"/>
    </row>
    <row r="24" spans="1:18" x14ac:dyDescent="0.3">
      <c r="A24" s="23"/>
      <c r="B24" s="23"/>
      <c r="C24" s="23"/>
      <c r="D24" s="23"/>
      <c r="E24" s="23"/>
      <c r="F24" s="23"/>
      <c r="G24" s="23"/>
      <c r="H24" s="23"/>
      <c r="I24" s="23"/>
      <c r="J24" s="23"/>
      <c r="K24" s="23"/>
      <c r="L24" s="23"/>
    </row>
    <row r="25" spans="1:18" x14ac:dyDescent="0.3">
      <c r="A25" s="23"/>
      <c r="B25" s="42" t="s">
        <v>63</v>
      </c>
      <c r="C25" s="23" t="s">
        <v>217</v>
      </c>
      <c r="D25" s="23"/>
      <c r="E25" s="23"/>
      <c r="F25" s="23"/>
      <c r="G25" s="23"/>
      <c r="H25" s="23"/>
      <c r="I25" s="23"/>
      <c r="J25" s="23"/>
      <c r="K25" s="23"/>
      <c r="L25" s="23"/>
    </row>
    <row r="26" spans="1:18" x14ac:dyDescent="0.3">
      <c r="A26" s="23"/>
      <c r="B26" s="42" t="s">
        <v>63</v>
      </c>
      <c r="C26" s="385" t="s">
        <v>218</v>
      </c>
      <c r="D26" s="358"/>
      <c r="E26" s="358"/>
      <c r="F26" s="358"/>
      <c r="G26" s="358"/>
      <c r="H26" s="358"/>
      <c r="I26" s="358"/>
      <c r="J26" s="358"/>
      <c r="K26" s="358"/>
      <c r="L26" s="358"/>
    </row>
    <row r="27" spans="1:18" x14ac:dyDescent="0.3">
      <c r="A27" s="23"/>
      <c r="B27" s="23"/>
      <c r="C27" s="358"/>
      <c r="D27" s="358"/>
      <c r="E27" s="358"/>
      <c r="F27" s="358"/>
      <c r="G27" s="358"/>
      <c r="H27" s="358"/>
      <c r="I27" s="358"/>
      <c r="J27" s="358"/>
      <c r="K27" s="358"/>
      <c r="L27" s="358"/>
    </row>
    <row r="28" spans="1:18" x14ac:dyDescent="0.3">
      <c r="A28" s="23"/>
      <c r="B28" s="23"/>
      <c r="C28" s="23"/>
      <c r="D28" s="23"/>
      <c r="E28" s="23"/>
      <c r="F28" s="23"/>
      <c r="G28" s="23"/>
      <c r="H28" s="23"/>
      <c r="I28" s="23"/>
      <c r="J28" s="23"/>
      <c r="K28" s="23"/>
      <c r="L28" s="23"/>
    </row>
    <row r="29" spans="1:18" x14ac:dyDescent="0.3">
      <c r="A29" s="10"/>
      <c r="B29" s="10"/>
      <c r="C29" s="10"/>
      <c r="D29" s="10"/>
      <c r="E29" s="10"/>
      <c r="F29" s="10"/>
      <c r="G29" s="10"/>
      <c r="H29" s="10"/>
      <c r="I29" s="10"/>
      <c r="J29" s="10"/>
      <c r="K29" s="10"/>
      <c r="L29" s="10"/>
    </row>
    <row r="30" spans="1:18" x14ac:dyDescent="0.3">
      <c r="A30" s="7" t="s">
        <v>9</v>
      </c>
      <c r="B30" s="5" t="s">
        <v>219</v>
      </c>
      <c r="C30" s="5"/>
      <c r="D30" s="5"/>
      <c r="E30" s="5"/>
      <c r="F30" s="5"/>
      <c r="G30" s="5"/>
      <c r="H30" s="5"/>
      <c r="I30" s="5"/>
      <c r="J30" s="5"/>
      <c r="K30" s="5"/>
      <c r="L30" s="5"/>
      <c r="M30" s="12"/>
      <c r="N30" s="12"/>
      <c r="O30" s="12"/>
      <c r="P30" s="12"/>
      <c r="Q30" s="12"/>
      <c r="R30" s="12"/>
    </row>
    <row r="31" spans="1:18" x14ac:dyDescent="0.3">
      <c r="A31" s="4"/>
      <c r="B31" s="4"/>
      <c r="C31" s="4"/>
      <c r="D31" s="4"/>
      <c r="E31" s="4"/>
      <c r="F31" s="4"/>
      <c r="G31" s="5"/>
      <c r="H31" s="5"/>
      <c r="I31" s="5"/>
      <c r="J31" s="5"/>
      <c r="K31" s="5"/>
      <c r="L31" s="5"/>
    </row>
    <row r="32" spans="1:18" x14ac:dyDescent="0.3">
      <c r="A32" s="10"/>
      <c r="B32" s="10"/>
      <c r="C32" s="10"/>
      <c r="D32" s="10"/>
      <c r="E32" s="10"/>
      <c r="F32" s="10"/>
      <c r="G32" s="10"/>
      <c r="H32" s="10"/>
      <c r="I32" s="10"/>
      <c r="J32" s="10"/>
      <c r="K32" s="10"/>
      <c r="L32" s="10"/>
      <c r="M32" s="10"/>
    </row>
    <row r="33" spans="1:14" x14ac:dyDescent="0.3">
      <c r="A33" s="10" t="s">
        <v>10</v>
      </c>
      <c r="B33" s="10"/>
      <c r="C33" s="10"/>
      <c r="D33" s="10"/>
      <c r="E33" s="10"/>
      <c r="F33" s="10"/>
      <c r="G33" s="10"/>
      <c r="H33" s="10"/>
      <c r="I33" s="10"/>
      <c r="J33" s="10"/>
      <c r="K33" s="10"/>
      <c r="L33" s="10"/>
      <c r="M33" s="10"/>
      <c r="N33" s="12"/>
    </row>
    <row r="34" spans="1:14" x14ac:dyDescent="0.3">
      <c r="A34" s="10"/>
      <c r="B34" s="10"/>
      <c r="C34" s="10"/>
      <c r="D34" s="10"/>
      <c r="E34" s="10"/>
      <c r="F34" s="10"/>
      <c r="G34" s="10"/>
      <c r="H34" s="10"/>
      <c r="I34" s="10"/>
      <c r="J34" s="10"/>
      <c r="K34" s="10"/>
      <c r="L34" s="10"/>
      <c r="M34" s="10"/>
      <c r="N34" s="12"/>
    </row>
    <row r="35" spans="1:14" x14ac:dyDescent="0.3">
      <c r="A35" s="10" t="s">
        <v>479</v>
      </c>
      <c r="B35" s="10"/>
      <c r="C35" s="10"/>
      <c r="D35" s="10"/>
      <c r="E35" s="10"/>
      <c r="F35" s="10"/>
      <c r="G35" s="298">
        <f>AVERAGE(F11:F12)</f>
        <v>7.1999999999999995E-2</v>
      </c>
      <c r="H35" s="10"/>
      <c r="I35" s="10"/>
      <c r="J35" s="10"/>
      <c r="K35" s="10"/>
      <c r="L35" s="10"/>
      <c r="M35" s="10"/>
      <c r="N35" s="12"/>
    </row>
    <row r="36" spans="1:14" x14ac:dyDescent="0.3">
      <c r="B36" s="2" t="s">
        <v>480</v>
      </c>
      <c r="M36" s="12"/>
      <c r="N36" s="12"/>
    </row>
    <row r="37" spans="1:14" x14ac:dyDescent="0.3">
      <c r="M37" s="12"/>
      <c r="N37" s="12"/>
    </row>
    <row r="38" spans="1:14" x14ac:dyDescent="0.3">
      <c r="A38" s="2" t="s">
        <v>481</v>
      </c>
      <c r="M38" s="12"/>
      <c r="N38" s="12"/>
    </row>
    <row r="39" spans="1:14" x14ac:dyDescent="0.3">
      <c r="B39" s="299">
        <f>G35*D23*0.2+G35*0.75*(D22+0.8*D23)</f>
        <v>281700</v>
      </c>
      <c r="M39" s="12"/>
      <c r="N39" s="12"/>
    </row>
    <row r="40" spans="1:14" x14ac:dyDescent="0.3">
      <c r="M40" s="12"/>
      <c r="N40" s="12"/>
    </row>
    <row r="41" spans="1:14" x14ac:dyDescent="0.3">
      <c r="A41" s="23" t="s">
        <v>220</v>
      </c>
      <c r="B41" s="23"/>
      <c r="C41" s="23"/>
      <c r="D41" s="23"/>
      <c r="E41" s="23"/>
      <c r="F41" s="23"/>
      <c r="G41" s="23"/>
      <c r="H41" s="23"/>
      <c r="I41" s="23"/>
      <c r="J41" s="23"/>
      <c r="K41" s="23"/>
      <c r="L41" s="23"/>
      <c r="M41" s="12"/>
      <c r="N41" s="12"/>
    </row>
    <row r="42" spans="1:14" x14ac:dyDescent="0.3">
      <c r="A42" s="23"/>
      <c r="B42" s="23"/>
      <c r="C42" s="23"/>
      <c r="D42" s="23"/>
      <c r="E42" s="23"/>
      <c r="F42" s="23"/>
      <c r="G42" s="23"/>
      <c r="H42" s="23"/>
      <c r="I42" s="23"/>
      <c r="J42" s="23"/>
      <c r="K42" s="23"/>
      <c r="L42" s="23"/>
      <c r="M42" s="12"/>
      <c r="N42" s="12"/>
    </row>
    <row r="44" spans="1:14" x14ac:dyDescent="0.3">
      <c r="A44" s="7" t="s">
        <v>11</v>
      </c>
      <c r="B44" s="5" t="s">
        <v>221</v>
      </c>
      <c r="C44" s="5"/>
      <c r="D44" s="5"/>
      <c r="E44" s="5"/>
      <c r="F44" s="5"/>
      <c r="G44" s="5"/>
      <c r="H44" s="5"/>
      <c r="I44" s="5"/>
      <c r="J44" s="5"/>
      <c r="K44" s="5"/>
      <c r="L44" s="5"/>
    </row>
    <row r="45" spans="1:14" x14ac:dyDescent="0.3">
      <c r="A45" s="4"/>
      <c r="B45" s="4"/>
      <c r="C45" s="4"/>
      <c r="D45" s="4"/>
      <c r="E45" s="4"/>
      <c r="F45" s="4"/>
      <c r="G45" s="5"/>
      <c r="H45" s="5"/>
      <c r="I45" s="5"/>
      <c r="J45" s="5"/>
      <c r="K45" s="5"/>
      <c r="L45" s="5"/>
    </row>
    <row r="46" spans="1:14" x14ac:dyDescent="0.3">
      <c r="A46" s="10"/>
      <c r="B46" s="10"/>
      <c r="C46" s="10"/>
      <c r="D46" s="10"/>
      <c r="E46" s="10"/>
      <c r="F46" s="10"/>
      <c r="G46" s="10"/>
      <c r="H46" s="10"/>
      <c r="I46" s="10"/>
      <c r="J46" s="10"/>
      <c r="K46" s="10"/>
      <c r="L46" s="10"/>
    </row>
    <row r="47" spans="1:14" x14ac:dyDescent="0.3">
      <c r="A47" s="10" t="s">
        <v>10</v>
      </c>
      <c r="B47" s="10"/>
      <c r="C47" s="10"/>
      <c r="D47" s="10"/>
      <c r="E47" s="10"/>
      <c r="F47" s="10"/>
      <c r="G47" s="10"/>
      <c r="H47" s="10"/>
      <c r="I47" s="10"/>
      <c r="J47" s="10"/>
      <c r="K47" s="10"/>
      <c r="L47" s="10"/>
    </row>
    <row r="48" spans="1:14" x14ac:dyDescent="0.3">
      <c r="A48" s="10"/>
      <c r="B48" s="10"/>
      <c r="C48" s="10"/>
      <c r="D48" s="10"/>
      <c r="E48" s="10"/>
      <c r="F48" s="10"/>
      <c r="G48" s="10"/>
      <c r="H48" s="10"/>
      <c r="I48" s="10"/>
      <c r="J48" s="10"/>
      <c r="K48" s="10"/>
      <c r="L48" s="10"/>
    </row>
    <row r="49" spans="1:12" x14ac:dyDescent="0.3">
      <c r="A49" s="10" t="s">
        <v>482</v>
      </c>
      <c r="B49" s="10"/>
      <c r="C49" s="10"/>
      <c r="D49" s="300">
        <f>D12+B39-270000</f>
        <v>891700</v>
      </c>
      <c r="E49" s="10"/>
      <c r="F49" s="10"/>
      <c r="G49" s="10"/>
      <c r="H49" s="10"/>
      <c r="I49" s="10"/>
      <c r="J49" s="10"/>
      <c r="K49" s="10"/>
      <c r="L49" s="10"/>
    </row>
    <row r="51" spans="1:12" x14ac:dyDescent="0.3">
      <c r="A51" s="6" t="s">
        <v>82</v>
      </c>
      <c r="B51" s="4"/>
      <c r="C51" s="4"/>
      <c r="D51" s="4"/>
      <c r="E51" s="4"/>
      <c r="F51" s="4"/>
      <c r="G51" s="4"/>
      <c r="H51" s="4"/>
      <c r="I51" s="4"/>
      <c r="J51" s="4"/>
      <c r="K51" s="4"/>
      <c r="L51" s="4"/>
    </row>
  </sheetData>
  <mergeCells count="11">
    <mergeCell ref="D23:E23"/>
    <mergeCell ref="B23:C23"/>
    <mergeCell ref="B21:C21"/>
    <mergeCell ref="C26:L27"/>
    <mergeCell ref="B8:B9"/>
    <mergeCell ref="C8:C9"/>
    <mergeCell ref="D8:D9"/>
    <mergeCell ref="E8:F8"/>
    <mergeCell ref="B22:C22"/>
    <mergeCell ref="D21:E21"/>
    <mergeCell ref="D22:E22"/>
  </mergeCells>
  <pageMargins left="0.39370078740157483" right="0.39370078740157483" top="0.39370078740157483" bottom="0.39370078740157483" header="0.31496062992125984" footer="0.31496062992125984"/>
  <pageSetup scale="79" orientation="portrait" verticalDpi="1200" r:id="rId1"/>
  <headerFooter>
    <oddFooter>&amp;L&amp;F [&amp;A]&amp;R&amp;P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39D9E-2DC3-4BD7-B568-BA8316B58FC7}">
  <dimension ref="A1:AB128"/>
  <sheetViews>
    <sheetView zoomScaleNormal="100" workbookViewId="0"/>
  </sheetViews>
  <sheetFormatPr defaultRowHeight="15.6" x14ac:dyDescent="0.3"/>
  <cols>
    <col min="1" max="1" width="8.88671875" style="2" customWidth="1"/>
    <col min="2" max="4" width="12.77734375" style="2" customWidth="1"/>
    <col min="5" max="5" width="11.44140625" style="2" customWidth="1"/>
    <col min="6" max="6" width="11.109375" style="2" customWidth="1"/>
    <col min="7" max="7" width="13" style="2" customWidth="1"/>
    <col min="8" max="8" width="8.88671875" style="2" customWidth="1"/>
    <col min="9" max="28" width="4" style="2" customWidth="1"/>
    <col min="29" max="16384" width="8.88671875" style="2"/>
  </cols>
  <sheetData>
    <row r="1" spans="1:16" ht="17.399999999999999" x14ac:dyDescent="0.3">
      <c r="A1" s="3" t="s">
        <v>222</v>
      </c>
      <c r="B1" s="5"/>
      <c r="C1" s="23" t="s">
        <v>96</v>
      </c>
      <c r="D1" s="5"/>
      <c r="E1" s="5"/>
      <c r="F1" s="5"/>
      <c r="G1" s="5"/>
      <c r="H1" s="5"/>
      <c r="I1" s="5"/>
      <c r="J1" s="5"/>
      <c r="K1" s="5"/>
      <c r="L1" s="4"/>
      <c r="M1" s="56"/>
      <c r="N1" s="56"/>
      <c r="O1" s="56"/>
      <c r="P1" s="56"/>
    </row>
    <row r="2" spans="1:16" x14ac:dyDescent="0.3">
      <c r="A2" s="5"/>
      <c r="B2" s="5"/>
      <c r="C2" s="5"/>
      <c r="D2" s="5"/>
      <c r="E2" s="5"/>
      <c r="F2" s="5"/>
      <c r="G2" s="5"/>
      <c r="H2" s="5"/>
      <c r="I2" s="5"/>
      <c r="J2" s="5"/>
      <c r="K2" s="5"/>
      <c r="L2" s="4"/>
      <c r="M2" s="56"/>
      <c r="N2" s="56"/>
      <c r="O2" s="56"/>
      <c r="P2" s="56"/>
    </row>
    <row r="3" spans="1:16" x14ac:dyDescent="0.3">
      <c r="A3" s="5" t="s">
        <v>223</v>
      </c>
      <c r="B3" s="5"/>
      <c r="C3" s="5"/>
      <c r="D3" s="5"/>
      <c r="E3" s="5"/>
      <c r="F3" s="5"/>
      <c r="G3" s="5"/>
      <c r="H3" s="5"/>
      <c r="I3" s="5"/>
      <c r="J3" s="5"/>
      <c r="K3" s="5"/>
      <c r="L3" s="4"/>
      <c r="M3" s="56"/>
      <c r="N3" s="56"/>
      <c r="O3" s="56"/>
      <c r="P3" s="56"/>
    </row>
    <row r="4" spans="1:16" x14ac:dyDescent="0.3">
      <c r="A4" s="23"/>
      <c r="B4" s="23"/>
      <c r="C4" s="23"/>
      <c r="D4" s="23"/>
      <c r="E4" s="23"/>
      <c r="F4" s="23"/>
      <c r="G4" s="23"/>
      <c r="H4" s="23"/>
      <c r="I4" s="23"/>
      <c r="J4" s="23"/>
      <c r="K4" s="23"/>
      <c r="L4" s="23"/>
      <c r="M4" s="56"/>
      <c r="N4" s="56"/>
      <c r="O4" s="56"/>
      <c r="P4" s="56"/>
    </row>
    <row r="5" spans="1:16" x14ac:dyDescent="0.3">
      <c r="A5" s="23"/>
      <c r="B5" s="392" t="s">
        <v>224</v>
      </c>
      <c r="C5" s="392"/>
      <c r="D5" s="392"/>
      <c r="E5" s="23"/>
      <c r="F5" s="23"/>
      <c r="G5" s="23"/>
      <c r="H5" s="23"/>
      <c r="I5" s="23"/>
      <c r="J5" s="23"/>
      <c r="K5" s="23"/>
      <c r="L5" s="23"/>
      <c r="M5" s="56"/>
      <c r="N5" s="56"/>
      <c r="O5" s="56"/>
      <c r="P5" s="56"/>
    </row>
    <row r="6" spans="1:16" x14ac:dyDescent="0.3">
      <c r="A6" s="23"/>
      <c r="B6" s="393" t="s">
        <v>225</v>
      </c>
      <c r="C6" s="394"/>
      <c r="D6" s="57" t="s">
        <v>227</v>
      </c>
      <c r="E6" s="23"/>
      <c r="F6" s="23"/>
      <c r="G6" s="23"/>
      <c r="H6" s="23"/>
      <c r="I6" s="23"/>
      <c r="J6" s="23"/>
      <c r="K6" s="23"/>
      <c r="L6" s="23"/>
      <c r="M6" s="56"/>
      <c r="N6" s="56"/>
      <c r="O6" s="56"/>
      <c r="P6" s="56"/>
    </row>
    <row r="7" spans="1:16" x14ac:dyDescent="0.3">
      <c r="A7" s="23"/>
      <c r="B7" s="395" t="s">
        <v>226</v>
      </c>
      <c r="C7" s="396"/>
      <c r="D7" s="58" t="s">
        <v>228</v>
      </c>
      <c r="E7" s="23"/>
      <c r="F7" s="23"/>
      <c r="G7" s="23"/>
      <c r="H7" s="23"/>
      <c r="I7" s="23"/>
      <c r="J7" s="23"/>
      <c r="K7" s="23"/>
      <c r="L7" s="23"/>
      <c r="M7" s="56"/>
      <c r="N7" s="56"/>
      <c r="O7" s="56"/>
      <c r="P7" s="56"/>
    </row>
    <row r="8" spans="1:16" x14ac:dyDescent="0.3">
      <c r="A8" s="23"/>
      <c r="B8" s="397">
        <v>42186</v>
      </c>
      <c r="C8" s="397"/>
      <c r="D8" s="89">
        <v>0.08</v>
      </c>
      <c r="E8" s="23"/>
      <c r="F8" s="23"/>
      <c r="G8" s="23"/>
      <c r="H8" s="23"/>
      <c r="I8" s="23"/>
      <c r="J8" s="23"/>
      <c r="K8" s="23"/>
      <c r="L8" s="23"/>
      <c r="M8" s="56"/>
      <c r="N8" s="56"/>
      <c r="O8" s="56"/>
      <c r="P8" s="56"/>
    </row>
    <row r="9" spans="1:16" x14ac:dyDescent="0.3">
      <c r="A9" s="23"/>
      <c r="B9" s="391">
        <v>42736</v>
      </c>
      <c r="C9" s="391"/>
      <c r="D9" s="90">
        <v>0.1</v>
      </c>
      <c r="E9" s="23"/>
      <c r="F9" s="23"/>
      <c r="G9" s="23"/>
      <c r="H9" s="23"/>
      <c r="I9" s="23"/>
      <c r="J9" s="23"/>
      <c r="K9" s="23"/>
      <c r="L9" s="23"/>
      <c r="M9" s="56"/>
      <c r="N9" s="56"/>
      <c r="O9" s="56"/>
      <c r="P9" s="56"/>
    </row>
    <row r="10" spans="1:16" x14ac:dyDescent="0.3">
      <c r="A10" s="23"/>
      <c r="B10" s="391">
        <v>43466</v>
      </c>
      <c r="C10" s="391"/>
      <c r="D10" s="90">
        <v>0.05</v>
      </c>
      <c r="E10" s="23"/>
      <c r="F10" s="23"/>
      <c r="G10" s="23"/>
      <c r="H10" s="23"/>
      <c r="I10" s="23"/>
      <c r="J10" s="23"/>
      <c r="K10" s="23"/>
      <c r="L10" s="23"/>
      <c r="M10" s="56"/>
      <c r="N10" s="56"/>
      <c r="O10" s="56"/>
      <c r="P10" s="56"/>
    </row>
    <row r="11" spans="1:16" x14ac:dyDescent="0.3">
      <c r="A11" s="23"/>
      <c r="B11" s="23"/>
      <c r="C11" s="23"/>
      <c r="D11" s="23"/>
      <c r="E11" s="23"/>
      <c r="F11" s="23"/>
      <c r="G11" s="23"/>
      <c r="H11" s="23"/>
      <c r="I11" s="23"/>
      <c r="J11" s="23"/>
      <c r="K11" s="23"/>
      <c r="L11" s="23"/>
      <c r="M11" s="56"/>
      <c r="N11" s="56"/>
      <c r="O11" s="56"/>
      <c r="P11" s="56"/>
    </row>
    <row r="12" spans="1:16" x14ac:dyDescent="0.3">
      <c r="A12" s="23"/>
      <c r="B12" s="42" t="s">
        <v>63</v>
      </c>
      <c r="C12" s="23" t="s">
        <v>229</v>
      </c>
      <c r="D12" s="23"/>
      <c r="E12" s="23"/>
      <c r="F12" s="23"/>
      <c r="G12" s="23"/>
      <c r="H12" s="23"/>
      <c r="I12" s="23"/>
      <c r="J12" s="23"/>
      <c r="K12" s="23"/>
      <c r="L12" s="23"/>
      <c r="M12" s="56"/>
      <c r="N12" s="56"/>
      <c r="O12" s="56"/>
      <c r="P12" s="56"/>
    </row>
    <row r="13" spans="1:16" x14ac:dyDescent="0.3">
      <c r="A13" s="23"/>
      <c r="B13" s="42" t="s">
        <v>63</v>
      </c>
      <c r="C13" s="23" t="s">
        <v>8</v>
      </c>
      <c r="D13" s="23"/>
      <c r="E13" s="23"/>
      <c r="F13" s="23"/>
      <c r="G13" s="23"/>
      <c r="H13" s="23"/>
      <c r="I13" s="23"/>
      <c r="J13" s="23"/>
      <c r="K13" s="23"/>
      <c r="L13" s="23"/>
      <c r="M13" s="56"/>
      <c r="N13" s="56"/>
      <c r="O13" s="56"/>
      <c r="P13" s="56"/>
    </row>
    <row r="14" spans="1:16" x14ac:dyDescent="0.3">
      <c r="A14" s="23"/>
      <c r="B14" s="42" t="s">
        <v>63</v>
      </c>
      <c r="C14" s="385" t="s">
        <v>230</v>
      </c>
      <c r="D14" s="358"/>
      <c r="E14" s="358"/>
      <c r="F14" s="358"/>
      <c r="G14" s="358"/>
      <c r="H14" s="358"/>
      <c r="I14" s="358"/>
      <c r="J14" s="358"/>
      <c r="K14" s="358"/>
      <c r="L14" s="358"/>
      <c r="M14" s="56"/>
      <c r="N14" s="56"/>
      <c r="O14" s="56"/>
      <c r="P14" s="56"/>
    </row>
    <row r="15" spans="1:16" x14ac:dyDescent="0.3">
      <c r="A15" s="23"/>
      <c r="B15" s="23"/>
      <c r="C15" s="358"/>
      <c r="D15" s="358"/>
      <c r="E15" s="358"/>
      <c r="F15" s="358"/>
      <c r="G15" s="358"/>
      <c r="H15" s="358"/>
      <c r="I15" s="358"/>
      <c r="J15" s="358"/>
      <c r="K15" s="358"/>
      <c r="L15" s="358"/>
      <c r="M15" s="56"/>
      <c r="N15" s="56"/>
      <c r="O15" s="56"/>
      <c r="P15" s="56"/>
    </row>
    <row r="16" spans="1:16" x14ac:dyDescent="0.3">
      <c r="A16" s="23"/>
      <c r="B16" s="23"/>
      <c r="C16" s="23"/>
      <c r="D16" s="23"/>
      <c r="E16" s="23"/>
      <c r="F16" s="23"/>
      <c r="G16" s="23"/>
      <c r="H16" s="23"/>
      <c r="I16" s="23"/>
      <c r="J16" s="23"/>
      <c r="K16" s="23"/>
      <c r="L16" s="23"/>
      <c r="M16" s="56"/>
      <c r="N16" s="56"/>
      <c r="O16" s="56"/>
      <c r="P16" s="56"/>
    </row>
    <row r="18" spans="1:28" x14ac:dyDescent="0.3">
      <c r="A18" s="7" t="s">
        <v>14</v>
      </c>
      <c r="B18" s="5" t="s">
        <v>231</v>
      </c>
      <c r="C18" s="5"/>
      <c r="D18" s="5"/>
      <c r="E18" s="5"/>
      <c r="F18" s="5"/>
      <c r="G18" s="5"/>
      <c r="H18" s="5"/>
      <c r="I18" s="5"/>
      <c r="J18" s="5"/>
      <c r="K18" s="5"/>
      <c r="L18" s="5"/>
      <c r="M18" s="23"/>
      <c r="N18" s="23"/>
      <c r="O18" s="23"/>
      <c r="P18" s="23"/>
      <c r="Q18" s="12"/>
      <c r="R18" s="12"/>
    </row>
    <row r="19" spans="1:28" x14ac:dyDescent="0.3">
      <c r="A19" s="4"/>
      <c r="B19" s="4"/>
      <c r="C19" s="4"/>
      <c r="D19" s="4"/>
      <c r="E19" s="4"/>
      <c r="F19" s="4"/>
      <c r="G19" s="5"/>
      <c r="H19" s="5"/>
      <c r="I19" s="5"/>
      <c r="J19" s="5"/>
      <c r="K19" s="5"/>
      <c r="L19" s="5"/>
      <c r="M19" s="56"/>
      <c r="N19" s="56"/>
      <c r="O19" s="56"/>
      <c r="P19" s="56"/>
    </row>
    <row r="20" spans="1:28" x14ac:dyDescent="0.3">
      <c r="A20" s="10"/>
      <c r="B20" s="10"/>
      <c r="C20" s="10"/>
      <c r="D20" s="10"/>
      <c r="E20" s="10"/>
      <c r="F20" s="10"/>
      <c r="G20" s="10"/>
      <c r="H20" s="10"/>
      <c r="I20" s="10"/>
      <c r="J20" s="10"/>
      <c r="K20" s="10"/>
      <c r="L20" s="10"/>
      <c r="M20" s="10"/>
    </row>
    <row r="21" spans="1:28" x14ac:dyDescent="0.3">
      <c r="A21" s="10" t="s">
        <v>10</v>
      </c>
      <c r="B21" s="10"/>
      <c r="C21" s="10"/>
      <c r="D21" s="10"/>
      <c r="E21" s="10"/>
      <c r="F21" s="10"/>
      <c r="G21" s="10"/>
      <c r="H21" s="10"/>
      <c r="I21" s="10"/>
      <c r="J21" s="10"/>
      <c r="K21" s="10"/>
      <c r="L21" s="10"/>
      <c r="M21" s="10"/>
      <c r="N21" s="12"/>
    </row>
    <row r="22" spans="1:28" x14ac:dyDescent="0.3">
      <c r="A22" s="10"/>
      <c r="B22" s="10"/>
      <c r="C22" s="10"/>
      <c r="D22" s="10"/>
      <c r="E22" s="10"/>
      <c r="F22" s="10"/>
      <c r="G22" s="10"/>
      <c r="H22" s="10"/>
      <c r="I22" s="10"/>
      <c r="J22" s="10"/>
      <c r="K22" s="10"/>
      <c r="L22" s="10"/>
      <c r="M22" s="10"/>
      <c r="N22" s="12"/>
    </row>
    <row r="23" spans="1:28" ht="16.2" x14ac:dyDescent="0.35">
      <c r="A23" s="13" t="s">
        <v>18</v>
      </c>
      <c r="B23" s="10"/>
      <c r="C23" s="10"/>
      <c r="D23" s="10"/>
      <c r="E23" s="10"/>
      <c r="F23" s="10"/>
      <c r="G23" s="10"/>
      <c r="H23" s="10"/>
      <c r="I23" s="10"/>
      <c r="J23" s="10"/>
      <c r="K23" s="10"/>
      <c r="L23" s="10"/>
      <c r="M23" s="10"/>
      <c r="N23" s="12"/>
    </row>
    <row r="24" spans="1:28" x14ac:dyDescent="0.3">
      <c r="I24" s="375">
        <v>2015</v>
      </c>
      <c r="J24" s="375"/>
      <c r="K24" s="375"/>
      <c r="L24" s="375"/>
      <c r="M24" s="375">
        <f>I24+1</f>
        <v>2016</v>
      </c>
      <c r="N24" s="375"/>
      <c r="O24" s="375"/>
      <c r="P24" s="375"/>
      <c r="Q24" s="375">
        <f>M24+1</f>
        <v>2017</v>
      </c>
      <c r="R24" s="375"/>
      <c r="S24" s="375"/>
      <c r="T24" s="375"/>
      <c r="U24" s="375">
        <f>Q24+1</f>
        <v>2018</v>
      </c>
      <c r="V24" s="375"/>
      <c r="W24" s="375"/>
      <c r="X24" s="375"/>
      <c r="Y24" s="375">
        <f>U24+1</f>
        <v>2019</v>
      </c>
      <c r="Z24" s="375"/>
      <c r="AA24" s="375"/>
      <c r="AB24" s="375"/>
    </row>
    <row r="25" spans="1:28" ht="19.95" customHeight="1" x14ac:dyDescent="0.3">
      <c r="I25" s="246"/>
      <c r="J25" s="247"/>
      <c r="K25" s="247"/>
      <c r="L25" s="248"/>
      <c r="M25" s="246"/>
      <c r="N25" s="247"/>
      <c r="O25" s="247"/>
      <c r="P25" s="248"/>
      <c r="Q25" s="246"/>
      <c r="R25" s="247"/>
      <c r="S25" s="247" t="s">
        <v>483</v>
      </c>
      <c r="T25" s="248"/>
      <c r="U25" s="246"/>
      <c r="V25" s="247"/>
      <c r="W25" s="247"/>
      <c r="X25" s="248"/>
      <c r="Y25" s="246"/>
      <c r="Z25" s="247"/>
      <c r="AA25" s="247"/>
      <c r="AB25" s="248"/>
    </row>
    <row r="26" spans="1:28" ht="19.95" customHeight="1" x14ac:dyDescent="0.3">
      <c r="I26" s="249"/>
      <c r="J26" s="250" t="s">
        <v>150</v>
      </c>
      <c r="K26" s="250"/>
      <c r="L26" s="251"/>
      <c r="M26" s="249"/>
      <c r="N26" s="250"/>
      <c r="O26" s="250" t="s">
        <v>151</v>
      </c>
      <c r="P26" s="251"/>
      <c r="Q26" s="249"/>
      <c r="R26" s="250"/>
      <c r="S26" s="250"/>
      <c r="T26" s="251"/>
      <c r="U26" s="249"/>
      <c r="V26" s="250"/>
      <c r="W26" s="250"/>
      <c r="X26" s="251"/>
      <c r="Y26" s="249"/>
      <c r="Z26" s="250"/>
      <c r="AA26" s="250"/>
      <c r="AB26" s="251"/>
    </row>
    <row r="27" spans="1:28" ht="19.95" customHeight="1" x14ac:dyDescent="0.3">
      <c r="I27" s="249"/>
      <c r="J27" s="250"/>
      <c r="K27" s="250"/>
      <c r="L27" s="251"/>
      <c r="M27" s="249"/>
      <c r="N27" s="250"/>
      <c r="O27" s="250"/>
      <c r="P27" s="251"/>
      <c r="Q27" s="249"/>
      <c r="R27" s="250"/>
      <c r="S27" s="250"/>
      <c r="T27" s="251" t="s">
        <v>484</v>
      </c>
      <c r="U27" s="249"/>
      <c r="V27" s="250"/>
      <c r="W27" s="250"/>
      <c r="X27" s="251"/>
      <c r="Y27" s="249"/>
      <c r="Z27" s="250"/>
      <c r="AA27" s="250" t="s">
        <v>485</v>
      </c>
      <c r="AB27" s="251"/>
    </row>
    <row r="28" spans="1:28" ht="19.95" customHeight="1" x14ac:dyDescent="0.3">
      <c r="I28" s="252"/>
      <c r="J28" s="253"/>
      <c r="K28" s="253"/>
      <c r="L28" s="254"/>
      <c r="M28" s="252"/>
      <c r="N28" s="253"/>
      <c r="O28" s="253"/>
      <c r="P28" s="254"/>
      <c r="Q28" s="252"/>
      <c r="R28" s="253" t="s">
        <v>152</v>
      </c>
      <c r="S28" s="253"/>
      <c r="T28" s="254"/>
      <c r="U28" s="252"/>
      <c r="V28" s="253"/>
      <c r="W28" s="253"/>
      <c r="X28" s="254"/>
      <c r="Y28" s="252"/>
      <c r="Z28" s="253"/>
      <c r="AA28" s="253"/>
      <c r="AB28" s="254"/>
    </row>
    <row r="29" spans="1:28" x14ac:dyDescent="0.3">
      <c r="I29" s="14"/>
      <c r="J29" s="14"/>
      <c r="K29" s="14"/>
      <c r="L29" s="14"/>
      <c r="M29" s="14"/>
      <c r="N29" s="14"/>
      <c r="O29" s="14"/>
      <c r="P29" s="14"/>
      <c r="Q29" s="14"/>
      <c r="R29" s="14"/>
      <c r="S29" s="14"/>
      <c r="T29" s="14"/>
      <c r="U29" s="14"/>
      <c r="V29" s="14"/>
      <c r="W29" s="14"/>
      <c r="X29" s="14"/>
      <c r="Y29" s="14"/>
      <c r="Z29" s="14"/>
      <c r="AA29" s="14"/>
      <c r="AB29" s="14"/>
    </row>
    <row r="30" spans="1:28" x14ac:dyDescent="0.3">
      <c r="A30" s="217"/>
      <c r="B30" s="103"/>
      <c r="C30" s="147" t="s">
        <v>407</v>
      </c>
      <c r="D30" s="301" t="s">
        <v>408</v>
      </c>
      <c r="E30" s="103"/>
      <c r="F30" s="103"/>
      <c r="G30" s="103"/>
      <c r="H30" s="103"/>
      <c r="I30" s="14"/>
      <c r="J30" s="14"/>
      <c r="K30" s="14"/>
      <c r="L30" s="14"/>
      <c r="M30" s="14"/>
      <c r="N30" s="14"/>
      <c r="O30" s="14"/>
      <c r="P30" s="14"/>
      <c r="Q30" s="14"/>
      <c r="R30" s="14"/>
      <c r="S30" s="14"/>
      <c r="T30" s="14"/>
      <c r="U30" s="14"/>
      <c r="V30" s="14"/>
      <c r="W30" s="14"/>
      <c r="X30" s="14"/>
      <c r="Y30" s="14"/>
      <c r="Z30" s="14"/>
      <c r="AA30" s="14"/>
      <c r="AB30" s="14"/>
    </row>
    <row r="31" spans="1:28" x14ac:dyDescent="0.3">
      <c r="A31" s="217"/>
      <c r="B31" s="162" t="s">
        <v>409</v>
      </c>
      <c r="C31" s="162" t="s">
        <v>410</v>
      </c>
      <c r="D31" s="162">
        <v>2015</v>
      </c>
      <c r="E31" s="162">
        <v>2016</v>
      </c>
      <c r="F31" s="162">
        <v>2017</v>
      </c>
      <c r="G31" s="162">
        <v>2018</v>
      </c>
      <c r="H31" s="162">
        <v>2019</v>
      </c>
      <c r="I31" s="14"/>
      <c r="J31" s="14"/>
      <c r="K31" s="14"/>
      <c r="L31" s="14"/>
      <c r="M31" s="14"/>
      <c r="N31" s="14"/>
      <c r="O31" s="14"/>
      <c r="P31" s="14"/>
      <c r="Q31" s="14"/>
      <c r="R31" s="14"/>
      <c r="S31" s="14"/>
      <c r="T31" s="14"/>
      <c r="U31" s="14"/>
      <c r="V31" s="14"/>
      <c r="W31" s="14"/>
      <c r="X31" s="14"/>
      <c r="Y31" s="14"/>
      <c r="Z31" s="14"/>
      <c r="AA31" s="14"/>
      <c r="AB31" s="14"/>
    </row>
    <row r="32" spans="1:28" x14ac:dyDescent="0.3">
      <c r="A32" s="98"/>
      <c r="B32" s="218" t="s">
        <v>150</v>
      </c>
      <c r="C32" s="219">
        <v>1</v>
      </c>
      <c r="D32" s="220">
        <f>7/8</f>
        <v>0.875</v>
      </c>
      <c r="E32" s="220">
        <f>1/8</f>
        <v>0.125</v>
      </c>
      <c r="F32" s="220"/>
      <c r="G32" s="220"/>
      <c r="H32" s="220"/>
      <c r="I32" s="14"/>
      <c r="J32" s="14"/>
      <c r="K32" s="14"/>
      <c r="L32" s="14"/>
      <c r="M32" s="14"/>
      <c r="N32" s="14"/>
      <c r="O32" s="14"/>
      <c r="P32" s="14"/>
      <c r="Q32" s="14"/>
      <c r="R32" s="14"/>
      <c r="S32" s="14"/>
      <c r="T32" s="14"/>
      <c r="U32" s="14"/>
      <c r="V32" s="14"/>
      <c r="W32" s="14"/>
      <c r="X32" s="14"/>
      <c r="Y32" s="14"/>
      <c r="Z32" s="14"/>
      <c r="AA32" s="14"/>
      <c r="AB32" s="14"/>
    </row>
    <row r="33" spans="1:28" x14ac:dyDescent="0.3">
      <c r="A33" s="98"/>
      <c r="B33" s="218" t="s">
        <v>151</v>
      </c>
      <c r="C33" s="219">
        <v>1.08</v>
      </c>
      <c r="D33" s="220">
        <f>1/8</f>
        <v>0.125</v>
      </c>
      <c r="E33" s="220">
        <f>7/8</f>
        <v>0.875</v>
      </c>
      <c r="F33" s="220">
        <f>3/8</f>
        <v>0.375</v>
      </c>
      <c r="G33" s="220"/>
      <c r="H33" s="220"/>
      <c r="I33" s="14"/>
      <c r="J33" s="14"/>
      <c r="K33" s="14"/>
      <c r="L33" s="14"/>
      <c r="M33" s="14"/>
      <c r="N33" s="14"/>
      <c r="O33" s="14"/>
      <c r="P33" s="14"/>
      <c r="Q33" s="14"/>
      <c r="R33" s="14"/>
      <c r="S33" s="14"/>
      <c r="T33" s="14"/>
      <c r="U33" s="14"/>
      <c r="V33" s="14"/>
      <c r="W33" s="14"/>
      <c r="X33" s="14"/>
      <c r="Y33" s="14"/>
      <c r="Z33" s="14"/>
      <c r="AA33" s="14"/>
      <c r="AB33" s="14"/>
    </row>
    <row r="34" spans="1:28" x14ac:dyDescent="0.3">
      <c r="A34" s="98"/>
      <c r="B34" s="218" t="s">
        <v>152</v>
      </c>
      <c r="C34" s="219">
        <f>1.08*1.1</f>
        <v>1.1880000000000002</v>
      </c>
      <c r="D34" s="220"/>
      <c r="E34" s="220"/>
      <c r="F34" s="220">
        <f>1/8</f>
        <v>0.125</v>
      </c>
      <c r="G34" s="220"/>
      <c r="H34" s="220"/>
      <c r="I34" s="14"/>
      <c r="J34" s="14"/>
      <c r="K34" s="14"/>
      <c r="L34" s="14"/>
      <c r="M34" s="14"/>
      <c r="N34" s="14"/>
      <c r="O34" s="14"/>
      <c r="P34" s="14"/>
      <c r="Q34" s="14"/>
      <c r="R34" s="14"/>
      <c r="S34" s="14"/>
      <c r="T34" s="14"/>
      <c r="U34" s="14"/>
      <c r="V34" s="14"/>
      <c r="W34" s="14"/>
      <c r="X34" s="14"/>
      <c r="Y34" s="14"/>
      <c r="Z34" s="14"/>
      <c r="AA34" s="14"/>
      <c r="AB34" s="14"/>
    </row>
    <row r="35" spans="1:28" x14ac:dyDescent="0.3">
      <c r="A35" s="98"/>
      <c r="B35" s="218" t="s">
        <v>483</v>
      </c>
      <c r="C35" s="219">
        <f>1.08*0.8</f>
        <v>0.8640000000000001</v>
      </c>
      <c r="D35" s="220"/>
      <c r="E35" s="220"/>
      <c r="F35" s="220">
        <f>1/8</f>
        <v>0.125</v>
      </c>
      <c r="G35" s="220"/>
      <c r="H35" s="220"/>
      <c r="I35" s="14"/>
      <c r="J35" s="14"/>
      <c r="K35" s="14"/>
      <c r="L35" s="14"/>
      <c r="M35" s="14"/>
      <c r="N35" s="14"/>
      <c r="O35" s="14"/>
      <c r="P35" s="14"/>
      <c r="Q35" s="14"/>
      <c r="R35" s="14"/>
      <c r="S35" s="14"/>
      <c r="T35" s="14"/>
      <c r="U35" s="14"/>
      <c r="V35" s="14"/>
      <c r="W35" s="14"/>
      <c r="X35" s="14"/>
      <c r="Y35" s="14"/>
      <c r="Z35" s="14"/>
      <c r="AA35" s="14"/>
      <c r="AB35" s="14"/>
    </row>
    <row r="36" spans="1:28" x14ac:dyDescent="0.3">
      <c r="A36" s="98"/>
      <c r="B36" s="218" t="s">
        <v>484</v>
      </c>
      <c r="C36" s="219">
        <f>1.08*1.1*0.8</f>
        <v>0.95040000000000013</v>
      </c>
      <c r="D36" s="220"/>
      <c r="E36" s="220"/>
      <c r="F36" s="220">
        <f>3/8</f>
        <v>0.375</v>
      </c>
      <c r="G36" s="220">
        <v>1</v>
      </c>
      <c r="H36" s="220">
        <v>0.5</v>
      </c>
      <c r="I36" s="14"/>
      <c r="J36" s="14"/>
      <c r="K36" s="14"/>
      <c r="L36" s="14"/>
      <c r="M36" s="14"/>
      <c r="N36" s="14"/>
      <c r="O36" s="14"/>
      <c r="P36" s="14"/>
      <c r="Q36" s="14"/>
      <c r="R36" s="14"/>
      <c r="S36" s="14"/>
      <c r="T36" s="14"/>
      <c r="U36" s="14"/>
      <c r="V36" s="14"/>
      <c r="W36" s="14"/>
      <c r="X36" s="14"/>
      <c r="Y36" s="14"/>
      <c r="Z36" s="14"/>
      <c r="AA36" s="14"/>
      <c r="AB36" s="14"/>
    </row>
    <row r="37" spans="1:28" x14ac:dyDescent="0.3">
      <c r="A37" s="98"/>
      <c r="B37" s="221" t="s">
        <v>485</v>
      </c>
      <c r="C37" s="222">
        <f>C36*1.05</f>
        <v>0.99792000000000014</v>
      </c>
      <c r="D37" s="223"/>
      <c r="E37" s="223"/>
      <c r="F37" s="223"/>
      <c r="G37" s="223"/>
      <c r="H37" s="223">
        <v>0.5</v>
      </c>
      <c r="I37" s="14"/>
      <c r="J37" s="14"/>
      <c r="K37" s="14"/>
      <c r="L37" s="14"/>
      <c r="M37" s="14"/>
      <c r="N37" s="14"/>
      <c r="O37" s="14"/>
      <c r="P37" s="14"/>
      <c r="Q37" s="14"/>
      <c r="R37" s="14"/>
      <c r="S37" s="14"/>
      <c r="T37" s="14"/>
      <c r="U37" s="14"/>
      <c r="V37" s="14"/>
      <c r="W37" s="14"/>
      <c r="X37" s="14"/>
      <c r="Y37" s="14"/>
      <c r="Z37" s="14"/>
      <c r="AA37" s="14"/>
      <c r="AB37" s="14"/>
    </row>
    <row r="38" spans="1:28" x14ac:dyDescent="0.3">
      <c r="A38" s="98"/>
      <c r="B38" s="116" t="s">
        <v>323</v>
      </c>
      <c r="C38" s="98"/>
      <c r="D38" s="224">
        <f>SUM(D32:D37)</f>
        <v>1</v>
      </c>
      <c r="E38" s="224">
        <f t="shared" ref="E38:H38" si="0">SUM(E32:E37)</f>
        <v>1</v>
      </c>
      <c r="F38" s="224">
        <f t="shared" si="0"/>
        <v>1</v>
      </c>
      <c r="G38" s="224">
        <f t="shared" si="0"/>
        <v>1</v>
      </c>
      <c r="H38" s="224">
        <f t="shared" si="0"/>
        <v>1</v>
      </c>
      <c r="I38" s="14"/>
      <c r="J38" s="14"/>
      <c r="K38" s="14"/>
      <c r="L38" s="14"/>
      <c r="M38" s="14"/>
      <c r="N38" s="14"/>
      <c r="O38" s="14"/>
      <c r="P38" s="14"/>
      <c r="Q38" s="14"/>
      <c r="R38" s="14"/>
      <c r="S38" s="14"/>
      <c r="T38" s="14"/>
      <c r="U38" s="14"/>
      <c r="V38" s="14"/>
      <c r="W38" s="14"/>
      <c r="X38" s="14"/>
      <c r="Y38" s="14"/>
      <c r="Z38" s="14"/>
      <c r="AA38" s="14"/>
      <c r="AB38" s="14"/>
    </row>
    <row r="39" spans="1:28" x14ac:dyDescent="0.3">
      <c r="A39" s="98"/>
      <c r="B39" s="98"/>
      <c r="C39" s="98"/>
      <c r="D39" s="98"/>
      <c r="E39" s="98"/>
      <c r="F39" s="98"/>
      <c r="G39" s="98"/>
      <c r="H39" s="98"/>
      <c r="I39" s="14"/>
      <c r="J39" s="14"/>
      <c r="K39" s="14"/>
      <c r="L39" s="14"/>
      <c r="M39" s="14"/>
      <c r="N39" s="14"/>
      <c r="O39" s="14"/>
      <c r="P39" s="14"/>
      <c r="Q39" s="14"/>
      <c r="R39" s="14"/>
      <c r="S39" s="14"/>
      <c r="T39" s="14"/>
      <c r="U39" s="14"/>
      <c r="V39" s="14"/>
      <c r="W39" s="14"/>
      <c r="X39" s="14"/>
      <c r="Y39" s="14"/>
      <c r="Z39" s="14"/>
      <c r="AA39" s="14"/>
      <c r="AB39" s="14"/>
    </row>
    <row r="40" spans="1:28" x14ac:dyDescent="0.3">
      <c r="A40" s="98" t="s">
        <v>411</v>
      </c>
      <c r="B40" s="98"/>
      <c r="C40" s="98"/>
      <c r="D40" s="225">
        <f>SUMPRODUCT(C32:C37,D32:D37)</f>
        <v>1.01</v>
      </c>
      <c r="E40" s="225">
        <f>SUMPRODUCT(C32:C37,E32:E37)</f>
        <v>1.07</v>
      </c>
      <c r="F40" s="225">
        <f>SUMPRODUCT(C32:C37,F32:F37)</f>
        <v>1.0179</v>
      </c>
      <c r="G40" s="225">
        <f>SUMPRODUCT(C32:C37,G32:G37)</f>
        <v>0.95040000000000013</v>
      </c>
      <c r="H40" s="225">
        <f>SUMPRODUCT(C32:C37,H32:H37)</f>
        <v>0.97416000000000014</v>
      </c>
      <c r="I40" s="14"/>
      <c r="J40" s="14"/>
      <c r="K40" s="14"/>
      <c r="L40" s="14"/>
      <c r="M40" s="14"/>
      <c r="N40" s="14"/>
      <c r="O40" s="14"/>
      <c r="P40" s="14"/>
      <c r="Q40" s="14"/>
      <c r="R40" s="14"/>
      <c r="S40" s="14"/>
      <c r="T40" s="14"/>
      <c r="U40" s="14"/>
      <c r="V40" s="14"/>
      <c r="W40" s="14"/>
      <c r="X40" s="14"/>
      <c r="Y40" s="14"/>
      <c r="Z40" s="14"/>
      <c r="AA40" s="14"/>
      <c r="AB40" s="14"/>
    </row>
    <row r="41" spans="1:28" x14ac:dyDescent="0.3">
      <c r="A41" s="98"/>
      <c r="B41" s="98"/>
      <c r="C41" s="98"/>
      <c r="D41" s="98"/>
      <c r="E41" s="98"/>
      <c r="F41" s="98"/>
      <c r="G41" s="98"/>
      <c r="H41" s="98"/>
      <c r="I41" s="14"/>
      <c r="J41" s="14"/>
      <c r="K41" s="14"/>
      <c r="L41" s="14"/>
      <c r="M41" s="14"/>
      <c r="N41" s="14"/>
      <c r="O41" s="14"/>
      <c r="P41" s="14"/>
      <c r="Q41" s="14"/>
      <c r="R41" s="14"/>
      <c r="S41" s="14"/>
      <c r="T41" s="14"/>
      <c r="U41" s="14"/>
      <c r="V41" s="14"/>
      <c r="W41" s="14"/>
      <c r="X41" s="14"/>
      <c r="Y41" s="14"/>
      <c r="Z41" s="14"/>
      <c r="AA41" s="14"/>
      <c r="AB41" s="14"/>
    </row>
    <row r="42" spans="1:28" x14ac:dyDescent="0.3">
      <c r="A42" s="98" t="s">
        <v>486</v>
      </c>
      <c r="B42" s="98"/>
      <c r="C42" s="98"/>
      <c r="D42" s="111">
        <f>C37/D40</f>
        <v>0.98803960396039614</v>
      </c>
      <c r="E42" s="111">
        <f>C37/E40</f>
        <v>0.93263551401869171</v>
      </c>
      <c r="F42" s="111">
        <f>C37/F40</f>
        <v>0.98037135278514598</v>
      </c>
      <c r="G42" s="111">
        <f>C37/G40</f>
        <v>1.05</v>
      </c>
      <c r="H42" s="111">
        <f>C37/H40</f>
        <v>1.024390243902439</v>
      </c>
      <c r="I42" s="14"/>
      <c r="J42" s="14"/>
      <c r="K42" s="14"/>
      <c r="L42" s="14"/>
      <c r="M42" s="14"/>
      <c r="N42" s="14"/>
      <c r="O42" s="14"/>
      <c r="P42" s="14"/>
      <c r="Q42" s="14"/>
      <c r="R42" s="14"/>
      <c r="S42" s="14"/>
      <c r="T42" s="14"/>
      <c r="U42" s="14"/>
      <c r="V42" s="14"/>
      <c r="W42" s="14"/>
      <c r="X42" s="14"/>
      <c r="Y42" s="14"/>
      <c r="Z42" s="14"/>
      <c r="AA42" s="14"/>
      <c r="AB42" s="14"/>
    </row>
    <row r="43" spans="1:28" x14ac:dyDescent="0.3">
      <c r="M43" s="12"/>
      <c r="N43" s="12"/>
    </row>
    <row r="44" spans="1:28" x14ac:dyDescent="0.3">
      <c r="A44" s="5" t="s">
        <v>90</v>
      </c>
      <c r="B44" s="5"/>
      <c r="C44" s="5"/>
      <c r="D44" s="5"/>
      <c r="E44" s="5"/>
      <c r="F44" s="5"/>
      <c r="G44" s="5"/>
      <c r="H44" s="5"/>
      <c r="I44" s="5"/>
      <c r="J44" s="5"/>
      <c r="K44" s="5"/>
      <c r="L44" s="4"/>
      <c r="M44" s="23"/>
      <c r="N44" s="23"/>
      <c r="O44" s="56"/>
      <c r="P44" s="56"/>
    </row>
    <row r="45" spans="1:28" x14ac:dyDescent="0.3">
      <c r="A45" s="5"/>
      <c r="B45" s="5"/>
      <c r="C45" s="5"/>
      <c r="D45" s="5"/>
      <c r="E45" s="5"/>
      <c r="F45" s="5"/>
      <c r="G45" s="5"/>
      <c r="H45" s="5"/>
      <c r="I45" s="5"/>
      <c r="J45" s="5"/>
      <c r="K45" s="5"/>
      <c r="L45" s="4"/>
      <c r="M45" s="23"/>
      <c r="N45" s="23"/>
      <c r="O45" s="56"/>
      <c r="P45" s="56"/>
    </row>
    <row r="46" spans="1:28" ht="31.2" x14ac:dyDescent="0.3">
      <c r="A46" s="5"/>
      <c r="B46" s="19" t="s">
        <v>127</v>
      </c>
      <c r="C46" s="19" t="s">
        <v>6</v>
      </c>
      <c r="D46" s="19" t="s">
        <v>232</v>
      </c>
      <c r="E46" s="5"/>
      <c r="F46" s="5"/>
      <c r="G46" s="5"/>
      <c r="H46" s="5"/>
      <c r="I46" s="5"/>
      <c r="J46" s="5"/>
      <c r="K46" s="5"/>
      <c r="L46" s="4"/>
      <c r="M46" s="23"/>
      <c r="N46" s="23"/>
      <c r="O46" s="56"/>
      <c r="P46" s="56"/>
    </row>
    <row r="47" spans="1:28" x14ac:dyDescent="0.3">
      <c r="A47" s="5"/>
      <c r="B47" s="53">
        <v>2015</v>
      </c>
      <c r="C47" s="54">
        <v>11755570</v>
      </c>
      <c r="D47" s="54">
        <v>8130150</v>
      </c>
      <c r="E47" s="5"/>
      <c r="F47" s="5"/>
      <c r="G47" s="5"/>
      <c r="H47" s="5"/>
      <c r="I47" s="5"/>
      <c r="J47" s="5"/>
      <c r="K47" s="5"/>
      <c r="L47" s="4"/>
      <c r="M47" s="23"/>
      <c r="N47" s="23"/>
      <c r="O47" s="56"/>
      <c r="P47" s="56"/>
    </row>
    <row r="48" spans="1:28" x14ac:dyDescent="0.3">
      <c r="A48" s="5"/>
      <c r="B48" s="53">
        <v>2016</v>
      </c>
      <c r="C48" s="54">
        <v>11864520</v>
      </c>
      <c r="D48" s="54">
        <v>7970110</v>
      </c>
      <c r="E48" s="5"/>
      <c r="F48" s="5"/>
      <c r="G48" s="5"/>
      <c r="H48" s="5"/>
      <c r="I48" s="5"/>
      <c r="J48" s="5"/>
      <c r="K48" s="5"/>
      <c r="L48" s="4"/>
      <c r="M48" s="23"/>
      <c r="N48" s="23"/>
      <c r="O48" s="56"/>
      <c r="P48" s="56"/>
    </row>
    <row r="49" spans="1:16" x14ac:dyDescent="0.3">
      <c r="A49" s="5"/>
      <c r="B49" s="53">
        <v>2017</v>
      </c>
      <c r="C49" s="54">
        <v>12406530</v>
      </c>
      <c r="D49" s="54">
        <v>7781380</v>
      </c>
      <c r="E49" s="5"/>
      <c r="F49" s="5"/>
      <c r="G49" s="5"/>
      <c r="H49" s="5"/>
      <c r="I49" s="5"/>
      <c r="J49" s="5"/>
      <c r="K49" s="5"/>
      <c r="L49" s="4"/>
      <c r="M49" s="23"/>
      <c r="N49" s="23"/>
      <c r="O49" s="56"/>
      <c r="P49" s="56"/>
    </row>
    <row r="50" spans="1:16" x14ac:dyDescent="0.3">
      <c r="A50" s="5"/>
      <c r="B50" s="53">
        <v>2018</v>
      </c>
      <c r="C50" s="54">
        <v>12492860</v>
      </c>
      <c r="D50" s="54">
        <v>8001680</v>
      </c>
      <c r="E50" s="5"/>
      <c r="F50" s="5"/>
      <c r="G50" s="5"/>
      <c r="H50" s="5"/>
      <c r="I50" s="5"/>
      <c r="J50" s="5"/>
      <c r="K50" s="5"/>
      <c r="L50" s="4"/>
      <c r="M50" s="23"/>
      <c r="N50" s="23"/>
      <c r="O50" s="56"/>
      <c r="P50" s="56"/>
    </row>
    <row r="51" spans="1:16" x14ac:dyDescent="0.3">
      <c r="A51" s="5"/>
      <c r="B51" s="53">
        <v>2019</v>
      </c>
      <c r="C51" s="54">
        <v>12394530</v>
      </c>
      <c r="D51" s="54">
        <v>7995960</v>
      </c>
      <c r="E51" s="5"/>
      <c r="F51" s="5"/>
      <c r="G51" s="5"/>
      <c r="H51" s="5"/>
      <c r="I51" s="5"/>
      <c r="J51" s="5"/>
      <c r="K51" s="5"/>
      <c r="L51" s="4"/>
      <c r="M51" s="23"/>
      <c r="N51" s="23"/>
      <c r="O51" s="56"/>
      <c r="P51" s="56"/>
    </row>
    <row r="52" spans="1:16" x14ac:dyDescent="0.3">
      <c r="A52" s="5"/>
      <c r="B52" s="5"/>
      <c r="C52" s="5"/>
      <c r="D52" s="5"/>
      <c r="E52" s="5"/>
      <c r="F52" s="5"/>
      <c r="G52" s="5"/>
      <c r="H52" s="5"/>
      <c r="I52" s="5"/>
      <c r="J52" s="5"/>
      <c r="K52" s="5"/>
      <c r="L52" s="4"/>
      <c r="M52" s="23"/>
      <c r="N52" s="23"/>
      <c r="O52" s="56"/>
      <c r="P52" s="56"/>
    </row>
    <row r="53" spans="1:16" x14ac:dyDescent="0.3">
      <c r="A53" s="5"/>
      <c r="B53" s="42" t="s">
        <v>63</v>
      </c>
      <c r="C53" s="5" t="s">
        <v>233</v>
      </c>
      <c r="D53" s="5"/>
      <c r="E53" s="5"/>
      <c r="F53" s="5"/>
      <c r="G53" s="5"/>
      <c r="H53" s="5"/>
      <c r="I53" s="5"/>
      <c r="J53" s="5"/>
      <c r="K53" s="5"/>
      <c r="L53" s="4"/>
      <c r="M53" s="23"/>
      <c r="N53" s="23"/>
      <c r="O53" s="56"/>
      <c r="P53" s="56"/>
    </row>
    <row r="54" spans="1:16" x14ac:dyDescent="0.3">
      <c r="A54" s="5"/>
      <c r="B54" s="42" t="s">
        <v>63</v>
      </c>
      <c r="C54" s="5" t="s">
        <v>234</v>
      </c>
      <c r="D54" s="5"/>
      <c r="E54" s="5"/>
      <c r="F54" s="5"/>
      <c r="G54" s="5"/>
      <c r="H54" s="5"/>
      <c r="I54" s="5"/>
      <c r="J54" s="5"/>
      <c r="K54" s="5"/>
      <c r="L54" s="4"/>
      <c r="M54" s="23"/>
      <c r="N54" s="23"/>
      <c r="O54" s="56"/>
      <c r="P54" s="56"/>
    </row>
    <row r="55" spans="1:16" x14ac:dyDescent="0.3">
      <c r="A55" s="5"/>
      <c r="B55" s="42" t="s">
        <v>63</v>
      </c>
      <c r="C55" s="5" t="s">
        <v>235</v>
      </c>
      <c r="D55" s="5"/>
      <c r="E55" s="5"/>
      <c r="F55" s="5"/>
      <c r="G55" s="5"/>
      <c r="H55" s="5"/>
      <c r="I55" s="5"/>
      <c r="J55" s="5"/>
      <c r="K55" s="5"/>
      <c r="L55" s="4"/>
      <c r="M55" s="23"/>
      <c r="N55" s="23"/>
      <c r="O55" s="56"/>
      <c r="P55" s="56"/>
    </row>
    <row r="56" spans="1:16" x14ac:dyDescent="0.3">
      <c r="A56" s="5"/>
      <c r="B56" s="42" t="s">
        <v>63</v>
      </c>
      <c r="C56" s="5" t="s">
        <v>236</v>
      </c>
      <c r="D56" s="5"/>
      <c r="E56" s="5"/>
      <c r="F56" s="5"/>
      <c r="G56" s="5"/>
      <c r="H56" s="5"/>
      <c r="I56" s="5"/>
      <c r="J56" s="5"/>
      <c r="K56" s="5"/>
      <c r="L56" s="4"/>
      <c r="M56" s="23"/>
      <c r="N56" s="23"/>
      <c r="O56" s="56"/>
      <c r="P56" s="56"/>
    </row>
    <row r="57" spans="1:16" x14ac:dyDescent="0.3">
      <c r="A57" s="5"/>
      <c r="B57" s="42" t="s">
        <v>63</v>
      </c>
      <c r="C57" s="385" t="s">
        <v>237</v>
      </c>
      <c r="D57" s="358"/>
      <c r="E57" s="358"/>
      <c r="F57" s="358"/>
      <c r="G57" s="358"/>
      <c r="H57" s="358"/>
      <c r="I57" s="358"/>
      <c r="J57" s="358"/>
      <c r="K57" s="358"/>
      <c r="L57" s="358"/>
      <c r="M57" s="23"/>
      <c r="N57" s="23"/>
      <c r="O57" s="56"/>
      <c r="P57" s="56"/>
    </row>
    <row r="58" spans="1:16" x14ac:dyDescent="0.3">
      <c r="A58" s="5"/>
      <c r="B58" s="5"/>
      <c r="C58" s="358"/>
      <c r="D58" s="358"/>
      <c r="E58" s="358"/>
      <c r="F58" s="358"/>
      <c r="G58" s="358"/>
      <c r="H58" s="358"/>
      <c r="I58" s="358"/>
      <c r="J58" s="358"/>
      <c r="K58" s="358"/>
      <c r="L58" s="358"/>
      <c r="M58" s="23"/>
      <c r="N58" s="23"/>
      <c r="O58" s="56"/>
      <c r="P58" s="56"/>
    </row>
    <row r="59" spans="1:16" x14ac:dyDescent="0.3">
      <c r="A59" s="23"/>
      <c r="B59" s="23"/>
      <c r="C59" s="23"/>
      <c r="D59" s="23"/>
      <c r="E59" s="23"/>
      <c r="F59" s="23"/>
      <c r="G59" s="23"/>
      <c r="H59" s="23"/>
      <c r="I59" s="23"/>
      <c r="J59" s="23"/>
      <c r="K59" s="23"/>
      <c r="L59" s="23"/>
      <c r="M59" s="23"/>
      <c r="N59" s="23"/>
      <c r="O59" s="56"/>
      <c r="P59" s="56"/>
    </row>
    <row r="61" spans="1:16" x14ac:dyDescent="0.3">
      <c r="A61" s="7" t="s">
        <v>15</v>
      </c>
      <c r="B61" s="5" t="s">
        <v>238</v>
      </c>
      <c r="C61" s="5"/>
      <c r="D61" s="5"/>
      <c r="E61" s="5"/>
      <c r="F61" s="5"/>
      <c r="G61" s="5"/>
      <c r="H61" s="5"/>
      <c r="I61" s="5"/>
      <c r="J61" s="5"/>
      <c r="K61" s="5"/>
      <c r="L61" s="5"/>
      <c r="M61" s="56"/>
      <c r="N61" s="56"/>
      <c r="O61" s="56"/>
      <c r="P61" s="56"/>
    </row>
    <row r="62" spans="1:16" x14ac:dyDescent="0.3">
      <c r="A62" s="4"/>
      <c r="B62" s="4"/>
      <c r="C62" s="4"/>
      <c r="D62" s="4"/>
      <c r="E62" s="4"/>
      <c r="F62" s="4"/>
      <c r="G62" s="5"/>
      <c r="H62" s="5"/>
      <c r="I62" s="5"/>
      <c r="J62" s="5"/>
      <c r="K62" s="5"/>
      <c r="L62" s="5"/>
      <c r="M62" s="56"/>
      <c r="N62" s="56"/>
      <c r="O62" s="56"/>
      <c r="P62" s="56"/>
    </row>
    <row r="63" spans="1:16" x14ac:dyDescent="0.3">
      <c r="A63" s="10"/>
      <c r="B63" s="10"/>
      <c r="C63" s="10"/>
      <c r="D63" s="10"/>
      <c r="E63" s="10"/>
      <c r="F63" s="10"/>
      <c r="G63" s="10"/>
      <c r="H63" s="10"/>
      <c r="I63" s="10"/>
      <c r="J63" s="10"/>
      <c r="K63" s="10"/>
      <c r="L63" s="10"/>
    </row>
    <row r="64" spans="1:16" x14ac:dyDescent="0.3">
      <c r="A64" s="10" t="s">
        <v>10</v>
      </c>
      <c r="B64" s="10"/>
      <c r="C64" s="10"/>
      <c r="D64" s="10"/>
      <c r="E64" s="10"/>
      <c r="F64" s="10"/>
      <c r="G64" s="10"/>
      <c r="H64" s="10"/>
      <c r="I64" s="10"/>
      <c r="J64" s="10"/>
      <c r="K64" s="10"/>
      <c r="L64" s="10"/>
    </row>
    <row r="65" spans="1:13" x14ac:dyDescent="0.3">
      <c r="A65" s="10"/>
      <c r="B65" s="10"/>
      <c r="C65" s="10"/>
      <c r="D65" s="10"/>
      <c r="E65" s="10"/>
      <c r="F65" s="10"/>
      <c r="G65" s="10"/>
      <c r="H65" s="10"/>
      <c r="I65" s="10"/>
      <c r="J65" s="10"/>
      <c r="K65" s="10"/>
      <c r="L65" s="10"/>
    </row>
    <row r="66" spans="1:13" x14ac:dyDescent="0.3">
      <c r="A66" s="10"/>
      <c r="B66" s="98" t="s">
        <v>487</v>
      </c>
      <c r="C66" s="98"/>
      <c r="D66" s="98"/>
      <c r="E66" s="98"/>
      <c r="F66" s="98"/>
      <c r="G66" s="98"/>
      <c r="H66" s="98"/>
      <c r="I66" s="98"/>
      <c r="J66" s="98"/>
      <c r="K66" s="98"/>
      <c r="L66" s="192"/>
      <c r="M66" s="98"/>
    </row>
    <row r="67" spans="1:13" x14ac:dyDescent="0.3">
      <c r="A67" s="10"/>
      <c r="B67" s="103" t="s">
        <v>437</v>
      </c>
      <c r="C67" s="103"/>
      <c r="D67" s="103"/>
      <c r="E67" s="103"/>
      <c r="G67" s="302">
        <v>44501</v>
      </c>
      <c r="H67" s="98"/>
      <c r="I67" s="98"/>
      <c r="J67" s="98"/>
      <c r="K67" s="98"/>
      <c r="L67" s="303"/>
      <c r="M67" s="98"/>
    </row>
    <row r="68" spans="1:13" x14ac:dyDescent="0.3">
      <c r="A68" s="10"/>
      <c r="B68" s="98"/>
      <c r="C68" s="98"/>
      <c r="D68" s="98"/>
      <c r="E68" s="98"/>
      <c r="F68" s="98"/>
      <c r="G68" s="98"/>
      <c r="H68" s="98"/>
      <c r="I68" s="98"/>
      <c r="J68" s="98"/>
      <c r="K68" s="98"/>
      <c r="L68" s="303"/>
      <c r="M68" s="98"/>
    </row>
    <row r="69" spans="1:13" x14ac:dyDescent="0.3">
      <c r="A69" s="10"/>
      <c r="B69" s="98"/>
      <c r="C69" s="98"/>
      <c r="D69" s="98"/>
      <c r="E69" s="98"/>
      <c r="F69" s="98"/>
      <c r="G69" s="116" t="s">
        <v>351</v>
      </c>
      <c r="H69" s="98"/>
      <c r="I69" s="98"/>
      <c r="J69" s="98"/>
      <c r="K69" s="98"/>
      <c r="L69" s="98"/>
      <c r="M69" s="98"/>
    </row>
    <row r="70" spans="1:13" x14ac:dyDescent="0.3">
      <c r="A70" s="10"/>
      <c r="B70" s="98"/>
      <c r="C70" s="116" t="s">
        <v>489</v>
      </c>
      <c r="D70" s="98"/>
      <c r="E70" s="309" t="s">
        <v>490</v>
      </c>
      <c r="F70" s="309"/>
      <c r="G70" s="116" t="s">
        <v>491</v>
      </c>
      <c r="H70" s="98"/>
      <c r="I70" s="98"/>
      <c r="J70" s="98"/>
      <c r="K70" s="98"/>
      <c r="L70" s="98"/>
      <c r="M70" s="98"/>
    </row>
    <row r="71" spans="1:13" x14ac:dyDescent="0.3">
      <c r="A71" s="10"/>
      <c r="B71" s="116" t="s">
        <v>5</v>
      </c>
      <c r="C71" s="116" t="s">
        <v>494</v>
      </c>
      <c r="D71" s="116" t="s">
        <v>353</v>
      </c>
      <c r="E71" s="116" t="s">
        <v>495</v>
      </c>
      <c r="F71" s="98"/>
      <c r="G71" s="116" t="s">
        <v>496</v>
      </c>
      <c r="H71" s="98"/>
      <c r="I71" s="98"/>
      <c r="J71" s="98"/>
      <c r="K71" s="98"/>
      <c r="L71" s="98"/>
      <c r="M71" s="98"/>
    </row>
    <row r="72" spans="1:13" x14ac:dyDescent="0.3">
      <c r="A72" s="10"/>
      <c r="B72" s="109" t="s">
        <v>7</v>
      </c>
      <c r="C72" s="109" t="s">
        <v>442</v>
      </c>
      <c r="D72" s="109" t="s">
        <v>500</v>
      </c>
      <c r="E72" s="310">
        <v>0.01</v>
      </c>
      <c r="F72" s="109" t="s">
        <v>501</v>
      </c>
      <c r="G72" s="109" t="s">
        <v>407</v>
      </c>
      <c r="H72" s="98"/>
      <c r="I72" s="98"/>
      <c r="J72" s="98"/>
      <c r="K72" s="98"/>
      <c r="L72" s="98"/>
      <c r="M72" s="98"/>
    </row>
    <row r="73" spans="1:13" x14ac:dyDescent="0.3">
      <c r="A73" s="10"/>
      <c r="B73" s="116">
        <v>2015</v>
      </c>
      <c r="C73" s="145">
        <f>(YEAR($G$67)+(MONTH($G$67)-1)/12)-(B73+0.5)</f>
        <v>6.3333333333332575</v>
      </c>
      <c r="D73" s="112">
        <f>C47</f>
        <v>11755570</v>
      </c>
      <c r="E73" s="111">
        <f>(1+$E$72)^C73</f>
        <v>1.0650468215269371</v>
      </c>
      <c r="F73" s="120">
        <f>HLOOKUP(B73,$D$31:$H$42,12,)</f>
        <v>0.98803960396039614</v>
      </c>
      <c r="G73" s="112">
        <f>PRODUCT(D73:F73)</f>
        <v>12370485.524963211</v>
      </c>
      <c r="H73" s="98"/>
      <c r="I73" s="98"/>
      <c r="J73" s="98"/>
      <c r="K73" s="98"/>
      <c r="L73" s="98"/>
      <c r="M73" s="98"/>
    </row>
    <row r="74" spans="1:13" x14ac:dyDescent="0.3">
      <c r="A74" s="10"/>
      <c r="B74" s="116">
        <v>2016</v>
      </c>
      <c r="C74" s="145">
        <f>(YEAR($G$67)+(MONTH($G$67)-1)/12)-(B74+0.5)</f>
        <v>5.3333333333332575</v>
      </c>
      <c r="D74" s="112">
        <f t="shared" ref="D74:D77" si="1">C48</f>
        <v>11864520</v>
      </c>
      <c r="E74" s="111">
        <f t="shared" ref="E74:E77" si="2">(1+$E$72)^C74</f>
        <v>1.0545018034920168</v>
      </c>
      <c r="F74" s="120">
        <f t="shared" ref="F74:F77" si="3">HLOOKUP(B74,$D$31:$H$42,12,)</f>
        <v>0.93263551401869171</v>
      </c>
      <c r="G74" s="112">
        <f t="shared" ref="G74:G77" si="4">PRODUCT(D74:F74)</f>
        <v>11668350.027544828</v>
      </c>
      <c r="H74" s="98"/>
      <c r="I74" s="98"/>
      <c r="J74" s="98"/>
      <c r="K74" s="98"/>
      <c r="L74" s="98"/>
      <c r="M74" s="98"/>
    </row>
    <row r="75" spans="1:13" x14ac:dyDescent="0.3">
      <c r="A75" s="10"/>
      <c r="B75" s="116">
        <v>2017</v>
      </c>
      <c r="C75" s="145">
        <f>(YEAR($G$67)+(MONTH($G$67)-1)/12)-(B75+0.5)</f>
        <v>4.3333333333332575</v>
      </c>
      <c r="D75" s="112">
        <f t="shared" si="1"/>
        <v>12406530</v>
      </c>
      <c r="E75" s="111">
        <f t="shared" si="2"/>
        <v>1.0440611915762543</v>
      </c>
      <c r="F75" s="120">
        <f t="shared" si="3"/>
        <v>0.98037135278514598</v>
      </c>
      <c r="G75" s="112">
        <f t="shared" si="4"/>
        <v>12698923.163391968</v>
      </c>
      <c r="H75" s="98"/>
      <c r="I75" s="98"/>
      <c r="J75" s="98"/>
      <c r="K75" s="98"/>
      <c r="L75" s="98"/>
      <c r="M75" s="98"/>
    </row>
    <row r="76" spans="1:13" x14ac:dyDescent="0.3">
      <c r="A76" s="10"/>
      <c r="B76" s="116">
        <v>2018</v>
      </c>
      <c r="C76" s="145">
        <f>(YEAR($G$67)+(MONTH($G$67)-1)/12)-(B76+0.5)</f>
        <v>3.3333333333332575</v>
      </c>
      <c r="D76" s="112">
        <f t="shared" si="1"/>
        <v>12492860</v>
      </c>
      <c r="E76" s="111">
        <f t="shared" si="2"/>
        <v>1.0337239520556973</v>
      </c>
      <c r="F76" s="120">
        <f t="shared" si="3"/>
        <v>1.05</v>
      </c>
      <c r="G76" s="112">
        <f t="shared" si="4"/>
        <v>13559877.042262467</v>
      </c>
      <c r="H76" s="98"/>
      <c r="I76" s="98"/>
      <c r="J76" s="98"/>
      <c r="K76" s="98"/>
      <c r="L76" s="98"/>
      <c r="M76" s="98"/>
    </row>
    <row r="77" spans="1:13" x14ac:dyDescent="0.3">
      <c r="A77" s="10"/>
      <c r="B77" s="109">
        <v>2019</v>
      </c>
      <c r="C77" s="311">
        <f>(YEAR($G$67)+(MONTH($G$67)-1)/12)-(B77+0.5)</f>
        <v>2.3333333333332575</v>
      </c>
      <c r="D77" s="115">
        <f t="shared" si="1"/>
        <v>12394530</v>
      </c>
      <c r="E77" s="114">
        <f t="shared" si="2"/>
        <v>1.0234890614412844</v>
      </c>
      <c r="F77" s="121">
        <f t="shared" si="3"/>
        <v>1.024390243902439</v>
      </c>
      <c r="G77" s="115">
        <f t="shared" si="4"/>
        <v>12995072.361503545</v>
      </c>
      <c r="H77" s="98"/>
      <c r="I77" s="98"/>
      <c r="J77" s="98"/>
      <c r="K77" s="98"/>
      <c r="L77" s="98"/>
      <c r="M77" s="98"/>
    </row>
    <row r="78" spans="1:13" x14ac:dyDescent="0.3">
      <c r="A78" s="10"/>
      <c r="B78" s="103"/>
      <c r="C78" s="103"/>
      <c r="D78" s="103"/>
      <c r="E78" s="103"/>
      <c r="F78" s="103"/>
      <c r="G78" s="103"/>
      <c r="H78" s="103"/>
      <c r="I78" s="103"/>
      <c r="J78" s="103"/>
      <c r="K78" s="103"/>
      <c r="L78" s="103"/>
      <c r="M78" s="98"/>
    </row>
    <row r="79" spans="1:13" x14ac:dyDescent="0.3">
      <c r="A79" s="10"/>
      <c r="B79" s="103"/>
      <c r="C79" s="98"/>
      <c r="D79" s="116" t="s">
        <v>488</v>
      </c>
      <c r="E79" s="116"/>
      <c r="F79" s="98"/>
      <c r="G79" s="98"/>
      <c r="H79" s="103"/>
      <c r="I79" s="103"/>
      <c r="J79" s="103"/>
      <c r="K79" s="103"/>
      <c r="L79" s="103"/>
      <c r="M79" s="98"/>
    </row>
    <row r="80" spans="1:13" x14ac:dyDescent="0.3">
      <c r="A80" s="10"/>
      <c r="B80" s="103"/>
      <c r="C80" s="98"/>
      <c r="D80" s="116" t="s">
        <v>492</v>
      </c>
      <c r="E80" s="116" t="s">
        <v>493</v>
      </c>
      <c r="F80" s="98"/>
      <c r="G80" s="116" t="s">
        <v>351</v>
      </c>
      <c r="H80" s="103"/>
      <c r="I80" s="103"/>
      <c r="J80" s="103"/>
      <c r="K80" s="103"/>
      <c r="L80" s="103"/>
      <c r="M80" s="98"/>
    </row>
    <row r="81" spans="1:16" x14ac:dyDescent="0.3">
      <c r="A81" s="10"/>
      <c r="B81" s="116" t="s">
        <v>5</v>
      </c>
      <c r="C81" s="116" t="s">
        <v>102</v>
      </c>
      <c r="D81" s="116" t="s">
        <v>497</v>
      </c>
      <c r="E81" s="116" t="s">
        <v>498</v>
      </c>
      <c r="F81" s="116" t="s">
        <v>351</v>
      </c>
      <c r="G81" s="116" t="s">
        <v>499</v>
      </c>
      <c r="H81" s="103"/>
      <c r="I81" s="103"/>
      <c r="J81" s="103"/>
      <c r="K81" s="103"/>
      <c r="L81" s="103"/>
      <c r="M81" s="98"/>
    </row>
    <row r="82" spans="1:16" x14ac:dyDescent="0.3">
      <c r="A82" s="10"/>
      <c r="B82" s="109" t="s">
        <v>7</v>
      </c>
      <c r="C82" s="109" t="s">
        <v>1</v>
      </c>
      <c r="D82" s="166">
        <v>0.04</v>
      </c>
      <c r="E82" s="166" t="s">
        <v>502</v>
      </c>
      <c r="F82" s="109" t="s">
        <v>1</v>
      </c>
      <c r="G82" s="109" t="s">
        <v>503</v>
      </c>
      <c r="H82" s="103"/>
      <c r="I82" s="103"/>
      <c r="J82" s="103"/>
      <c r="K82" s="103"/>
      <c r="L82" s="103"/>
      <c r="M82" s="98"/>
    </row>
    <row r="83" spans="1:16" x14ac:dyDescent="0.3">
      <c r="A83" s="10"/>
      <c r="B83" s="116">
        <v>2015</v>
      </c>
      <c r="C83" s="112">
        <f>D47</f>
        <v>8130150</v>
      </c>
      <c r="D83" s="111">
        <f>(1+$D$82)^C73</f>
        <v>1.2819698624217357</v>
      </c>
      <c r="E83" s="312">
        <v>0.8</v>
      </c>
      <c r="F83" s="112">
        <f>PRODUCT(C83:E83)</f>
        <v>8338085.8215744607</v>
      </c>
      <c r="G83" s="183">
        <f>F83/G73</f>
        <v>0.67403060330562548</v>
      </c>
      <c r="H83" s="103"/>
      <c r="I83" s="103"/>
      <c r="J83" s="103"/>
      <c r="K83" s="103"/>
      <c r="L83" s="103"/>
      <c r="M83" s="98"/>
    </row>
    <row r="84" spans="1:16" x14ac:dyDescent="0.3">
      <c r="A84" s="10"/>
      <c r="B84" s="116">
        <v>2016</v>
      </c>
      <c r="C84" s="112">
        <f>D48</f>
        <v>7970110</v>
      </c>
      <c r="D84" s="111">
        <f t="shared" ref="D84:D87" si="5">(1+$D$82)^C74</f>
        <v>1.2326633292516689</v>
      </c>
      <c r="E84" s="312">
        <v>0.8</v>
      </c>
      <c r="F84" s="112">
        <f t="shared" ref="F84:F87" si="6">PRODUCT(C84:E84)</f>
        <v>7859569.861681615</v>
      </c>
      <c r="G84" s="183">
        <f>F84/G74</f>
        <v>0.67358022712105514</v>
      </c>
      <c r="H84" s="103"/>
      <c r="I84" s="103"/>
      <c r="J84" s="103"/>
      <c r="K84" s="103"/>
      <c r="L84" s="103"/>
      <c r="M84" s="98"/>
    </row>
    <row r="85" spans="1:16" x14ac:dyDescent="0.3">
      <c r="A85" s="10"/>
      <c r="B85" s="116">
        <v>2017</v>
      </c>
      <c r="C85" s="112">
        <f>D49</f>
        <v>7781380</v>
      </c>
      <c r="D85" s="111">
        <f t="shared" si="5"/>
        <v>1.1852532012035277</v>
      </c>
      <c r="E85" s="312">
        <v>0.9</v>
      </c>
      <c r="F85" s="112">
        <f t="shared" si="6"/>
        <v>8300614.9993029963</v>
      </c>
      <c r="G85" s="183">
        <f>F85/G75</f>
        <v>0.65364715515656735</v>
      </c>
      <c r="H85" s="103"/>
      <c r="I85" s="103"/>
      <c r="J85" s="103"/>
      <c r="K85" s="103"/>
      <c r="L85" s="103"/>
      <c r="M85" s="98"/>
    </row>
    <row r="86" spans="1:16" x14ac:dyDescent="0.3">
      <c r="B86" s="116">
        <v>2018</v>
      </c>
      <c r="C86" s="112">
        <f>D50</f>
        <v>8001680</v>
      </c>
      <c r="D86" s="111">
        <f t="shared" si="5"/>
        <v>1.1396665396187766</v>
      </c>
      <c r="E86" s="312">
        <v>1</v>
      </c>
      <c r="F86" s="112">
        <f t="shared" si="6"/>
        <v>9119246.9567367733</v>
      </c>
      <c r="G86" s="183">
        <f>F86/G76</f>
        <v>0.67251693568566651</v>
      </c>
      <c r="H86" s="98"/>
      <c r="I86" s="98"/>
      <c r="J86" s="98"/>
      <c r="K86" s="98"/>
      <c r="L86" s="98"/>
      <c r="M86" s="103"/>
    </row>
    <row r="87" spans="1:16" x14ac:dyDescent="0.3">
      <c r="B87" s="109">
        <v>2019</v>
      </c>
      <c r="C87" s="115">
        <f>D51</f>
        <v>7995960</v>
      </c>
      <c r="D87" s="114">
        <f t="shared" si="5"/>
        <v>1.0958332111719005</v>
      </c>
      <c r="E87" s="313">
        <v>1</v>
      </c>
      <c r="F87" s="115">
        <f t="shared" si="6"/>
        <v>8762238.5232020691</v>
      </c>
      <c r="G87" s="185">
        <f>F87/G77</f>
        <v>0.67427393087546206</v>
      </c>
      <c r="H87" s="98"/>
      <c r="I87" s="98"/>
      <c r="J87" s="98"/>
      <c r="K87" s="98"/>
      <c r="L87" s="98"/>
      <c r="M87" s="103"/>
    </row>
    <row r="89" spans="1:16" x14ac:dyDescent="0.3">
      <c r="A89" s="7" t="s">
        <v>9</v>
      </c>
      <c r="B89" s="5" t="s">
        <v>239</v>
      </c>
      <c r="C89" s="5"/>
      <c r="D89" s="5"/>
      <c r="E89" s="5"/>
      <c r="F89" s="5"/>
      <c r="G89" s="5"/>
      <c r="H89" s="5"/>
      <c r="I89" s="5"/>
      <c r="J89" s="5"/>
      <c r="K89" s="5"/>
      <c r="L89" s="5"/>
      <c r="M89" s="56"/>
      <c r="N89" s="56"/>
      <c r="O89" s="56"/>
      <c r="P89" s="56"/>
    </row>
    <row r="90" spans="1:16" x14ac:dyDescent="0.3">
      <c r="A90" s="4"/>
      <c r="B90" s="4"/>
      <c r="C90" s="4"/>
      <c r="D90" s="4"/>
      <c r="E90" s="4"/>
      <c r="F90" s="4"/>
      <c r="G90" s="5"/>
      <c r="H90" s="5"/>
      <c r="I90" s="5"/>
      <c r="J90" s="5"/>
      <c r="K90" s="5"/>
      <c r="L90" s="5"/>
      <c r="M90" s="56"/>
      <c r="N90" s="56"/>
      <c r="O90" s="56"/>
      <c r="P90" s="56"/>
    </row>
    <row r="91" spans="1:16" x14ac:dyDescent="0.3">
      <c r="A91" s="10"/>
      <c r="B91" s="10"/>
      <c r="C91" s="10"/>
      <c r="D91" s="10"/>
      <c r="E91" s="10"/>
      <c r="F91" s="10"/>
      <c r="G91" s="10"/>
      <c r="H91" s="10"/>
      <c r="I91" s="10"/>
      <c r="J91" s="10"/>
      <c r="K91" s="10"/>
      <c r="L91" s="10"/>
    </row>
    <row r="92" spans="1:16" x14ac:dyDescent="0.3">
      <c r="A92" s="10" t="s">
        <v>10</v>
      </c>
      <c r="B92" s="10"/>
      <c r="C92" s="10"/>
      <c r="D92" s="10"/>
      <c r="E92" s="10"/>
      <c r="F92" s="10"/>
      <c r="G92" s="10"/>
      <c r="H92" s="10"/>
      <c r="I92" s="10"/>
      <c r="J92" s="10"/>
      <c r="K92" s="10"/>
      <c r="L92" s="10"/>
    </row>
    <row r="93" spans="1:16" x14ac:dyDescent="0.3">
      <c r="A93" s="10"/>
      <c r="B93" s="98"/>
      <c r="C93" s="116" t="s">
        <v>351</v>
      </c>
      <c r="D93" s="116" t="s">
        <v>5</v>
      </c>
      <c r="E93" s="98"/>
      <c r="F93" s="10"/>
      <c r="G93" s="10"/>
      <c r="H93" s="10"/>
      <c r="I93" s="10"/>
      <c r="J93" s="10"/>
      <c r="K93" s="10"/>
      <c r="L93" s="10"/>
    </row>
    <row r="94" spans="1:16" x14ac:dyDescent="0.3">
      <c r="A94" s="10"/>
      <c r="B94" s="116" t="s">
        <v>5</v>
      </c>
      <c r="C94" s="116" t="s">
        <v>499</v>
      </c>
      <c r="D94" s="116" t="s">
        <v>7</v>
      </c>
      <c r="E94" s="98"/>
      <c r="F94" s="10"/>
      <c r="G94" s="10"/>
      <c r="H94" s="10"/>
      <c r="I94" s="10"/>
      <c r="J94" s="10"/>
      <c r="K94" s="10"/>
      <c r="L94" s="10"/>
    </row>
    <row r="95" spans="1:16" x14ac:dyDescent="0.3">
      <c r="B95" s="109" t="s">
        <v>7</v>
      </c>
      <c r="C95" s="109" t="s">
        <v>503</v>
      </c>
      <c r="D95" s="109" t="s">
        <v>504</v>
      </c>
      <c r="E95" s="98"/>
    </row>
    <row r="96" spans="1:16" x14ac:dyDescent="0.3">
      <c r="B96" s="304">
        <v>2015</v>
      </c>
      <c r="C96" s="183">
        <f>G83</f>
        <v>0.67403060330562548</v>
      </c>
      <c r="D96" s="273">
        <v>0.1</v>
      </c>
      <c r="E96" s="98"/>
    </row>
    <row r="97" spans="1:16" x14ac:dyDescent="0.3">
      <c r="B97" s="304">
        <v>2016</v>
      </c>
      <c r="C97" s="183">
        <f t="shared" ref="C97:C100" si="7">G84</f>
        <v>0.67358022712105514</v>
      </c>
      <c r="D97" s="273">
        <v>0.15</v>
      </c>
      <c r="E97" s="98"/>
      <c r="M97" s="10"/>
      <c r="N97" s="10"/>
    </row>
    <row r="98" spans="1:16" x14ac:dyDescent="0.3">
      <c r="B98" s="304">
        <v>2017</v>
      </c>
      <c r="C98" s="183">
        <f t="shared" si="7"/>
        <v>0.65364715515656735</v>
      </c>
      <c r="D98" s="273">
        <v>0.2</v>
      </c>
      <c r="E98" s="98"/>
      <c r="M98" s="10"/>
      <c r="N98" s="10"/>
    </row>
    <row r="99" spans="1:16" x14ac:dyDescent="0.3">
      <c r="B99" s="304">
        <v>2018</v>
      </c>
      <c r="C99" s="183">
        <f t="shared" si="7"/>
        <v>0.67251693568566651</v>
      </c>
      <c r="D99" s="273">
        <v>0.25</v>
      </c>
      <c r="E99" s="98"/>
      <c r="M99" s="10"/>
      <c r="N99" s="10"/>
    </row>
    <row r="100" spans="1:16" x14ac:dyDescent="0.3">
      <c r="B100" s="306">
        <v>2019</v>
      </c>
      <c r="C100" s="185">
        <f t="shared" si="7"/>
        <v>0.67427393087546206</v>
      </c>
      <c r="D100" s="307">
        <v>0.3</v>
      </c>
      <c r="E100" s="98"/>
    </row>
    <row r="101" spans="1:16" x14ac:dyDescent="0.3">
      <c r="B101" s="98"/>
      <c r="C101" s="98"/>
      <c r="D101" s="273">
        <f>SUM(D96:D100)</f>
        <v>1</v>
      </c>
      <c r="E101" s="98"/>
    </row>
    <row r="102" spans="1:16" x14ac:dyDescent="0.3">
      <c r="B102" s="98"/>
      <c r="C102" s="98"/>
      <c r="D102" s="98"/>
      <c r="E102" s="98"/>
    </row>
    <row r="103" spans="1:16" x14ac:dyDescent="0.3">
      <c r="B103" s="98" t="s">
        <v>505</v>
      </c>
      <c r="C103" s="98"/>
      <c r="D103" s="98"/>
      <c r="E103" s="183">
        <f>SUMPRODUCT(C96:C100,D96:D100)</f>
        <v>0.66958093861408952</v>
      </c>
    </row>
    <row r="104" spans="1:16" x14ac:dyDescent="0.3">
      <c r="B104" s="98"/>
      <c r="C104" s="98" t="s">
        <v>506</v>
      </c>
      <c r="D104" s="98"/>
      <c r="E104" s="183"/>
    </row>
    <row r="106" spans="1:16" x14ac:dyDescent="0.3">
      <c r="A106" s="5" t="s">
        <v>90</v>
      </c>
      <c r="B106" s="5"/>
      <c r="C106" s="5"/>
      <c r="D106" s="5"/>
      <c r="E106" s="5"/>
      <c r="F106" s="5"/>
      <c r="G106" s="5"/>
      <c r="H106" s="5"/>
      <c r="I106" s="5"/>
      <c r="J106" s="5"/>
      <c r="K106" s="5"/>
      <c r="L106" s="4"/>
      <c r="M106" s="56"/>
      <c r="N106" s="56"/>
      <c r="O106" s="56"/>
      <c r="P106" s="56"/>
    </row>
    <row r="107" spans="1:16" x14ac:dyDescent="0.3">
      <c r="A107" s="5"/>
      <c r="B107" s="5"/>
      <c r="C107" s="5"/>
      <c r="D107" s="5"/>
      <c r="E107" s="5"/>
      <c r="F107" s="5"/>
      <c r="G107" s="5"/>
      <c r="H107" s="5"/>
      <c r="I107" s="5"/>
      <c r="J107" s="5"/>
      <c r="K107" s="5"/>
      <c r="L107" s="4"/>
      <c r="M107" s="56"/>
      <c r="N107" s="56"/>
      <c r="O107" s="56"/>
      <c r="P107" s="56"/>
    </row>
    <row r="108" spans="1:16" x14ac:dyDescent="0.3">
      <c r="A108" s="5"/>
      <c r="B108" s="42" t="s">
        <v>63</v>
      </c>
      <c r="C108" s="5" t="s">
        <v>240</v>
      </c>
      <c r="D108" s="5"/>
      <c r="E108" s="5"/>
      <c r="F108" s="5"/>
      <c r="G108" s="5"/>
      <c r="H108" s="5"/>
      <c r="I108" s="5"/>
      <c r="J108" s="5"/>
      <c r="K108" s="5"/>
      <c r="L108" s="4"/>
      <c r="M108" s="56"/>
      <c r="N108" s="56"/>
      <c r="O108" s="56"/>
      <c r="P108" s="56"/>
    </row>
    <row r="109" spans="1:16" x14ac:dyDescent="0.3">
      <c r="A109" s="5"/>
      <c r="B109" s="42" t="s">
        <v>63</v>
      </c>
      <c r="C109" s="5" t="s">
        <v>293</v>
      </c>
      <c r="D109" s="5"/>
      <c r="E109" s="5"/>
      <c r="F109" s="5"/>
      <c r="G109" s="5"/>
      <c r="H109" s="5"/>
      <c r="I109" s="5"/>
      <c r="J109" s="5"/>
      <c r="K109" s="5"/>
      <c r="L109" s="4"/>
      <c r="M109" s="56"/>
      <c r="N109" s="56"/>
      <c r="O109" s="56"/>
      <c r="P109" s="56"/>
    </row>
    <row r="110" spans="1:16" x14ac:dyDescent="0.3">
      <c r="A110" s="5"/>
      <c r="B110" s="42" t="s">
        <v>63</v>
      </c>
      <c r="C110" s="5" t="s">
        <v>241</v>
      </c>
      <c r="D110" s="5"/>
      <c r="E110" s="5"/>
      <c r="F110" s="5"/>
      <c r="G110" s="5"/>
      <c r="H110" s="5"/>
      <c r="I110" s="5"/>
      <c r="J110" s="5"/>
      <c r="K110" s="5"/>
      <c r="L110" s="4"/>
      <c r="M110" s="56"/>
      <c r="N110" s="56"/>
      <c r="O110" s="56"/>
      <c r="P110" s="56"/>
    </row>
    <row r="111" spans="1:16" x14ac:dyDescent="0.3">
      <c r="A111" s="5"/>
      <c r="B111" s="42" t="s">
        <v>63</v>
      </c>
      <c r="C111" s="5" t="s">
        <v>242</v>
      </c>
      <c r="D111" s="5"/>
      <c r="E111" s="5"/>
      <c r="F111" s="5"/>
      <c r="G111" s="5"/>
      <c r="H111" s="5"/>
      <c r="I111" s="5"/>
      <c r="J111" s="5"/>
      <c r="K111" s="5"/>
      <c r="L111" s="4"/>
      <c r="M111" s="56"/>
      <c r="N111" s="56"/>
      <c r="O111" s="56"/>
      <c r="P111" s="56"/>
    </row>
    <row r="112" spans="1:16" x14ac:dyDescent="0.3">
      <c r="A112" s="5"/>
      <c r="B112" s="5"/>
      <c r="C112" s="5"/>
      <c r="D112" s="5"/>
      <c r="E112" s="5"/>
      <c r="F112" s="5"/>
      <c r="G112" s="5"/>
      <c r="H112" s="5"/>
      <c r="I112" s="5"/>
      <c r="J112" s="5"/>
      <c r="K112" s="5"/>
      <c r="L112" s="4"/>
      <c r="M112" s="56"/>
      <c r="N112" s="56"/>
      <c r="O112" s="56"/>
      <c r="P112" s="56"/>
    </row>
    <row r="114" spans="1:16" x14ac:dyDescent="0.3">
      <c r="A114" s="7" t="s">
        <v>11</v>
      </c>
      <c r="B114" s="5" t="s">
        <v>243</v>
      </c>
      <c r="C114" s="5"/>
      <c r="D114" s="5"/>
      <c r="E114" s="5"/>
      <c r="F114" s="5"/>
      <c r="G114" s="5"/>
      <c r="H114" s="5"/>
      <c r="I114" s="5"/>
      <c r="J114" s="5"/>
      <c r="K114" s="5"/>
      <c r="L114" s="5"/>
      <c r="M114" s="56"/>
      <c r="N114" s="56"/>
      <c r="O114" s="56"/>
      <c r="P114" s="56"/>
    </row>
    <row r="115" spans="1:16" x14ac:dyDescent="0.3">
      <c r="A115" s="4"/>
      <c r="B115" s="4"/>
      <c r="C115" s="4"/>
      <c r="D115" s="4"/>
      <c r="E115" s="4"/>
      <c r="F115" s="4"/>
      <c r="G115" s="5"/>
      <c r="H115" s="5"/>
      <c r="I115" s="5"/>
      <c r="J115" s="5"/>
      <c r="K115" s="5"/>
      <c r="L115" s="5"/>
      <c r="M115" s="56"/>
      <c r="N115" s="56"/>
      <c r="O115" s="56"/>
      <c r="P115" s="56"/>
    </row>
    <row r="116" spans="1:16" x14ac:dyDescent="0.3">
      <c r="A116" s="10"/>
      <c r="B116" s="10"/>
      <c r="C116" s="10"/>
      <c r="D116" s="10"/>
      <c r="E116" s="10"/>
      <c r="F116" s="10"/>
      <c r="G116" s="10"/>
      <c r="H116" s="10"/>
      <c r="I116" s="10"/>
      <c r="J116" s="10"/>
      <c r="K116" s="10"/>
      <c r="L116" s="10"/>
    </row>
    <row r="117" spans="1:16" x14ac:dyDescent="0.3">
      <c r="A117" s="10" t="s">
        <v>10</v>
      </c>
      <c r="B117" s="10"/>
      <c r="C117" s="10"/>
      <c r="D117" s="10"/>
      <c r="E117" s="10"/>
      <c r="F117" s="10"/>
      <c r="G117" s="10"/>
      <c r="H117" s="10"/>
      <c r="I117" s="10"/>
      <c r="J117" s="10"/>
      <c r="K117" s="10"/>
      <c r="L117" s="10"/>
    </row>
    <row r="118" spans="1:16" x14ac:dyDescent="0.3">
      <c r="A118" s="10"/>
      <c r="B118" s="10"/>
      <c r="C118" s="10"/>
      <c r="D118" s="10"/>
      <c r="E118" s="10"/>
      <c r="F118" s="10"/>
      <c r="G118" s="10"/>
      <c r="H118" s="10"/>
      <c r="I118" s="10"/>
      <c r="J118" s="10"/>
      <c r="K118" s="10"/>
      <c r="L118" s="10"/>
    </row>
    <row r="119" spans="1:16" x14ac:dyDescent="0.3">
      <c r="A119" s="98" t="s">
        <v>507</v>
      </c>
      <c r="B119" s="98"/>
      <c r="C119" s="98"/>
      <c r="D119" s="98"/>
      <c r="E119" s="98"/>
      <c r="F119" s="284">
        <f>E103</f>
        <v>0.66958093861408952</v>
      </c>
      <c r="I119" s="10"/>
      <c r="J119" s="10"/>
      <c r="K119" s="10"/>
      <c r="L119" s="10"/>
    </row>
    <row r="120" spans="1:16" x14ac:dyDescent="0.3">
      <c r="A120" s="98" t="s">
        <v>508</v>
      </c>
      <c r="B120" s="98"/>
      <c r="C120" s="98"/>
      <c r="D120" s="98"/>
      <c r="E120" s="98"/>
      <c r="F120" s="284">
        <v>0.1</v>
      </c>
      <c r="I120" s="10"/>
      <c r="J120" s="10"/>
      <c r="K120" s="10"/>
      <c r="L120" s="10"/>
    </row>
    <row r="121" spans="1:16" x14ac:dyDescent="0.3">
      <c r="A121" s="98" t="s">
        <v>512</v>
      </c>
      <c r="B121" s="98"/>
      <c r="C121" s="98"/>
      <c r="D121" s="98"/>
      <c r="E121" s="98"/>
      <c r="F121" s="284">
        <f>F119*(1+F120)</f>
        <v>0.73653903247549857</v>
      </c>
      <c r="I121" s="10"/>
      <c r="J121" s="10"/>
      <c r="K121" s="10"/>
      <c r="L121" s="10"/>
    </row>
    <row r="122" spans="1:16" x14ac:dyDescent="0.3">
      <c r="A122" s="98" t="s">
        <v>509</v>
      </c>
      <c r="B122" s="98"/>
      <c r="C122" s="98"/>
      <c r="D122" s="98"/>
      <c r="E122" s="98"/>
      <c r="F122" s="284">
        <v>0.06</v>
      </c>
      <c r="K122" s="10"/>
      <c r="L122" s="10"/>
    </row>
    <row r="123" spans="1:16" x14ac:dyDescent="0.3">
      <c r="A123" s="98" t="s">
        <v>510</v>
      </c>
      <c r="B123" s="98"/>
      <c r="C123" s="98"/>
      <c r="D123" s="98"/>
      <c r="E123" s="98"/>
      <c r="F123" s="284">
        <v>0.19</v>
      </c>
    </row>
    <row r="124" spans="1:16" x14ac:dyDescent="0.3">
      <c r="A124" s="98" t="s">
        <v>511</v>
      </c>
      <c r="B124" s="98"/>
      <c r="C124" s="98"/>
      <c r="D124" s="98"/>
      <c r="E124" s="98"/>
      <c r="F124" s="284">
        <v>0.05</v>
      </c>
    </row>
    <row r="125" spans="1:16" x14ac:dyDescent="0.3">
      <c r="A125" s="98" t="s">
        <v>513</v>
      </c>
      <c r="B125" s="98"/>
      <c r="C125" s="98"/>
      <c r="D125" s="98"/>
      <c r="E125" s="98"/>
      <c r="F125" s="284">
        <f>(1-F123-F124)/(1+F122/F121)</f>
        <v>0.70275233461154629</v>
      </c>
    </row>
    <row r="126" spans="1:16" x14ac:dyDescent="0.3">
      <c r="A126" s="98" t="s">
        <v>514</v>
      </c>
      <c r="B126" s="98"/>
      <c r="C126" s="98"/>
      <c r="D126" s="98"/>
      <c r="E126" s="98"/>
      <c r="F126" s="284">
        <f>F121/F125-1</f>
        <v>4.8077674309866536E-2</v>
      </c>
    </row>
    <row r="128" spans="1:16" x14ac:dyDescent="0.3">
      <c r="A128" s="6" t="s">
        <v>82</v>
      </c>
      <c r="B128" s="4"/>
      <c r="C128" s="4"/>
      <c r="D128" s="4"/>
      <c r="E128" s="4"/>
      <c r="F128" s="4"/>
      <c r="G128" s="4"/>
      <c r="H128" s="4"/>
      <c r="I128" s="4"/>
      <c r="J128" s="4"/>
      <c r="K128" s="4"/>
      <c r="L128" s="4"/>
      <c r="M128" s="56"/>
      <c r="N128" s="56"/>
      <c r="O128" s="56"/>
      <c r="P128" s="56"/>
    </row>
  </sheetData>
  <mergeCells count="13">
    <mergeCell ref="B5:D5"/>
    <mergeCell ref="B6:C6"/>
    <mergeCell ref="B7:C7"/>
    <mergeCell ref="B8:C8"/>
    <mergeCell ref="B9:C9"/>
    <mergeCell ref="U24:X24"/>
    <mergeCell ref="Y24:AB24"/>
    <mergeCell ref="B10:C10"/>
    <mergeCell ref="C14:L15"/>
    <mergeCell ref="C57:L58"/>
    <mergeCell ref="I24:L24"/>
    <mergeCell ref="M24:P24"/>
    <mergeCell ref="Q24:T24"/>
  </mergeCells>
  <pageMargins left="0.39370078740157483" right="0.39370078740157483" top="0.39370078740157483" bottom="0.39370078740157483" header="0.31496062992125984" footer="0.31496062992125984"/>
  <pageSetup scale="60" orientation="portrait" verticalDpi="1200" r:id="rId1"/>
  <headerFooter>
    <oddFooter>&amp;L&amp;F [&amp;A]&amp;R&amp;P of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246F9-168E-45A7-B7BA-2E22E0718CBB}">
  <dimension ref="A1:L4"/>
  <sheetViews>
    <sheetView zoomScaleNormal="100" workbookViewId="0"/>
  </sheetViews>
  <sheetFormatPr defaultRowHeight="15.6" x14ac:dyDescent="0.3"/>
  <cols>
    <col min="1" max="6" width="8.88671875" style="2" customWidth="1"/>
    <col min="7" max="7" width="8.88671875" style="2"/>
    <col min="8" max="8" width="8.88671875" style="2" customWidth="1"/>
    <col min="9" max="16384" width="8.88671875" style="2"/>
  </cols>
  <sheetData>
    <row r="1" spans="1:12" ht="17.399999999999999" x14ac:dyDescent="0.3">
      <c r="A1" s="3" t="s">
        <v>244</v>
      </c>
      <c r="B1" s="5"/>
      <c r="C1" s="23" t="s">
        <v>245</v>
      </c>
      <c r="D1" s="5"/>
      <c r="E1" s="5"/>
      <c r="F1" s="5"/>
      <c r="G1" s="5"/>
      <c r="H1" s="5"/>
      <c r="I1" s="5"/>
      <c r="J1" s="5"/>
      <c r="K1" s="5"/>
      <c r="L1" s="4"/>
    </row>
    <row r="2" spans="1:12" x14ac:dyDescent="0.3">
      <c r="A2" s="5"/>
      <c r="B2" s="5"/>
      <c r="C2" s="5"/>
      <c r="D2" s="5"/>
      <c r="E2" s="5"/>
      <c r="F2" s="5"/>
      <c r="G2" s="5"/>
      <c r="H2" s="5"/>
      <c r="I2" s="5"/>
      <c r="J2" s="5"/>
      <c r="K2" s="5"/>
      <c r="L2" s="4"/>
    </row>
    <row r="3" spans="1:12" ht="16.2" x14ac:dyDescent="0.35">
      <c r="A3" s="63" t="s">
        <v>108</v>
      </c>
      <c r="B3" s="5"/>
      <c r="C3" s="5"/>
      <c r="D3" s="5"/>
      <c r="E3" s="5"/>
      <c r="F3" s="5"/>
      <c r="G3" s="5"/>
      <c r="H3" s="5"/>
      <c r="I3" s="5"/>
      <c r="J3" s="5"/>
      <c r="K3" s="5"/>
      <c r="L3" s="4"/>
    </row>
    <row r="4" spans="1:12" x14ac:dyDescent="0.3">
      <c r="A4" s="23"/>
      <c r="B4" s="23"/>
      <c r="C4" s="23"/>
      <c r="D4" s="23"/>
      <c r="E4" s="23"/>
      <c r="F4" s="23"/>
      <c r="G4" s="23"/>
      <c r="H4" s="23"/>
      <c r="I4" s="23"/>
      <c r="J4" s="23"/>
      <c r="K4" s="23"/>
      <c r="L4" s="23"/>
    </row>
  </sheetData>
  <pageMargins left="0.39370078740157483" right="0.39370078740157483" top="0.39370078740157483" bottom="0.39370078740157483" header="0.31496062992125984" footer="0.31496062992125984"/>
  <pageSetup scale="85" orientation="portrait" verticalDpi="1200" r:id="rId1"/>
  <headerFooter>
    <oddFooter>&amp;L&amp;F [&amp;A]&amp;R&amp;P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B3FEA-385F-4750-AE1D-563EF6BFD381}">
  <dimension ref="A1:R124"/>
  <sheetViews>
    <sheetView zoomScaleNormal="100" workbookViewId="0"/>
  </sheetViews>
  <sheetFormatPr defaultRowHeight="15.6" x14ac:dyDescent="0.3"/>
  <cols>
    <col min="1" max="1" width="8.88671875" style="2" customWidth="1"/>
    <col min="2" max="2" width="9.77734375" style="2" customWidth="1"/>
    <col min="3" max="3" width="16.44140625" style="2" customWidth="1"/>
    <col min="4" max="4" width="11.77734375" style="2" customWidth="1"/>
    <col min="5" max="5" width="16.109375" style="2" customWidth="1"/>
    <col min="6" max="8" width="11.77734375" style="2" customWidth="1"/>
    <col min="9" max="16384" width="8.88671875" style="2"/>
  </cols>
  <sheetData>
    <row r="1" spans="1:18" ht="17.399999999999999" x14ac:dyDescent="0.3">
      <c r="A1" s="3" t="s">
        <v>246</v>
      </c>
      <c r="B1" s="5"/>
      <c r="C1" s="23" t="s">
        <v>96</v>
      </c>
      <c r="D1" s="5"/>
      <c r="E1" s="5"/>
      <c r="F1" s="5"/>
      <c r="G1" s="5"/>
      <c r="H1" s="5"/>
      <c r="I1" s="5"/>
      <c r="J1" s="5"/>
      <c r="K1" s="5"/>
      <c r="L1" s="4"/>
    </row>
    <row r="2" spans="1:18" x14ac:dyDescent="0.3">
      <c r="A2" s="5"/>
      <c r="B2" s="5"/>
      <c r="C2" s="5"/>
      <c r="D2" s="5"/>
      <c r="E2" s="5"/>
      <c r="F2" s="5"/>
      <c r="G2" s="5"/>
      <c r="H2" s="5"/>
      <c r="I2" s="5"/>
      <c r="J2" s="5"/>
      <c r="K2" s="5"/>
      <c r="L2" s="4"/>
    </row>
    <row r="4" spans="1:18" x14ac:dyDescent="0.3">
      <c r="A4" s="6" t="s">
        <v>51</v>
      </c>
      <c r="B4" s="4"/>
      <c r="C4" s="4"/>
      <c r="D4" s="4"/>
      <c r="E4" s="4"/>
      <c r="F4" s="4"/>
      <c r="G4" s="4"/>
      <c r="H4" s="4"/>
      <c r="I4" s="4"/>
      <c r="J4" s="4"/>
      <c r="K4" s="4"/>
      <c r="L4" s="4"/>
    </row>
    <row r="5" spans="1:18" x14ac:dyDescent="0.3">
      <c r="A5" s="10"/>
      <c r="B5" s="10"/>
      <c r="C5" s="10"/>
      <c r="D5" s="10"/>
      <c r="E5" s="10"/>
      <c r="F5" s="10"/>
      <c r="G5" s="10"/>
      <c r="H5" s="10"/>
      <c r="I5" s="10"/>
      <c r="J5" s="10"/>
      <c r="K5" s="10"/>
      <c r="L5" s="10"/>
    </row>
    <row r="6" spans="1:18" x14ac:dyDescent="0.3">
      <c r="A6" s="357" t="s">
        <v>247</v>
      </c>
      <c r="B6" s="358"/>
      <c r="C6" s="358"/>
      <c r="D6" s="358"/>
      <c r="E6" s="358"/>
      <c r="F6" s="358"/>
      <c r="G6" s="358"/>
      <c r="H6" s="358"/>
      <c r="I6" s="358"/>
      <c r="J6" s="358"/>
      <c r="K6" s="358"/>
      <c r="L6" s="358"/>
    </row>
    <row r="7" spans="1:18" x14ac:dyDescent="0.3">
      <c r="A7" s="358"/>
      <c r="B7" s="358"/>
      <c r="C7" s="358"/>
      <c r="D7" s="358"/>
      <c r="E7" s="358"/>
      <c r="F7" s="358"/>
      <c r="G7" s="358"/>
      <c r="H7" s="358"/>
      <c r="I7" s="358"/>
      <c r="J7" s="358"/>
      <c r="K7" s="358"/>
      <c r="L7" s="358"/>
    </row>
    <row r="8" spans="1:18" x14ac:dyDescent="0.3">
      <c r="A8" s="23"/>
      <c r="B8" s="23"/>
      <c r="C8" s="23"/>
      <c r="D8" s="23"/>
      <c r="E8" s="23"/>
      <c r="F8" s="23"/>
      <c r="G8" s="23"/>
      <c r="H8" s="23"/>
      <c r="I8" s="23"/>
      <c r="J8" s="23"/>
      <c r="K8" s="23"/>
      <c r="L8" s="23"/>
    </row>
    <row r="9" spans="1:18" x14ac:dyDescent="0.3">
      <c r="A9" s="23" t="s">
        <v>248</v>
      </c>
      <c r="B9" s="23"/>
      <c r="C9" s="23"/>
      <c r="D9" s="23"/>
      <c r="E9" s="23"/>
      <c r="F9" s="23"/>
      <c r="G9" s="23"/>
      <c r="H9" s="23"/>
      <c r="I9" s="23"/>
      <c r="J9" s="23"/>
      <c r="K9" s="23"/>
      <c r="L9" s="23"/>
    </row>
    <row r="10" spans="1:18" x14ac:dyDescent="0.3">
      <c r="A10" s="23"/>
      <c r="B10" s="23"/>
      <c r="C10" s="23"/>
      <c r="D10" s="23"/>
      <c r="E10" s="23"/>
      <c r="F10" s="23"/>
      <c r="G10" s="23"/>
      <c r="H10" s="23"/>
      <c r="I10" s="23"/>
      <c r="J10" s="23"/>
      <c r="K10" s="23"/>
      <c r="L10" s="23"/>
    </row>
    <row r="11" spans="1:18" x14ac:dyDescent="0.3">
      <c r="A11" s="23"/>
      <c r="B11" s="338" t="s">
        <v>299</v>
      </c>
      <c r="C11" s="339"/>
      <c r="D11" s="339"/>
      <c r="E11" s="339"/>
      <c r="F11" s="339"/>
      <c r="G11" s="339"/>
      <c r="H11" s="339"/>
      <c r="I11" s="340"/>
      <c r="J11" s="23"/>
      <c r="K11" s="23"/>
      <c r="L11" s="23"/>
    </row>
    <row r="12" spans="1:18" x14ac:dyDescent="0.3">
      <c r="A12" s="23"/>
      <c r="B12" s="354" t="s">
        <v>251</v>
      </c>
      <c r="C12" s="399" t="s">
        <v>249</v>
      </c>
      <c r="D12" s="370" t="s">
        <v>250</v>
      </c>
      <c r="E12" s="370"/>
      <c r="F12" s="370"/>
      <c r="G12" s="370"/>
      <c r="H12" s="370"/>
      <c r="I12" s="370"/>
      <c r="J12" s="23"/>
      <c r="K12" s="23"/>
      <c r="L12" s="23"/>
    </row>
    <row r="13" spans="1:18" ht="32.4" customHeight="1" x14ac:dyDescent="0.3">
      <c r="A13" s="23"/>
      <c r="B13" s="398"/>
      <c r="C13" s="400"/>
      <c r="D13" s="66">
        <v>12</v>
      </c>
      <c r="E13" s="66">
        <v>24</v>
      </c>
      <c r="F13" s="66">
        <v>36</v>
      </c>
      <c r="G13" s="66">
        <v>48</v>
      </c>
      <c r="H13" s="66">
        <v>60</v>
      </c>
      <c r="I13" s="66">
        <v>72</v>
      </c>
      <c r="J13" s="23"/>
      <c r="K13" s="23"/>
      <c r="L13" s="23"/>
    </row>
    <row r="14" spans="1:18" x14ac:dyDescent="0.3">
      <c r="A14" s="23"/>
      <c r="B14" s="22">
        <v>2014</v>
      </c>
      <c r="C14" s="75">
        <v>14251</v>
      </c>
      <c r="D14" s="75">
        <v>6138</v>
      </c>
      <c r="E14" s="76">
        <v>602</v>
      </c>
      <c r="F14" s="76">
        <v>404</v>
      </c>
      <c r="G14" s="76">
        <v>236</v>
      </c>
      <c r="H14" s="76">
        <v>125</v>
      </c>
      <c r="I14" s="76">
        <v>75</v>
      </c>
      <c r="J14" s="23"/>
      <c r="K14" s="23"/>
      <c r="L14" s="23"/>
      <c r="M14"/>
      <c r="N14"/>
      <c r="O14"/>
      <c r="P14"/>
      <c r="Q14"/>
      <c r="R14"/>
    </row>
    <row r="15" spans="1:18" x14ac:dyDescent="0.3">
      <c r="A15" s="23"/>
      <c r="B15" s="22">
        <v>2015</v>
      </c>
      <c r="C15" s="75">
        <v>14662</v>
      </c>
      <c r="D15" s="75">
        <v>6605</v>
      </c>
      <c r="E15" s="76">
        <v>674</v>
      </c>
      <c r="F15" s="76">
        <v>509</v>
      </c>
      <c r="G15" s="76">
        <v>234</v>
      </c>
      <c r="H15" s="76">
        <v>160</v>
      </c>
      <c r="I15" s="22"/>
      <c r="J15" s="23"/>
      <c r="K15" s="23"/>
      <c r="L15" s="23"/>
      <c r="M15"/>
      <c r="N15"/>
      <c r="O15"/>
      <c r="P15"/>
      <c r="Q15"/>
      <c r="R15"/>
    </row>
    <row r="16" spans="1:18" x14ac:dyDescent="0.3">
      <c r="A16" s="23"/>
      <c r="B16" s="22">
        <v>2016</v>
      </c>
      <c r="C16" s="75">
        <v>15105</v>
      </c>
      <c r="D16" s="75">
        <v>7086</v>
      </c>
      <c r="E16" s="76">
        <v>730</v>
      </c>
      <c r="F16" s="76">
        <v>438</v>
      </c>
      <c r="G16" s="76">
        <v>289</v>
      </c>
      <c r="H16" s="22"/>
      <c r="I16" s="22"/>
      <c r="J16" s="23"/>
      <c r="K16" s="23"/>
      <c r="L16" s="23"/>
      <c r="M16"/>
      <c r="N16"/>
      <c r="O16"/>
      <c r="P16"/>
      <c r="Q16"/>
      <c r="R16"/>
    </row>
    <row r="17" spans="1:18" x14ac:dyDescent="0.3">
      <c r="A17" s="23"/>
      <c r="B17" s="22">
        <v>2017</v>
      </c>
      <c r="C17" s="75">
        <v>9320</v>
      </c>
      <c r="D17" s="75">
        <v>4572</v>
      </c>
      <c r="E17" s="76">
        <v>448</v>
      </c>
      <c r="F17" s="76">
        <v>291</v>
      </c>
      <c r="G17" s="22"/>
      <c r="H17" s="22"/>
      <c r="I17" s="22"/>
      <c r="J17" s="23"/>
      <c r="K17" s="23"/>
      <c r="L17" s="23"/>
      <c r="M17"/>
      <c r="N17"/>
      <c r="O17"/>
      <c r="P17"/>
      <c r="Q17"/>
      <c r="R17"/>
    </row>
    <row r="18" spans="1:18" x14ac:dyDescent="0.3">
      <c r="A18" s="23"/>
      <c r="B18" s="22">
        <v>2018</v>
      </c>
      <c r="C18" s="75">
        <v>9517</v>
      </c>
      <c r="D18" s="75">
        <v>4898</v>
      </c>
      <c r="E18" s="76">
        <v>910</v>
      </c>
      <c r="F18" s="22"/>
      <c r="G18" s="22"/>
      <c r="H18" s="22"/>
      <c r="I18" s="22"/>
      <c r="J18" s="23"/>
      <c r="K18" s="23"/>
      <c r="L18" s="23"/>
      <c r="M18"/>
      <c r="N18"/>
      <c r="O18"/>
      <c r="P18"/>
      <c r="Q18"/>
      <c r="R18"/>
    </row>
    <row r="19" spans="1:18" x14ac:dyDescent="0.3">
      <c r="A19" s="23"/>
      <c r="B19" s="22">
        <v>2019</v>
      </c>
      <c r="C19" s="75">
        <v>9750</v>
      </c>
      <c r="D19" s="75">
        <v>5251</v>
      </c>
      <c r="E19" s="22"/>
      <c r="F19" s="22"/>
      <c r="G19" s="22"/>
      <c r="H19" s="22"/>
      <c r="I19" s="22"/>
      <c r="J19" s="23"/>
      <c r="K19" s="23"/>
      <c r="L19" s="23"/>
      <c r="M19"/>
      <c r="N19"/>
      <c r="O19"/>
      <c r="P19"/>
      <c r="Q19"/>
      <c r="R19"/>
    </row>
    <row r="20" spans="1:18" x14ac:dyDescent="0.3">
      <c r="A20" s="23"/>
      <c r="B20" s="23"/>
      <c r="C20" s="23"/>
      <c r="D20" s="23"/>
      <c r="E20" s="23"/>
      <c r="F20" s="23"/>
      <c r="G20" s="23"/>
      <c r="H20" s="23"/>
      <c r="I20" s="23"/>
      <c r="J20" s="23"/>
      <c r="K20" s="23"/>
      <c r="L20" s="23"/>
    </row>
    <row r="21" spans="1:18" x14ac:dyDescent="0.3">
      <c r="A21" s="23"/>
      <c r="B21" s="42" t="s">
        <v>63</v>
      </c>
      <c r="C21" s="23" t="s">
        <v>252</v>
      </c>
      <c r="D21" s="23"/>
      <c r="E21" s="23"/>
      <c r="F21" s="23"/>
      <c r="G21" s="23"/>
      <c r="H21" s="23"/>
      <c r="I21" s="23"/>
      <c r="J21" s="23"/>
      <c r="K21" s="23"/>
      <c r="L21" s="23"/>
    </row>
    <row r="22" spans="1:18" x14ac:dyDescent="0.3">
      <c r="A22" s="23"/>
      <c r="B22" s="42" t="s">
        <v>63</v>
      </c>
      <c r="C22" s="23" t="s">
        <v>253</v>
      </c>
      <c r="D22" s="23"/>
      <c r="E22" s="23"/>
      <c r="F22" s="23"/>
      <c r="G22" s="23"/>
      <c r="H22" s="23"/>
      <c r="I22" s="23"/>
      <c r="J22" s="23"/>
      <c r="K22" s="23"/>
      <c r="L22" s="23"/>
    </row>
    <row r="23" spans="1:18" x14ac:dyDescent="0.3">
      <c r="A23" s="23"/>
      <c r="B23" s="42" t="s">
        <v>63</v>
      </c>
      <c r="C23" s="23" t="s">
        <v>254</v>
      </c>
      <c r="D23" s="23"/>
      <c r="E23" s="23"/>
      <c r="F23" s="23"/>
      <c r="G23" s="23"/>
      <c r="H23" s="23"/>
      <c r="I23" s="23"/>
      <c r="J23" s="23"/>
      <c r="K23" s="23"/>
      <c r="L23" s="23"/>
    </row>
    <row r="24" spans="1:18" x14ac:dyDescent="0.3">
      <c r="A24" s="23"/>
      <c r="B24" s="23"/>
      <c r="C24" s="23"/>
      <c r="D24" s="23"/>
      <c r="E24" s="23"/>
      <c r="F24" s="23"/>
      <c r="G24" s="23"/>
      <c r="H24" s="23"/>
      <c r="I24" s="23"/>
      <c r="J24" s="23"/>
      <c r="K24" s="23"/>
      <c r="L24" s="23"/>
    </row>
    <row r="25" spans="1:18" x14ac:dyDescent="0.3">
      <c r="A25" s="10"/>
      <c r="B25" s="10"/>
      <c r="C25" s="10"/>
      <c r="D25" s="10"/>
      <c r="E25" s="10"/>
      <c r="F25" s="10"/>
      <c r="G25" s="10"/>
      <c r="H25" s="10"/>
      <c r="I25" s="10"/>
      <c r="J25" s="10"/>
      <c r="K25" s="10"/>
      <c r="L25" s="10"/>
    </row>
    <row r="26" spans="1:18" x14ac:dyDescent="0.3">
      <c r="A26" s="7" t="s">
        <v>15</v>
      </c>
      <c r="B26" s="357" t="s">
        <v>300</v>
      </c>
      <c r="C26" s="358"/>
      <c r="D26" s="358"/>
      <c r="E26" s="358"/>
      <c r="F26" s="358"/>
      <c r="G26" s="358"/>
      <c r="H26" s="358"/>
      <c r="I26" s="358"/>
      <c r="J26" s="358"/>
      <c r="K26" s="358"/>
      <c r="L26" s="358"/>
      <c r="M26" s="12"/>
      <c r="N26" s="12"/>
      <c r="O26" s="12"/>
      <c r="P26" s="12"/>
      <c r="Q26" s="12"/>
      <c r="R26" s="12"/>
    </row>
    <row r="27" spans="1:18" x14ac:dyDescent="0.3">
      <c r="A27" s="7"/>
      <c r="B27" s="358"/>
      <c r="C27" s="358"/>
      <c r="D27" s="358"/>
      <c r="E27" s="358"/>
      <c r="F27" s="358"/>
      <c r="G27" s="358"/>
      <c r="H27" s="358"/>
      <c r="I27" s="358"/>
      <c r="J27" s="358"/>
      <c r="K27" s="358"/>
      <c r="L27" s="358"/>
      <c r="M27" s="12"/>
      <c r="N27" s="12"/>
      <c r="O27" s="12"/>
      <c r="P27" s="12"/>
      <c r="Q27" s="12"/>
      <c r="R27" s="12"/>
    </row>
    <row r="28" spans="1:18" x14ac:dyDescent="0.3">
      <c r="A28" s="4"/>
      <c r="B28" s="4"/>
      <c r="C28" s="4"/>
      <c r="D28" s="4"/>
      <c r="E28" s="4"/>
      <c r="F28" s="4"/>
      <c r="G28" s="5"/>
      <c r="H28" s="5"/>
      <c r="I28" s="5"/>
      <c r="J28" s="5"/>
      <c r="K28" s="5"/>
      <c r="L28" s="5"/>
    </row>
    <row r="29" spans="1:18" x14ac:dyDescent="0.3">
      <c r="A29" s="10"/>
      <c r="B29" s="10"/>
      <c r="C29" s="10"/>
      <c r="D29" s="10"/>
      <c r="E29" s="10"/>
      <c r="F29" s="10"/>
      <c r="G29" s="10"/>
      <c r="H29" s="10"/>
      <c r="I29" s="10"/>
      <c r="J29" s="10"/>
      <c r="K29" s="10"/>
      <c r="L29" s="10"/>
      <c r="M29" s="10"/>
    </row>
    <row r="30" spans="1:18" x14ac:dyDescent="0.3">
      <c r="A30" s="10" t="s">
        <v>10</v>
      </c>
      <c r="B30" s="10"/>
      <c r="C30" s="10"/>
      <c r="D30" s="10"/>
      <c r="E30" s="10"/>
      <c r="F30" s="10"/>
      <c r="G30" s="10"/>
      <c r="H30" s="10"/>
      <c r="I30" s="10"/>
      <c r="J30" s="10"/>
      <c r="K30" s="10"/>
      <c r="L30" s="10"/>
      <c r="M30" s="10"/>
      <c r="N30" s="12"/>
    </row>
    <row r="31" spans="1:18" x14ac:dyDescent="0.3">
      <c r="A31" s="10"/>
      <c r="B31" s="314" t="s">
        <v>5</v>
      </c>
      <c r="C31" s="346" t="s">
        <v>515</v>
      </c>
      <c r="D31" s="346"/>
      <c r="E31" s="346"/>
      <c r="F31" s="346"/>
      <c r="G31" s="346"/>
      <c r="H31" s="346"/>
      <c r="I31" s="98"/>
      <c r="J31" s="103"/>
      <c r="K31" s="10"/>
      <c r="L31" s="10"/>
      <c r="M31" s="10"/>
      <c r="N31" s="12"/>
    </row>
    <row r="32" spans="1:18" x14ac:dyDescent="0.3">
      <c r="A32" s="10"/>
      <c r="B32" s="315" t="s">
        <v>7</v>
      </c>
      <c r="C32" s="109">
        <v>12</v>
      </c>
      <c r="D32" s="109">
        <v>24</v>
      </c>
      <c r="E32" s="109">
        <v>36</v>
      </c>
      <c r="F32" s="109">
        <v>48</v>
      </c>
      <c r="G32" s="109">
        <v>60</v>
      </c>
      <c r="H32" s="109">
        <v>72</v>
      </c>
      <c r="I32" s="116"/>
      <c r="J32" s="103"/>
      <c r="K32" s="10"/>
      <c r="L32" s="10"/>
      <c r="M32" s="10"/>
      <c r="N32" s="12"/>
    </row>
    <row r="33" spans="2:14" x14ac:dyDescent="0.3">
      <c r="B33" s="116">
        <v>2014</v>
      </c>
      <c r="C33" s="318">
        <f>SUM($D14:D14)</f>
        <v>6138</v>
      </c>
      <c r="D33" s="318">
        <f>SUM($D14:E14)</f>
        <v>6740</v>
      </c>
      <c r="E33" s="318">
        <f>SUM($D14:F14)</f>
        <v>7144</v>
      </c>
      <c r="F33" s="318">
        <f>SUM($D14:G14)</f>
        <v>7380</v>
      </c>
      <c r="G33" s="318">
        <f>SUM($D14:H14)</f>
        <v>7505</v>
      </c>
      <c r="H33" s="318">
        <f>SUM($D14:I14)</f>
        <v>7580</v>
      </c>
      <c r="I33" s="116"/>
      <c r="J33" s="98"/>
      <c r="M33" s="12"/>
      <c r="N33" s="12"/>
    </row>
    <row r="34" spans="2:14" x14ac:dyDescent="0.3">
      <c r="B34" s="116">
        <v>2015</v>
      </c>
      <c r="C34" s="318">
        <f>SUM($D15:D15)</f>
        <v>6605</v>
      </c>
      <c r="D34" s="318">
        <f>SUM($D15:E15)</f>
        <v>7279</v>
      </c>
      <c r="E34" s="318">
        <f>SUM($D15:F15)</f>
        <v>7788</v>
      </c>
      <c r="F34" s="318">
        <f>SUM($D15:G15)</f>
        <v>8022</v>
      </c>
      <c r="G34" s="318">
        <f>SUM($D15:H15)</f>
        <v>8182</v>
      </c>
      <c r="H34" s="318"/>
      <c r="I34" s="116"/>
      <c r="J34" s="98"/>
      <c r="M34" s="12"/>
      <c r="N34" s="12"/>
    </row>
    <row r="35" spans="2:14" x14ac:dyDescent="0.3">
      <c r="B35" s="116">
        <v>2016</v>
      </c>
      <c r="C35" s="318">
        <f>SUM($D16:D16)</f>
        <v>7086</v>
      </c>
      <c r="D35" s="318">
        <f>SUM($D16:E16)</f>
        <v>7816</v>
      </c>
      <c r="E35" s="318">
        <f>SUM($D16:F16)</f>
        <v>8254</v>
      </c>
      <c r="F35" s="318">
        <f>SUM($D16:G16)</f>
        <v>8543</v>
      </c>
      <c r="G35" s="318"/>
      <c r="H35" s="318"/>
      <c r="I35" s="116"/>
      <c r="J35" s="98"/>
      <c r="M35" s="12"/>
      <c r="N35" s="12"/>
    </row>
    <row r="36" spans="2:14" x14ac:dyDescent="0.3">
      <c r="B36" s="116">
        <v>2017</v>
      </c>
      <c r="C36" s="318">
        <f>SUM($D17:D17)</f>
        <v>4572</v>
      </c>
      <c r="D36" s="318">
        <f>SUM($D17:E17)</f>
        <v>5020</v>
      </c>
      <c r="E36" s="318">
        <f>SUM($D17:F17)</f>
        <v>5311</v>
      </c>
      <c r="F36" s="318"/>
      <c r="G36" s="318"/>
      <c r="H36" s="318"/>
      <c r="I36" s="116"/>
      <c r="J36" s="98"/>
      <c r="M36" s="12"/>
      <c r="N36" s="12"/>
    </row>
    <row r="37" spans="2:14" x14ac:dyDescent="0.3">
      <c r="B37" s="116">
        <v>2018</v>
      </c>
      <c r="C37" s="318">
        <f>SUM($D18:D18)</f>
        <v>4898</v>
      </c>
      <c r="D37" s="318">
        <f>SUM($D18:E18)</f>
        <v>5808</v>
      </c>
      <c r="E37" s="318"/>
      <c r="F37" s="318"/>
      <c r="G37" s="318"/>
      <c r="H37" s="318"/>
      <c r="I37" s="116"/>
      <c r="J37" s="98"/>
      <c r="M37" s="12"/>
      <c r="N37" s="12"/>
    </row>
    <row r="38" spans="2:14" x14ac:dyDescent="0.3">
      <c r="B38" s="116">
        <v>2019</v>
      </c>
      <c r="C38" s="318">
        <f>SUM($D19:D19)</f>
        <v>5251</v>
      </c>
      <c r="D38" s="318"/>
      <c r="E38" s="318"/>
      <c r="F38" s="318"/>
      <c r="G38" s="318"/>
      <c r="H38" s="318"/>
      <c r="I38" s="116"/>
      <c r="J38" s="98"/>
      <c r="M38" s="12"/>
      <c r="N38" s="12"/>
    </row>
    <row r="39" spans="2:14" x14ac:dyDescent="0.3">
      <c r="B39" s="98"/>
      <c r="C39" s="116"/>
      <c r="D39" s="116"/>
      <c r="E39" s="116"/>
      <c r="F39" s="116"/>
      <c r="G39" s="116"/>
      <c r="H39" s="116"/>
      <c r="I39" s="116"/>
      <c r="J39" s="98"/>
      <c r="M39" s="12"/>
      <c r="N39" s="12"/>
    </row>
    <row r="40" spans="2:14" x14ac:dyDescent="0.3">
      <c r="B40" s="314" t="s">
        <v>5</v>
      </c>
      <c r="C40" s="346" t="s">
        <v>531</v>
      </c>
      <c r="D40" s="346"/>
      <c r="E40" s="346"/>
      <c r="F40" s="346"/>
      <c r="G40" s="346"/>
      <c r="H40" s="346"/>
      <c r="I40" s="321" t="s">
        <v>102</v>
      </c>
      <c r="J40" s="116" t="s">
        <v>519</v>
      </c>
      <c r="M40" s="12"/>
      <c r="N40" s="12"/>
    </row>
    <row r="41" spans="2:14" x14ac:dyDescent="0.3">
      <c r="B41" s="315" t="s">
        <v>7</v>
      </c>
      <c r="C41" s="109">
        <v>12</v>
      </c>
      <c r="D41" s="109">
        <v>24</v>
      </c>
      <c r="E41" s="109">
        <v>36</v>
      </c>
      <c r="F41" s="109">
        <v>48</v>
      </c>
      <c r="G41" s="109">
        <v>60</v>
      </c>
      <c r="H41" s="109">
        <v>72</v>
      </c>
      <c r="I41" s="322" t="s">
        <v>1</v>
      </c>
      <c r="J41" s="109" t="s">
        <v>516</v>
      </c>
      <c r="M41" s="12"/>
      <c r="N41" s="12"/>
    </row>
    <row r="42" spans="2:14" x14ac:dyDescent="0.3">
      <c r="B42" s="116">
        <f t="shared" ref="B42:B47" si="0">B33</f>
        <v>2014</v>
      </c>
      <c r="C42" s="318">
        <f t="shared" ref="C42:C47" si="1">C33/J42</f>
        <v>12276</v>
      </c>
      <c r="D42" s="318">
        <f>D33/J42</f>
        <v>13480</v>
      </c>
      <c r="E42" s="318">
        <f>E33/J42</f>
        <v>14288</v>
      </c>
      <c r="F42" s="318">
        <f>F33/J42</f>
        <v>14760</v>
      </c>
      <c r="G42" s="318">
        <f>G33/J42</f>
        <v>15010</v>
      </c>
      <c r="H42" s="318">
        <f>H33/J42</f>
        <v>15160</v>
      </c>
      <c r="I42" s="323">
        <f>H42*I50</f>
        <v>15235.8</v>
      </c>
      <c r="J42" s="308">
        <v>0.5</v>
      </c>
      <c r="L42"/>
      <c r="M42" s="12"/>
      <c r="N42" s="12"/>
    </row>
    <row r="43" spans="2:14" x14ac:dyDescent="0.3">
      <c r="B43" s="116">
        <f t="shared" si="0"/>
        <v>2015</v>
      </c>
      <c r="C43" s="318">
        <f t="shared" si="1"/>
        <v>13210</v>
      </c>
      <c r="D43" s="318">
        <f>D34/J43</f>
        <v>14558</v>
      </c>
      <c r="E43" s="318">
        <f>E34/J43</f>
        <v>15576</v>
      </c>
      <c r="F43" s="318">
        <f>F34/J43</f>
        <v>16044</v>
      </c>
      <c r="G43" s="318">
        <f>G34/J43</f>
        <v>16364</v>
      </c>
      <c r="H43" s="318"/>
      <c r="I43" s="323">
        <f>G43*H50</f>
        <v>16610.168634243833</v>
      </c>
      <c r="J43" s="308">
        <v>0.5</v>
      </c>
      <c r="L43"/>
      <c r="M43" s="12"/>
      <c r="N43" s="12"/>
    </row>
    <row r="44" spans="2:14" x14ac:dyDescent="0.3">
      <c r="B44" s="116">
        <f t="shared" si="0"/>
        <v>2016</v>
      </c>
      <c r="C44" s="318">
        <f t="shared" si="1"/>
        <v>14172</v>
      </c>
      <c r="D44" s="318">
        <f>D35/J44</f>
        <v>15632</v>
      </c>
      <c r="E44" s="318">
        <f>E35/J44</f>
        <v>16508</v>
      </c>
      <c r="F44" s="318">
        <f>F35/J44</f>
        <v>17086</v>
      </c>
      <c r="G44" s="318"/>
      <c r="H44" s="318"/>
      <c r="I44" s="323">
        <f>F44*G50</f>
        <v>17663.946892763608</v>
      </c>
      <c r="J44" s="308">
        <v>0.5</v>
      </c>
      <c r="L44"/>
      <c r="M44" s="12"/>
      <c r="N44" s="12"/>
    </row>
    <row r="45" spans="2:14" x14ac:dyDescent="0.3">
      <c r="B45" s="116">
        <f t="shared" si="0"/>
        <v>2017</v>
      </c>
      <c r="C45" s="318">
        <f t="shared" si="1"/>
        <v>15240</v>
      </c>
      <c r="D45" s="318">
        <f>D36/J45</f>
        <v>16733.333333333336</v>
      </c>
      <c r="E45" s="318">
        <f>E36/J45</f>
        <v>17703.333333333336</v>
      </c>
      <c r="F45" s="318"/>
      <c r="G45" s="318"/>
      <c r="H45" s="318"/>
      <c r="I45" s="323">
        <f>E45*F50</f>
        <v>18901.288231686976</v>
      </c>
      <c r="J45" s="308">
        <v>0.3</v>
      </c>
      <c r="L45"/>
      <c r="M45" s="12"/>
      <c r="N45" s="12"/>
    </row>
    <row r="46" spans="2:14" x14ac:dyDescent="0.3">
      <c r="B46" s="116">
        <f t="shared" si="0"/>
        <v>2018</v>
      </c>
      <c r="C46" s="318">
        <f t="shared" si="1"/>
        <v>16326.666666666668</v>
      </c>
      <c r="D46" s="318">
        <f>D37/J46</f>
        <v>19360</v>
      </c>
      <c r="E46" s="318"/>
      <c r="F46" s="318"/>
      <c r="G46" s="318"/>
      <c r="H46" s="318"/>
      <c r="I46" s="323">
        <f>D46*E50</f>
        <v>21931.670922894496</v>
      </c>
      <c r="J46" s="308">
        <v>0.3</v>
      </c>
      <c r="L46"/>
      <c r="M46" s="12"/>
      <c r="N46" s="12"/>
    </row>
    <row r="47" spans="2:14" x14ac:dyDescent="0.3">
      <c r="B47" s="116">
        <f t="shared" si="0"/>
        <v>2019</v>
      </c>
      <c r="C47" s="318">
        <f t="shared" si="1"/>
        <v>17503.333333333336</v>
      </c>
      <c r="D47" s="318"/>
      <c r="E47" s="318"/>
      <c r="F47" s="318"/>
      <c r="G47" s="318"/>
      <c r="H47" s="318"/>
      <c r="I47" s="323">
        <f>C47*D50</f>
        <v>22423.682171655804</v>
      </c>
      <c r="J47" s="317">
        <v>0.3</v>
      </c>
      <c r="L47"/>
      <c r="M47" s="12"/>
      <c r="N47" s="12"/>
    </row>
    <row r="48" spans="2:14" x14ac:dyDescent="0.3">
      <c r="B48" s="98"/>
      <c r="C48" s="116"/>
      <c r="D48" s="116"/>
      <c r="E48" s="116"/>
      <c r="F48" s="116"/>
      <c r="G48" s="116"/>
      <c r="H48" s="116"/>
      <c r="I48" s="116"/>
      <c r="J48" s="143"/>
      <c r="M48" s="12"/>
      <c r="N48" s="12"/>
    </row>
    <row r="49" spans="1:14" x14ac:dyDescent="0.3">
      <c r="B49" s="98" t="s">
        <v>517</v>
      </c>
      <c r="C49" s="319"/>
      <c r="D49" s="320">
        <f t="shared" ref="D49" si="2">SUM(D44:D46)/SUM(C44:C46)</f>
        <v>1.1308885261194028</v>
      </c>
      <c r="E49" s="320">
        <f>SUM(E43:E45)/SUM(D43:D45)</f>
        <v>1.06103573204518</v>
      </c>
      <c r="F49" s="320">
        <f>SUM(F42:F44)/SUM(E42:E44)</f>
        <v>1.0327352712843958</v>
      </c>
      <c r="G49" s="320">
        <f>SUM(G42:G43)/SUM(F42:F43)</f>
        <v>1.018504090377873</v>
      </c>
      <c r="H49" s="320">
        <f>H42/G42</f>
        <v>1.0099933377748167</v>
      </c>
      <c r="I49" s="320">
        <v>1.0049999999999999</v>
      </c>
      <c r="J49" s="98"/>
      <c r="M49" s="12"/>
      <c r="N49" s="12"/>
    </row>
    <row r="50" spans="1:14" x14ac:dyDescent="0.3">
      <c r="B50" s="98" t="s">
        <v>518</v>
      </c>
      <c r="C50" s="319"/>
      <c r="D50" s="320">
        <f>PRODUCT(D49:I49)</f>
        <v>1.2811092461429709</v>
      </c>
      <c r="E50" s="320">
        <f>PRODUCT(E49:I49)</f>
        <v>1.1328342418850463</v>
      </c>
      <c r="F50" s="320">
        <f>PRODUCT(F49:I49)</f>
        <v>1.0676683241397273</v>
      </c>
      <c r="G50" s="320">
        <f>PRODUCT(G49:I49)</f>
        <v>1.0338257575069418</v>
      </c>
      <c r="H50" s="320">
        <f>PRODUCT(H49:I49)</f>
        <v>1.0150433044636906</v>
      </c>
      <c r="I50" s="320">
        <f>PRODUCT(I49:I49)</f>
        <v>1.0049999999999999</v>
      </c>
      <c r="J50" s="98"/>
      <c r="M50" s="12"/>
      <c r="N50" s="12"/>
    </row>
    <row r="51" spans="1:14" x14ac:dyDescent="0.3">
      <c r="M51" s="12"/>
      <c r="N51" s="12"/>
    </row>
    <row r="52" spans="1:14" x14ac:dyDescent="0.3">
      <c r="A52" s="23" t="s">
        <v>255</v>
      </c>
      <c r="B52" s="23"/>
      <c r="C52" s="23"/>
      <c r="D52" s="23"/>
      <c r="E52" s="23"/>
      <c r="F52" s="23"/>
      <c r="G52" s="23"/>
      <c r="H52" s="23"/>
      <c r="I52" s="23"/>
      <c r="J52" s="23"/>
      <c r="K52" s="23"/>
      <c r="L52" s="23"/>
      <c r="M52" s="12"/>
      <c r="N52" s="12"/>
    </row>
    <row r="54" spans="1:14" x14ac:dyDescent="0.3">
      <c r="A54" s="7" t="s">
        <v>9</v>
      </c>
      <c r="B54" s="357" t="s">
        <v>256</v>
      </c>
      <c r="C54" s="358"/>
      <c r="D54" s="358"/>
      <c r="E54" s="358"/>
      <c r="F54" s="358"/>
      <c r="G54" s="358"/>
      <c r="H54" s="358"/>
      <c r="I54" s="358"/>
      <c r="J54" s="358"/>
      <c r="K54" s="358"/>
      <c r="L54" s="358"/>
    </row>
    <row r="55" spans="1:14" x14ac:dyDescent="0.3">
      <c r="A55" s="7"/>
      <c r="B55" s="358"/>
      <c r="C55" s="358"/>
      <c r="D55" s="358"/>
      <c r="E55" s="358"/>
      <c r="F55" s="358"/>
      <c r="G55" s="358"/>
      <c r="H55" s="358"/>
      <c r="I55" s="358"/>
      <c r="J55" s="358"/>
      <c r="K55" s="358"/>
      <c r="L55" s="358"/>
    </row>
    <row r="56" spans="1:14" x14ac:dyDescent="0.3">
      <c r="A56" s="4"/>
      <c r="B56" s="4"/>
      <c r="C56" s="4"/>
      <c r="D56" s="4"/>
      <c r="E56" s="4"/>
      <c r="F56" s="4"/>
      <c r="G56" s="5"/>
      <c r="H56" s="5"/>
      <c r="I56" s="5"/>
      <c r="J56" s="5"/>
      <c r="K56" s="5"/>
      <c r="L56" s="5"/>
    </row>
    <row r="57" spans="1:14" x14ac:dyDescent="0.3">
      <c r="A57" s="10"/>
      <c r="F57" s="98"/>
      <c r="G57" s="103"/>
      <c r="H57" s="10"/>
      <c r="I57" s="10"/>
      <c r="J57" s="10"/>
      <c r="K57" s="10"/>
      <c r="L57" s="10"/>
    </row>
    <row r="58" spans="1:14" x14ac:dyDescent="0.3">
      <c r="A58" s="10" t="s">
        <v>10</v>
      </c>
      <c r="F58" s="98"/>
      <c r="G58" s="103"/>
      <c r="H58" s="10"/>
      <c r="I58" s="10"/>
      <c r="J58" s="10"/>
      <c r="K58" s="10"/>
      <c r="L58" s="10"/>
    </row>
    <row r="59" spans="1:14" x14ac:dyDescent="0.3">
      <c r="A59" s="10"/>
      <c r="B59" s="116"/>
      <c r="C59" s="147" t="s">
        <v>501</v>
      </c>
      <c r="D59" s="147"/>
      <c r="E59" s="147" t="s">
        <v>501</v>
      </c>
      <c r="F59" s="98"/>
      <c r="G59" s="103"/>
      <c r="H59" s="10"/>
      <c r="I59" s="10"/>
      <c r="J59" s="10"/>
      <c r="K59" s="10"/>
      <c r="L59" s="10"/>
    </row>
    <row r="60" spans="1:14" x14ac:dyDescent="0.3">
      <c r="A60" s="10"/>
      <c r="B60" s="116"/>
      <c r="C60" s="147" t="s">
        <v>520</v>
      </c>
      <c r="D60" s="147" t="s">
        <v>519</v>
      </c>
      <c r="E60" s="147" t="s">
        <v>520</v>
      </c>
      <c r="F60" s="98"/>
      <c r="G60" s="103"/>
      <c r="H60" s="10"/>
      <c r="I60" s="10"/>
      <c r="J60" s="10"/>
      <c r="K60" s="10"/>
      <c r="L60" s="10"/>
    </row>
    <row r="61" spans="1:14" x14ac:dyDescent="0.3">
      <c r="B61" s="109" t="s">
        <v>465</v>
      </c>
      <c r="C61" s="162" t="s">
        <v>521</v>
      </c>
      <c r="D61" s="162" t="s">
        <v>516</v>
      </c>
      <c r="E61" s="162" t="s">
        <v>522</v>
      </c>
      <c r="F61" s="98"/>
      <c r="G61" s="98"/>
      <c r="M61" s="10"/>
    </row>
    <row r="62" spans="1:14" x14ac:dyDescent="0.3">
      <c r="B62" s="116">
        <v>2014</v>
      </c>
      <c r="C62" s="324">
        <v>14251</v>
      </c>
      <c r="D62" s="273">
        <v>0.5</v>
      </c>
      <c r="E62" s="329">
        <f>C62/D62</f>
        <v>28502</v>
      </c>
      <c r="F62" s="98"/>
      <c r="G62" s="98"/>
      <c r="M62" s="10"/>
    </row>
    <row r="63" spans="1:14" x14ac:dyDescent="0.3">
      <c r="B63" s="116">
        <f>B62+1</f>
        <v>2015</v>
      </c>
      <c r="C63" s="324">
        <v>14662</v>
      </c>
      <c r="D63" s="273">
        <v>0.5</v>
      </c>
      <c r="E63" s="329">
        <f t="shared" ref="E63:E67" si="3">C63/D63</f>
        <v>29324</v>
      </c>
      <c r="F63" s="98"/>
      <c r="G63" s="98"/>
      <c r="M63" s="10"/>
    </row>
    <row r="64" spans="1:14" x14ac:dyDescent="0.3">
      <c r="B64" s="116">
        <f>B63+1</f>
        <v>2016</v>
      </c>
      <c r="C64" s="324">
        <v>15105</v>
      </c>
      <c r="D64" s="273">
        <v>0.5</v>
      </c>
      <c r="E64" s="329">
        <f t="shared" si="3"/>
        <v>30210</v>
      </c>
      <c r="F64" s="98"/>
      <c r="G64" s="98"/>
    </row>
    <row r="65" spans="2:8" x14ac:dyDescent="0.3">
      <c r="B65" s="116">
        <f>B64+1</f>
        <v>2017</v>
      </c>
      <c r="C65" s="324">
        <v>9320</v>
      </c>
      <c r="D65" s="273">
        <v>0.3</v>
      </c>
      <c r="E65" s="329">
        <f t="shared" si="3"/>
        <v>31066.666666666668</v>
      </c>
      <c r="F65" s="98"/>
      <c r="G65" s="98"/>
    </row>
    <row r="66" spans="2:8" x14ac:dyDescent="0.3">
      <c r="B66" s="116">
        <f>B65+1</f>
        <v>2018</v>
      </c>
      <c r="C66" s="324">
        <v>9517</v>
      </c>
      <c r="D66" s="273">
        <v>0.3</v>
      </c>
      <c r="E66" s="329">
        <f t="shared" si="3"/>
        <v>31723.333333333336</v>
      </c>
      <c r="F66" s="98"/>
      <c r="G66" s="98"/>
    </row>
    <row r="67" spans="2:8" x14ac:dyDescent="0.3">
      <c r="B67" s="109">
        <f>B66+1</f>
        <v>2019</v>
      </c>
      <c r="C67" s="330">
        <v>9750</v>
      </c>
      <c r="D67" s="307">
        <v>0.3</v>
      </c>
      <c r="E67" s="329">
        <f t="shared" si="3"/>
        <v>32500</v>
      </c>
      <c r="F67" s="98"/>
      <c r="G67" s="98"/>
    </row>
    <row r="68" spans="2:8" x14ac:dyDescent="0.3">
      <c r="B68" s="116"/>
      <c r="C68" s="324">
        <f>SUM(C62:C67)</f>
        <v>72605</v>
      </c>
      <c r="D68" s="324"/>
      <c r="E68" s="331">
        <f t="shared" ref="E68" si="4">SUM(E62:E67)</f>
        <v>183326</v>
      </c>
      <c r="F68" s="98"/>
      <c r="G68" s="98"/>
    </row>
    <row r="69" spans="2:8" x14ac:dyDescent="0.3">
      <c r="B69" s="98"/>
      <c r="C69" s="98"/>
      <c r="D69" s="98"/>
      <c r="E69" s="98"/>
      <c r="F69" s="98"/>
      <c r="G69" s="98"/>
    </row>
    <row r="70" spans="2:8" x14ac:dyDescent="0.3">
      <c r="B70" s="98" t="s">
        <v>523</v>
      </c>
      <c r="C70" s="98"/>
      <c r="D70" s="98"/>
      <c r="E70" s="183">
        <f>(1+0.04)*(1+0.01)-1</f>
        <v>5.04E-2</v>
      </c>
      <c r="F70" s="98"/>
      <c r="G70" s="98"/>
    </row>
    <row r="71" spans="2:8" x14ac:dyDescent="0.3">
      <c r="B71" s="98"/>
      <c r="C71" s="98"/>
      <c r="D71" s="98"/>
      <c r="E71" s="98"/>
      <c r="F71" s="98"/>
      <c r="G71" s="98"/>
    </row>
    <row r="72" spans="2:8" x14ac:dyDescent="0.3">
      <c r="B72" s="98"/>
      <c r="C72" s="116" t="s">
        <v>501</v>
      </c>
      <c r="D72" s="116"/>
      <c r="E72" s="116" t="s">
        <v>499</v>
      </c>
      <c r="F72" s="116" t="s">
        <v>524</v>
      </c>
      <c r="G72" s="98"/>
    </row>
    <row r="73" spans="2:8" x14ac:dyDescent="0.3">
      <c r="B73" s="98"/>
      <c r="C73" s="116" t="s">
        <v>353</v>
      </c>
      <c r="D73" s="116" t="s">
        <v>102</v>
      </c>
      <c r="E73" s="116" t="s">
        <v>495</v>
      </c>
      <c r="F73" s="179" t="s">
        <v>2</v>
      </c>
      <c r="G73" s="98"/>
    </row>
    <row r="74" spans="2:8" x14ac:dyDescent="0.3">
      <c r="B74" s="325" t="s">
        <v>465</v>
      </c>
      <c r="C74" s="109" t="s">
        <v>500</v>
      </c>
      <c r="D74" s="109" t="s">
        <v>1</v>
      </c>
      <c r="E74" s="109" t="str">
        <f>TEXT(100*E70,"0.00")&amp;"%"</f>
        <v>5.04%</v>
      </c>
      <c r="F74" s="109" t="s">
        <v>1</v>
      </c>
      <c r="G74" s="98"/>
    </row>
    <row r="75" spans="2:8" x14ac:dyDescent="0.3">
      <c r="B75" s="116">
        <f>B76-1</f>
        <v>2014</v>
      </c>
      <c r="C75" s="112">
        <f t="shared" ref="C75:C80" si="5">E62</f>
        <v>28502</v>
      </c>
      <c r="D75" s="101">
        <f t="shared" ref="D75:D80" si="6">I42</f>
        <v>15235.8</v>
      </c>
      <c r="E75" s="111">
        <f t="shared" ref="E75:E80" si="7">(1+$E$70)^($B$80-B75)</f>
        <v>1.2787144279057341</v>
      </c>
      <c r="F75" s="183">
        <f>D75*E75/C75</f>
        <v>0.68353930533598284</v>
      </c>
      <c r="G75" s="98"/>
      <c r="H75"/>
    </row>
    <row r="76" spans="2:8" x14ac:dyDescent="0.3">
      <c r="B76" s="116">
        <f>B77-1</f>
        <v>2015</v>
      </c>
      <c r="C76" s="112">
        <f t="shared" si="5"/>
        <v>29324</v>
      </c>
      <c r="D76" s="101">
        <f t="shared" si="6"/>
        <v>16610.168634243833</v>
      </c>
      <c r="E76" s="111">
        <f t="shared" si="7"/>
        <v>1.2173595086688254</v>
      </c>
      <c r="F76" s="183">
        <f>D76*E76/C76</f>
        <v>0.68955622450857346</v>
      </c>
      <c r="G76" s="98"/>
      <c r="H76"/>
    </row>
    <row r="77" spans="2:8" x14ac:dyDescent="0.3">
      <c r="B77" s="116">
        <f>B78-1</f>
        <v>2016</v>
      </c>
      <c r="C77" s="112">
        <f t="shared" si="5"/>
        <v>30210</v>
      </c>
      <c r="D77" s="101">
        <f t="shared" si="6"/>
        <v>17663.946892763608</v>
      </c>
      <c r="E77" s="111">
        <f t="shared" si="7"/>
        <v>1.158948504064</v>
      </c>
      <c r="F77" s="183">
        <f>D77*E77/C77</f>
        <v>0.67764332430434704</v>
      </c>
      <c r="G77" s="98"/>
      <c r="H77"/>
    </row>
    <row r="78" spans="2:8" x14ac:dyDescent="0.3">
      <c r="B78" s="116">
        <f>B79-1</f>
        <v>2017</v>
      </c>
      <c r="C78" s="112">
        <f t="shared" si="5"/>
        <v>31066.666666666668</v>
      </c>
      <c r="D78" s="101">
        <f t="shared" si="6"/>
        <v>18901.288231686976</v>
      </c>
      <c r="E78" s="111">
        <f t="shared" si="7"/>
        <v>1.1033401599999999</v>
      </c>
      <c r="F78" s="183">
        <f>D78*E78/C78</f>
        <v>0.67128381057153297</v>
      </c>
      <c r="G78" s="98"/>
      <c r="H78"/>
    </row>
    <row r="79" spans="2:8" x14ac:dyDescent="0.3">
      <c r="B79" s="116">
        <f>B80-1</f>
        <v>2018</v>
      </c>
      <c r="C79" s="112">
        <f t="shared" si="5"/>
        <v>31723.333333333336</v>
      </c>
      <c r="D79" s="101">
        <f t="shared" si="6"/>
        <v>21931.670922894496</v>
      </c>
      <c r="E79" s="111">
        <f t="shared" si="7"/>
        <v>1.0504</v>
      </c>
      <c r="F79" s="183">
        <f>D79*E79/C79</f>
        <v>0.72618557751628798</v>
      </c>
      <c r="G79" s="98"/>
      <c r="H79"/>
    </row>
    <row r="80" spans="2:8" x14ac:dyDescent="0.3">
      <c r="B80" s="109">
        <v>2019</v>
      </c>
      <c r="C80" s="115">
        <f t="shared" si="5"/>
        <v>32500</v>
      </c>
      <c r="D80" s="327">
        <f t="shared" si="6"/>
        <v>22423.682171655804</v>
      </c>
      <c r="E80" s="114">
        <f t="shared" si="7"/>
        <v>1</v>
      </c>
      <c r="F80" s="328"/>
      <c r="G80" s="98"/>
    </row>
    <row r="81" spans="1:14" x14ac:dyDescent="0.3">
      <c r="B81" s="98"/>
      <c r="C81" s="98"/>
      <c r="D81" s="98"/>
      <c r="E81" s="98"/>
      <c r="F81" s="98"/>
      <c r="G81" s="98"/>
    </row>
    <row r="82" spans="1:14" x14ac:dyDescent="0.3">
      <c r="B82" s="98" t="str">
        <f>"Average trended on-level claim ratio at AY"&amp;B80&amp;" cost and rate level (excl. "&amp;B80&amp;")"</f>
        <v>Average trended on-level claim ratio at AY2019 cost and rate level (excl. 2019)</v>
      </c>
      <c r="C82" s="98"/>
      <c r="D82" s="98"/>
      <c r="E82" s="98"/>
      <c r="F82" s="98"/>
      <c r="G82" s="98"/>
      <c r="H82" s="182">
        <f>AVERAGE(F75:F79)</f>
        <v>0.68964164844734488</v>
      </c>
      <c r="I82"/>
    </row>
    <row r="84" spans="1:14" x14ac:dyDescent="0.3">
      <c r="A84" s="7" t="s">
        <v>11</v>
      </c>
      <c r="B84" s="5" t="s">
        <v>257</v>
      </c>
      <c r="C84" s="5"/>
      <c r="D84" s="5"/>
      <c r="E84" s="5"/>
      <c r="F84" s="5"/>
      <c r="G84" s="5"/>
      <c r="H84" s="5"/>
      <c r="I84" s="5"/>
      <c r="J84" s="5"/>
      <c r="K84" s="5"/>
      <c r="L84" s="5"/>
    </row>
    <row r="85" spans="1:14" x14ac:dyDescent="0.3">
      <c r="A85" s="4"/>
      <c r="B85" s="4"/>
      <c r="C85" s="4"/>
      <c r="D85" s="4"/>
      <c r="E85" s="4"/>
      <c r="F85" s="4"/>
      <c r="G85" s="5"/>
      <c r="H85" s="5"/>
      <c r="I85" s="5"/>
      <c r="J85" s="5"/>
      <c r="K85" s="5"/>
      <c r="L85" s="5"/>
    </row>
    <row r="86" spans="1:14" x14ac:dyDescent="0.3">
      <c r="A86" s="10"/>
      <c r="B86" s="10"/>
      <c r="C86" s="10"/>
      <c r="D86" s="10"/>
      <c r="E86" s="10"/>
      <c r="F86" s="10"/>
      <c r="G86" s="10"/>
      <c r="H86" s="10"/>
      <c r="I86" s="10"/>
      <c r="J86" s="10"/>
      <c r="K86" s="10"/>
      <c r="L86" s="10"/>
    </row>
    <row r="87" spans="1:14" x14ac:dyDescent="0.3">
      <c r="A87" s="10" t="s">
        <v>10</v>
      </c>
      <c r="B87" s="10"/>
      <c r="C87" s="10"/>
      <c r="D87" s="10"/>
      <c r="E87" s="10"/>
      <c r="F87" s="10"/>
      <c r="G87" s="10"/>
      <c r="H87" s="10"/>
      <c r="I87" s="10"/>
      <c r="J87" s="10"/>
      <c r="K87" s="10"/>
      <c r="L87" s="10"/>
    </row>
    <row r="88" spans="1:14" x14ac:dyDescent="0.3">
      <c r="B88" s="98"/>
      <c r="C88" s="179" t="s">
        <v>501</v>
      </c>
      <c r="D88" s="332"/>
      <c r="E88" s="125"/>
    </row>
    <row r="89" spans="1:14" x14ac:dyDescent="0.3">
      <c r="B89" s="98"/>
      <c r="C89" s="116" t="s">
        <v>353</v>
      </c>
      <c r="D89" s="116" t="s">
        <v>495</v>
      </c>
      <c r="E89" s="116" t="s">
        <v>499</v>
      </c>
      <c r="F89" s="346" t="s">
        <v>325</v>
      </c>
      <c r="G89" s="346"/>
      <c r="M89" s="10"/>
      <c r="N89" s="10"/>
    </row>
    <row r="90" spans="1:14" x14ac:dyDescent="0.3">
      <c r="B90" s="325" t="s">
        <v>465</v>
      </c>
      <c r="C90" s="109" t="s">
        <v>500</v>
      </c>
      <c r="D90" s="291">
        <f>E70</f>
        <v>5.04E-2</v>
      </c>
      <c r="E90" s="109" t="s">
        <v>503</v>
      </c>
      <c r="F90" s="109" t="s">
        <v>524</v>
      </c>
      <c r="G90" s="297" t="s">
        <v>525</v>
      </c>
      <c r="M90" s="10"/>
      <c r="N90" s="10"/>
    </row>
    <row r="91" spans="1:14" x14ac:dyDescent="0.3">
      <c r="B91" s="116">
        <f>B92-1</f>
        <v>2014</v>
      </c>
      <c r="C91" s="112">
        <f t="shared" ref="C91:C96" si="8">E62</f>
        <v>28502</v>
      </c>
      <c r="D91" s="111">
        <f t="shared" ref="D91:D96" si="9">E75</f>
        <v>1.2787144279057341</v>
      </c>
      <c r="E91" s="326">
        <f>H82/D91</f>
        <v>0.5393242098447526</v>
      </c>
      <c r="F91" s="112">
        <f>C91*E91</f>
        <v>15371.818628995139</v>
      </c>
      <c r="G91" s="316">
        <f t="shared" ref="G91:G96" si="10">F91*D62</f>
        <v>7685.9093144975695</v>
      </c>
      <c r="M91" s="10"/>
      <c r="N91" s="10"/>
    </row>
    <row r="92" spans="1:14" x14ac:dyDescent="0.3">
      <c r="B92" s="116">
        <f>B93-1</f>
        <v>2015</v>
      </c>
      <c r="C92" s="112">
        <f t="shared" si="8"/>
        <v>29324</v>
      </c>
      <c r="D92" s="111">
        <f t="shared" si="9"/>
        <v>1.2173595086688254</v>
      </c>
      <c r="E92" s="326">
        <f>H82/D92</f>
        <v>0.56650615002092808</v>
      </c>
      <c r="F92" s="112">
        <f t="shared" ref="F92:F96" si="11">C92*E92</f>
        <v>16612.226343213693</v>
      </c>
      <c r="G92" s="316">
        <f t="shared" si="10"/>
        <v>8306.1131716068467</v>
      </c>
      <c r="M92" s="10"/>
      <c r="N92" s="10"/>
    </row>
    <row r="93" spans="1:14" x14ac:dyDescent="0.3">
      <c r="B93" s="116">
        <f>B94-1</f>
        <v>2016</v>
      </c>
      <c r="C93" s="112">
        <f t="shared" si="8"/>
        <v>30210</v>
      </c>
      <c r="D93" s="111">
        <f t="shared" si="9"/>
        <v>1.158948504064</v>
      </c>
      <c r="E93" s="326">
        <f>H82/D93</f>
        <v>0.5950580599819828</v>
      </c>
      <c r="F93" s="112">
        <f t="shared" si="11"/>
        <v>17976.7039920557</v>
      </c>
      <c r="G93" s="316">
        <f t="shared" si="10"/>
        <v>8988.35199602785</v>
      </c>
      <c r="M93" s="10"/>
      <c r="N93" s="10"/>
    </row>
    <row r="94" spans="1:14" x14ac:dyDescent="0.3">
      <c r="B94" s="116">
        <f>B95-1</f>
        <v>2017</v>
      </c>
      <c r="C94" s="112">
        <f t="shared" si="8"/>
        <v>31066.666666666668</v>
      </c>
      <c r="D94" s="111">
        <f t="shared" si="9"/>
        <v>1.1033401599999999</v>
      </c>
      <c r="E94" s="326">
        <f>H82/D94</f>
        <v>0.62504898620507476</v>
      </c>
      <c r="F94" s="112">
        <f t="shared" si="11"/>
        <v>19418.188504770991</v>
      </c>
      <c r="G94" s="316">
        <f t="shared" si="10"/>
        <v>5825.4565514312972</v>
      </c>
      <c r="M94" s="10"/>
      <c r="N94" s="10"/>
    </row>
    <row r="95" spans="1:14" x14ac:dyDescent="0.3">
      <c r="B95" s="116">
        <f>B96-1</f>
        <v>2018</v>
      </c>
      <c r="C95" s="112">
        <f t="shared" si="8"/>
        <v>31723.333333333336</v>
      </c>
      <c r="D95" s="111">
        <f t="shared" si="9"/>
        <v>1.0504</v>
      </c>
      <c r="E95" s="326">
        <f>H82/D95</f>
        <v>0.65655145510981039</v>
      </c>
      <c r="F95" s="112">
        <f t="shared" si="11"/>
        <v>20828.000660933554</v>
      </c>
      <c r="G95" s="316">
        <f t="shared" si="10"/>
        <v>6248.4001982800664</v>
      </c>
      <c r="M95" s="10"/>
      <c r="N95" s="10"/>
    </row>
    <row r="96" spans="1:14" x14ac:dyDescent="0.3">
      <c r="B96" s="109">
        <v>2019</v>
      </c>
      <c r="C96" s="115">
        <f t="shared" si="8"/>
        <v>32500</v>
      </c>
      <c r="D96" s="114">
        <f t="shared" si="9"/>
        <v>1</v>
      </c>
      <c r="E96" s="328">
        <f>H82/D96</f>
        <v>0.68964164844734488</v>
      </c>
      <c r="F96" s="115">
        <f t="shared" si="11"/>
        <v>22413.353574538709</v>
      </c>
      <c r="G96" s="333">
        <f t="shared" si="10"/>
        <v>6724.0060723616125</v>
      </c>
      <c r="M96" s="10"/>
      <c r="N96" s="10"/>
    </row>
    <row r="97" spans="1:14" x14ac:dyDescent="0.3">
      <c r="B97" s="98"/>
      <c r="C97" s="98"/>
      <c r="D97" s="98"/>
      <c r="E97" s="98"/>
      <c r="F97" s="98"/>
      <c r="G97" s="316">
        <f>SUM(G91:G96)</f>
        <v>43778.237304205242</v>
      </c>
      <c r="M97" s="10"/>
      <c r="N97" s="10"/>
    </row>
    <row r="99" spans="1:14" x14ac:dyDescent="0.3">
      <c r="A99" s="357" t="s">
        <v>301</v>
      </c>
      <c r="B99" s="358"/>
      <c r="C99" s="358"/>
      <c r="D99" s="358"/>
      <c r="E99" s="358"/>
      <c r="F99" s="358"/>
      <c r="G99" s="358"/>
      <c r="H99" s="358"/>
      <c r="I99" s="358"/>
      <c r="J99" s="358"/>
      <c r="K99" s="358"/>
      <c r="L99" s="358"/>
    </row>
    <row r="100" spans="1:14" x14ac:dyDescent="0.3">
      <c r="A100" s="358"/>
      <c r="B100" s="358"/>
      <c r="C100" s="358"/>
      <c r="D100" s="358"/>
      <c r="E100" s="358"/>
      <c r="F100" s="358"/>
      <c r="G100" s="358"/>
      <c r="H100" s="358"/>
      <c r="I100" s="358"/>
      <c r="J100" s="358"/>
      <c r="K100" s="358"/>
      <c r="L100" s="358"/>
    </row>
    <row r="101" spans="1:14" x14ac:dyDescent="0.3">
      <c r="A101" s="23"/>
      <c r="B101" s="23"/>
      <c r="C101" s="23"/>
      <c r="D101" s="23"/>
      <c r="E101" s="23"/>
      <c r="F101" s="23"/>
      <c r="G101" s="23"/>
      <c r="H101" s="23"/>
      <c r="I101" s="23"/>
      <c r="J101" s="23"/>
      <c r="K101" s="23"/>
      <c r="L101" s="23"/>
    </row>
    <row r="103" spans="1:14" x14ac:dyDescent="0.3">
      <c r="A103" s="7" t="s">
        <v>12</v>
      </c>
      <c r="B103" s="5" t="s">
        <v>258</v>
      </c>
      <c r="C103" s="5"/>
      <c r="D103" s="5"/>
      <c r="E103" s="5"/>
      <c r="F103" s="5"/>
      <c r="G103" s="5"/>
      <c r="H103" s="5"/>
      <c r="I103" s="5"/>
      <c r="J103" s="5"/>
      <c r="K103" s="5"/>
      <c r="L103" s="5"/>
    </row>
    <row r="104" spans="1:14" x14ac:dyDescent="0.3">
      <c r="A104" s="4"/>
      <c r="B104" s="4"/>
      <c r="C104" s="4"/>
      <c r="D104" s="4"/>
      <c r="E104" s="4"/>
      <c r="F104" s="4"/>
      <c r="G104" s="5"/>
      <c r="H104" s="5"/>
      <c r="I104" s="5"/>
      <c r="J104" s="5"/>
      <c r="K104" s="5"/>
      <c r="L104" s="5"/>
    </row>
    <row r="105" spans="1:14" x14ac:dyDescent="0.3">
      <c r="A105" s="10"/>
      <c r="H105" s="10"/>
      <c r="I105" s="10"/>
      <c r="J105" s="10"/>
      <c r="K105" s="10"/>
      <c r="L105" s="10"/>
    </row>
    <row r="106" spans="1:14" x14ac:dyDescent="0.3">
      <c r="A106" s="10" t="s">
        <v>10</v>
      </c>
      <c r="H106" s="10"/>
      <c r="I106" s="10"/>
      <c r="J106" s="10"/>
      <c r="K106" s="10"/>
      <c r="L106" s="10"/>
    </row>
    <row r="107" spans="1:14" x14ac:dyDescent="0.3">
      <c r="A107" s="10"/>
      <c r="B107" s="98"/>
      <c r="C107" s="116" t="s">
        <v>353</v>
      </c>
      <c r="D107" s="116" t="s">
        <v>495</v>
      </c>
      <c r="E107" s="116" t="s">
        <v>499</v>
      </c>
      <c r="F107" s="346" t="s">
        <v>325</v>
      </c>
      <c r="G107" s="346"/>
      <c r="H107" s="10"/>
      <c r="I107" s="10"/>
      <c r="J107" s="10"/>
      <c r="K107" s="10"/>
      <c r="L107" s="10"/>
    </row>
    <row r="108" spans="1:14" x14ac:dyDescent="0.3">
      <c r="B108" s="325" t="s">
        <v>465</v>
      </c>
      <c r="C108" s="109" t="s">
        <v>500</v>
      </c>
      <c r="D108" s="291">
        <f>E70</f>
        <v>5.04E-2</v>
      </c>
      <c r="E108" s="109" t="s">
        <v>503</v>
      </c>
      <c r="F108" s="109" t="s">
        <v>524</v>
      </c>
      <c r="G108" s="109" t="s">
        <v>525</v>
      </c>
    </row>
    <row r="109" spans="1:14" x14ac:dyDescent="0.3">
      <c r="B109" s="116">
        <v>2020</v>
      </c>
      <c r="C109" s="112">
        <v>33000000</v>
      </c>
      <c r="D109" s="111">
        <f>1+E70</f>
        <v>1.0504</v>
      </c>
      <c r="E109" s="183">
        <f>$H$82*D109</f>
        <v>0.72439958752909106</v>
      </c>
      <c r="F109" s="112">
        <f>C109*E109</f>
        <v>23905186.388460007</v>
      </c>
      <c r="G109" s="316">
        <f>F109*D67</f>
        <v>7171555.916538002</v>
      </c>
    </row>
    <row r="111" spans="1:14" x14ac:dyDescent="0.3">
      <c r="A111" s="23" t="s">
        <v>90</v>
      </c>
      <c r="B111" s="23"/>
      <c r="C111" s="23"/>
      <c r="D111" s="23"/>
      <c r="E111" s="23"/>
      <c r="F111" s="23"/>
      <c r="G111" s="23"/>
      <c r="H111" s="23"/>
      <c r="I111" s="23"/>
      <c r="J111" s="23"/>
      <c r="K111" s="23"/>
      <c r="L111" s="23"/>
    </row>
    <row r="112" spans="1:14" x14ac:dyDescent="0.3">
      <c r="A112" s="23"/>
      <c r="B112" s="42" t="s">
        <v>63</v>
      </c>
      <c r="C112" s="385" t="s">
        <v>259</v>
      </c>
      <c r="D112" s="358"/>
      <c r="E112" s="358"/>
      <c r="F112" s="358"/>
      <c r="G112" s="358"/>
      <c r="H112" s="358"/>
      <c r="I112" s="358"/>
      <c r="J112" s="358"/>
      <c r="K112" s="358"/>
      <c r="L112" s="358"/>
    </row>
    <row r="113" spans="1:12" x14ac:dyDescent="0.3">
      <c r="A113" s="23"/>
      <c r="B113" s="23"/>
      <c r="C113" s="358"/>
      <c r="D113" s="358"/>
      <c r="E113" s="358"/>
      <c r="F113" s="358"/>
      <c r="G113" s="358"/>
      <c r="H113" s="358"/>
      <c r="I113" s="358"/>
      <c r="J113" s="358"/>
      <c r="K113" s="358"/>
      <c r="L113" s="358"/>
    </row>
    <row r="114" spans="1:12" x14ac:dyDescent="0.3">
      <c r="A114" s="23"/>
      <c r="B114" s="42" t="s">
        <v>63</v>
      </c>
      <c r="C114" s="385" t="s">
        <v>302</v>
      </c>
      <c r="D114" s="358"/>
      <c r="E114" s="358"/>
      <c r="F114" s="358"/>
      <c r="G114" s="358"/>
      <c r="H114" s="358"/>
      <c r="I114" s="358"/>
      <c r="J114" s="358"/>
      <c r="K114" s="358"/>
      <c r="L114" s="358"/>
    </row>
    <row r="115" spans="1:12" x14ac:dyDescent="0.3">
      <c r="A115" s="23"/>
      <c r="B115" s="23"/>
      <c r="C115" s="358"/>
      <c r="D115" s="358"/>
      <c r="E115" s="358"/>
      <c r="F115" s="358"/>
      <c r="G115" s="358"/>
      <c r="H115" s="358"/>
      <c r="I115" s="358"/>
      <c r="J115" s="358"/>
      <c r="K115" s="358"/>
      <c r="L115" s="358"/>
    </row>
    <row r="116" spans="1:12" x14ac:dyDescent="0.3">
      <c r="A116" s="23"/>
      <c r="B116" s="23"/>
      <c r="C116" s="23"/>
      <c r="D116" s="23"/>
      <c r="E116" s="23"/>
      <c r="F116" s="23"/>
      <c r="G116" s="23"/>
      <c r="H116" s="23"/>
      <c r="I116" s="23"/>
      <c r="J116" s="23"/>
      <c r="K116" s="23"/>
      <c r="L116" s="23"/>
    </row>
    <row r="118" spans="1:12" x14ac:dyDescent="0.3">
      <c r="A118" s="7" t="s">
        <v>22</v>
      </c>
      <c r="B118" s="5" t="s">
        <v>260</v>
      </c>
      <c r="C118" s="5"/>
      <c r="D118" s="5"/>
      <c r="E118" s="5"/>
      <c r="F118" s="5"/>
      <c r="G118" s="5"/>
      <c r="H118" s="5"/>
      <c r="I118" s="5"/>
      <c r="J118" s="5"/>
      <c r="K118" s="5"/>
      <c r="L118" s="5"/>
    </row>
    <row r="119" spans="1:12" x14ac:dyDescent="0.3">
      <c r="A119" s="4"/>
      <c r="B119" s="4"/>
      <c r="C119" s="4"/>
      <c r="D119" s="4"/>
      <c r="E119" s="4"/>
      <c r="F119" s="4"/>
      <c r="G119" s="5"/>
      <c r="H119" s="5"/>
      <c r="I119" s="5"/>
      <c r="J119" s="5"/>
      <c r="K119" s="5"/>
      <c r="L119" s="5"/>
    </row>
    <row r="120" spans="1:12" x14ac:dyDescent="0.3">
      <c r="A120" s="10"/>
      <c r="B120" s="10"/>
      <c r="C120" s="10"/>
      <c r="D120" s="10"/>
      <c r="E120" s="10"/>
      <c r="F120" s="10"/>
      <c r="G120" s="10"/>
      <c r="H120" s="10"/>
      <c r="I120" s="10"/>
      <c r="J120" s="10"/>
      <c r="K120" s="10"/>
      <c r="L120" s="10"/>
    </row>
    <row r="121" spans="1:12" x14ac:dyDescent="0.3">
      <c r="A121" s="10" t="s">
        <v>10</v>
      </c>
      <c r="B121" s="10"/>
      <c r="C121" s="10"/>
      <c r="D121" s="10"/>
      <c r="E121" s="10"/>
      <c r="F121" s="10"/>
      <c r="G121" s="10"/>
      <c r="H121" s="10"/>
      <c r="I121" s="10"/>
      <c r="J121" s="10"/>
      <c r="K121" s="10"/>
      <c r="L121" s="10"/>
    </row>
    <row r="122" spans="1:12" x14ac:dyDescent="0.3">
      <c r="B122" s="98"/>
      <c r="C122" s="116" t="s">
        <v>353</v>
      </c>
      <c r="D122" s="116" t="s">
        <v>499</v>
      </c>
      <c r="E122" s="116" t="s">
        <v>526</v>
      </c>
      <c r="F122" s="116" t="s">
        <v>527</v>
      </c>
      <c r="G122" s="116" t="s">
        <v>40</v>
      </c>
    </row>
    <row r="123" spans="1:12" x14ac:dyDescent="0.3">
      <c r="B123" s="325"/>
      <c r="C123" s="109" t="s">
        <v>500</v>
      </c>
      <c r="D123" s="109" t="s">
        <v>503</v>
      </c>
      <c r="E123" s="109" t="s">
        <v>528</v>
      </c>
      <c r="F123" s="109" t="s">
        <v>529</v>
      </c>
      <c r="G123" s="109" t="s">
        <v>1</v>
      </c>
    </row>
    <row r="124" spans="1:12" x14ac:dyDescent="0.3">
      <c r="B124" s="116" t="s">
        <v>530</v>
      </c>
      <c r="C124" s="112">
        <f>C109*(1-0.15)</f>
        <v>28050000</v>
      </c>
      <c r="D124" s="334">
        <f>E109*(1-0.2)*(1+0.1)/(1-0.15)</f>
        <v>0.7499666317948237</v>
      </c>
      <c r="E124" s="308">
        <v>0</v>
      </c>
      <c r="F124" s="308">
        <v>0.3</v>
      </c>
      <c r="G124" s="112">
        <f>C124*D124*F124</f>
        <v>6310969.2065534415</v>
      </c>
    </row>
  </sheetData>
  <mergeCells count="14">
    <mergeCell ref="A6:L7"/>
    <mergeCell ref="A99:L100"/>
    <mergeCell ref="C112:L113"/>
    <mergeCell ref="C114:L115"/>
    <mergeCell ref="B12:B13"/>
    <mergeCell ref="B11:I11"/>
    <mergeCell ref="C12:C13"/>
    <mergeCell ref="D12:I12"/>
    <mergeCell ref="B26:L27"/>
    <mergeCell ref="B54:L55"/>
    <mergeCell ref="F89:G89"/>
    <mergeCell ref="F107:G107"/>
    <mergeCell ref="C31:H31"/>
    <mergeCell ref="C40:H40"/>
  </mergeCells>
  <pageMargins left="0.39370078740157483" right="0.39370078740157483" top="0.39370078740157483" bottom="0.39370078740157483" header="0.31496062992125984" footer="0.31496062992125984"/>
  <pageSetup scale="84" orientation="portrait" verticalDpi="1200" r:id="rId1"/>
  <headerFooter>
    <oddFooter>&amp;L&amp;F [&amp;A]&amp;R&amp;P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F77D9-F95B-4CD4-9606-6C1926C866B6}">
  <dimension ref="A1:R81"/>
  <sheetViews>
    <sheetView zoomScaleNormal="100" workbookViewId="0"/>
  </sheetViews>
  <sheetFormatPr defaultRowHeight="15.6" x14ac:dyDescent="0.3"/>
  <cols>
    <col min="1" max="1" width="8.88671875" style="2" customWidth="1"/>
    <col min="2" max="7" width="11.77734375" style="2" customWidth="1"/>
    <col min="8" max="12" width="10.77734375" style="2" customWidth="1"/>
    <col min="13" max="16384" width="8.88671875" style="2"/>
  </cols>
  <sheetData>
    <row r="1" spans="1:12" ht="17.399999999999999" x14ac:dyDescent="0.3">
      <c r="A1" s="3" t="s">
        <v>261</v>
      </c>
      <c r="B1" s="5"/>
      <c r="C1" s="23" t="s">
        <v>34</v>
      </c>
      <c r="D1" s="5"/>
      <c r="E1" s="5"/>
      <c r="F1" s="5"/>
      <c r="G1" s="5"/>
      <c r="H1" s="5"/>
      <c r="I1" s="5"/>
      <c r="J1" s="5"/>
      <c r="K1" s="5"/>
      <c r="L1" s="4"/>
    </row>
    <row r="2" spans="1:12" x14ac:dyDescent="0.3">
      <c r="A2" s="5"/>
      <c r="B2" s="5"/>
      <c r="C2" s="5"/>
      <c r="D2" s="5"/>
      <c r="E2" s="5"/>
      <c r="F2" s="5"/>
      <c r="G2" s="5"/>
      <c r="H2" s="5"/>
      <c r="I2" s="5"/>
      <c r="J2" s="5"/>
      <c r="K2" s="5"/>
      <c r="L2" s="4"/>
    </row>
    <row r="3" spans="1:12" x14ac:dyDescent="0.3">
      <c r="A3" s="357" t="s">
        <v>262</v>
      </c>
      <c r="B3" s="358"/>
      <c r="C3" s="358"/>
      <c r="D3" s="358"/>
      <c r="E3" s="358"/>
      <c r="F3" s="358"/>
      <c r="G3" s="358"/>
      <c r="H3" s="358"/>
      <c r="I3" s="358"/>
      <c r="J3" s="358"/>
      <c r="K3" s="358"/>
      <c r="L3" s="358"/>
    </row>
    <row r="4" spans="1:12" x14ac:dyDescent="0.3">
      <c r="A4" s="358"/>
      <c r="B4" s="358"/>
      <c r="C4" s="358"/>
      <c r="D4" s="358"/>
      <c r="E4" s="358"/>
      <c r="F4" s="358"/>
      <c r="G4" s="358"/>
      <c r="H4" s="358"/>
      <c r="I4" s="358"/>
      <c r="J4" s="358"/>
      <c r="K4" s="358"/>
      <c r="L4" s="358"/>
    </row>
    <row r="5" spans="1:12" x14ac:dyDescent="0.3">
      <c r="A5" s="23"/>
      <c r="B5" s="23"/>
      <c r="C5" s="23"/>
      <c r="D5" s="23"/>
      <c r="E5" s="23"/>
      <c r="F5" s="23"/>
      <c r="G5" s="23"/>
      <c r="H5" s="23"/>
      <c r="I5" s="23"/>
      <c r="J5" s="23"/>
      <c r="K5" s="23"/>
      <c r="L5" s="23"/>
    </row>
    <row r="6" spans="1:12" x14ac:dyDescent="0.3">
      <c r="A6" s="23"/>
      <c r="B6" s="370" t="s">
        <v>127</v>
      </c>
      <c r="C6" s="369" t="s">
        <v>263</v>
      </c>
      <c r="D6" s="369"/>
      <c r="E6" s="369"/>
      <c r="F6" s="369"/>
      <c r="G6" s="369"/>
      <c r="H6" s="23"/>
      <c r="I6" s="23"/>
      <c r="J6" s="23"/>
      <c r="K6" s="23"/>
      <c r="L6" s="23"/>
    </row>
    <row r="7" spans="1:12" x14ac:dyDescent="0.3">
      <c r="A7" s="23"/>
      <c r="B7" s="370"/>
      <c r="C7" s="60">
        <v>12</v>
      </c>
      <c r="D7" s="60">
        <v>24</v>
      </c>
      <c r="E7" s="60">
        <v>36</v>
      </c>
      <c r="F7" s="60">
        <v>48</v>
      </c>
      <c r="G7" s="60">
        <v>60</v>
      </c>
      <c r="H7" s="23"/>
      <c r="I7" s="23"/>
      <c r="J7" s="23"/>
      <c r="K7" s="23"/>
      <c r="L7" s="23"/>
    </row>
    <row r="8" spans="1:12" x14ac:dyDescent="0.3">
      <c r="A8" s="23"/>
      <c r="B8" s="53">
        <v>2015</v>
      </c>
      <c r="C8" s="53">
        <v>618</v>
      </c>
      <c r="D8" s="53">
        <v>860</v>
      </c>
      <c r="E8" s="54">
        <v>1042</v>
      </c>
      <c r="F8" s="54">
        <v>1187</v>
      </c>
      <c r="G8" s="54">
        <v>1256</v>
      </c>
      <c r="H8" s="23"/>
      <c r="I8" s="23"/>
      <c r="J8" s="23"/>
      <c r="K8" s="23"/>
      <c r="L8" s="23"/>
    </row>
    <row r="9" spans="1:12" x14ac:dyDescent="0.3">
      <c r="A9" s="23"/>
      <c r="B9" s="53">
        <v>2016</v>
      </c>
      <c r="C9" s="53">
        <v>801</v>
      </c>
      <c r="D9" s="54">
        <v>1035</v>
      </c>
      <c r="E9" s="54">
        <v>1273</v>
      </c>
      <c r="F9" s="54">
        <v>1426</v>
      </c>
      <c r="G9" s="53"/>
      <c r="H9" s="23"/>
      <c r="I9" s="23"/>
      <c r="J9" s="23"/>
      <c r="K9" s="23"/>
      <c r="L9" s="23"/>
    </row>
    <row r="10" spans="1:12" x14ac:dyDescent="0.3">
      <c r="A10" s="23"/>
      <c r="B10" s="53">
        <v>2017</v>
      </c>
      <c r="C10" s="53">
        <v>627</v>
      </c>
      <c r="D10" s="53">
        <v>882</v>
      </c>
      <c r="E10" s="54">
        <v>1082</v>
      </c>
      <c r="F10" s="53"/>
      <c r="G10" s="53"/>
      <c r="H10" s="23"/>
      <c r="I10" s="23"/>
      <c r="J10" s="23"/>
      <c r="K10" s="23"/>
      <c r="L10" s="23"/>
    </row>
    <row r="11" spans="1:12" x14ac:dyDescent="0.3">
      <c r="A11" s="23"/>
      <c r="B11" s="53">
        <v>2018</v>
      </c>
      <c r="C11" s="53">
        <v>606</v>
      </c>
      <c r="D11" s="53">
        <v>929</v>
      </c>
      <c r="E11" s="53"/>
      <c r="F11" s="53"/>
      <c r="G11" s="53"/>
      <c r="H11" s="23"/>
      <c r="I11" s="23"/>
      <c r="J11" s="23"/>
      <c r="K11" s="23"/>
      <c r="L11" s="23"/>
    </row>
    <row r="12" spans="1:12" x14ac:dyDescent="0.3">
      <c r="A12" s="23"/>
      <c r="B12" s="53">
        <v>2019</v>
      </c>
      <c r="C12" s="53">
        <v>699</v>
      </c>
      <c r="D12" s="53"/>
      <c r="E12" s="53"/>
      <c r="F12" s="53"/>
      <c r="G12" s="53"/>
      <c r="H12" s="23"/>
      <c r="I12" s="23"/>
      <c r="J12" s="23"/>
      <c r="K12" s="23"/>
      <c r="L12" s="23"/>
    </row>
    <row r="13" spans="1:12" x14ac:dyDescent="0.3">
      <c r="A13" s="23"/>
      <c r="B13" s="23"/>
      <c r="C13" s="23"/>
      <c r="D13" s="23"/>
      <c r="E13" s="23"/>
      <c r="F13" s="23"/>
      <c r="G13" s="23"/>
      <c r="H13" s="23"/>
      <c r="I13" s="23"/>
      <c r="J13" s="23"/>
      <c r="K13" s="23"/>
      <c r="L13" s="23"/>
    </row>
    <row r="14" spans="1:12" x14ac:dyDescent="0.3">
      <c r="A14" s="23"/>
      <c r="B14" s="369" t="s">
        <v>264</v>
      </c>
      <c r="C14" s="369"/>
      <c r="D14" s="369"/>
      <c r="E14" s="369"/>
      <c r="F14" s="369"/>
      <c r="G14" s="23"/>
      <c r="H14" s="23"/>
      <c r="I14" s="23"/>
      <c r="J14" s="23"/>
      <c r="K14" s="23"/>
      <c r="L14" s="23"/>
    </row>
    <row r="15" spans="1:12" x14ac:dyDescent="0.3">
      <c r="A15" s="23"/>
      <c r="B15" s="60">
        <v>12</v>
      </c>
      <c r="C15" s="60">
        <v>24</v>
      </c>
      <c r="D15" s="60">
        <v>36</v>
      </c>
      <c r="E15" s="60">
        <v>48</v>
      </c>
      <c r="F15" s="60">
        <v>60</v>
      </c>
      <c r="G15" s="23"/>
      <c r="H15" s="23"/>
      <c r="I15" s="23"/>
      <c r="J15" s="23"/>
      <c r="K15" s="23"/>
      <c r="L15" s="23"/>
    </row>
    <row r="16" spans="1:12" x14ac:dyDescent="0.3">
      <c r="A16" s="23"/>
      <c r="B16" s="53">
        <v>0.44900000000000001</v>
      </c>
      <c r="C16" s="53">
        <v>0.68799999999999994</v>
      </c>
      <c r="D16" s="53">
        <v>0.84399999999999997</v>
      </c>
      <c r="E16" s="53">
        <v>0.94499999999999995</v>
      </c>
      <c r="F16" s="77">
        <v>1</v>
      </c>
      <c r="G16" s="23"/>
      <c r="H16" s="23"/>
      <c r="I16" s="23"/>
      <c r="J16" s="23"/>
      <c r="K16" s="23"/>
      <c r="L16" s="23"/>
    </row>
    <row r="17" spans="1:18" x14ac:dyDescent="0.3">
      <c r="A17" s="23"/>
      <c r="B17" s="23"/>
      <c r="C17" s="23"/>
      <c r="D17" s="23"/>
      <c r="E17" s="23"/>
      <c r="F17" s="23"/>
      <c r="G17" s="23"/>
      <c r="H17" s="23"/>
      <c r="I17" s="23"/>
      <c r="J17" s="23"/>
      <c r="K17" s="23"/>
      <c r="L17" s="23"/>
    </row>
    <row r="18" spans="1:18" x14ac:dyDescent="0.3">
      <c r="A18" s="10"/>
      <c r="B18" s="10"/>
      <c r="C18" s="10"/>
      <c r="D18" s="10"/>
      <c r="E18" s="10"/>
      <c r="F18" s="10"/>
      <c r="G18" s="10"/>
      <c r="H18" s="10"/>
      <c r="I18" s="10"/>
      <c r="J18" s="10"/>
      <c r="K18" s="10"/>
      <c r="L18" s="10"/>
    </row>
    <row r="19" spans="1:18" x14ac:dyDescent="0.3">
      <c r="A19" s="7" t="s">
        <v>14</v>
      </c>
      <c r="B19" s="5" t="s">
        <v>265</v>
      </c>
      <c r="C19" s="5"/>
      <c r="D19" s="5"/>
      <c r="E19" s="5"/>
      <c r="F19" s="5"/>
      <c r="G19" s="5"/>
      <c r="H19" s="5"/>
      <c r="I19" s="5"/>
      <c r="J19" s="5"/>
      <c r="K19" s="5"/>
      <c r="L19" s="5"/>
      <c r="M19" s="12"/>
      <c r="N19" s="12"/>
      <c r="O19" s="12"/>
      <c r="P19" s="12"/>
      <c r="Q19" s="12"/>
      <c r="R19" s="12"/>
    </row>
    <row r="20" spans="1:18" x14ac:dyDescent="0.3">
      <c r="A20" s="4"/>
      <c r="B20" s="4"/>
      <c r="C20" s="4"/>
      <c r="D20" s="4"/>
      <c r="E20" s="4"/>
      <c r="F20" s="4"/>
      <c r="G20" s="5"/>
      <c r="H20" s="5"/>
      <c r="I20" s="5"/>
      <c r="J20" s="5"/>
      <c r="K20" s="5"/>
      <c r="L20" s="5"/>
    </row>
    <row r="21" spans="1:18" x14ac:dyDescent="0.3">
      <c r="A21" s="10"/>
      <c r="B21" s="10"/>
      <c r="C21" s="10"/>
      <c r="D21" s="10"/>
      <c r="E21" s="10"/>
      <c r="F21" s="10"/>
      <c r="G21" s="10"/>
      <c r="H21" s="10"/>
      <c r="I21" s="10"/>
      <c r="J21" s="10"/>
      <c r="K21" s="10"/>
      <c r="L21" s="10"/>
      <c r="M21" s="10"/>
    </row>
    <row r="22" spans="1:18" x14ac:dyDescent="0.3">
      <c r="A22" s="10" t="s">
        <v>10</v>
      </c>
      <c r="B22" s="10"/>
      <c r="C22" s="10"/>
      <c r="D22" s="10"/>
      <c r="E22" s="10"/>
      <c r="F22" s="10"/>
      <c r="G22" s="10"/>
      <c r="H22" s="10"/>
      <c r="I22" s="10"/>
      <c r="J22" s="10"/>
      <c r="K22" s="10"/>
      <c r="L22" s="10"/>
      <c r="M22" s="10"/>
      <c r="N22" s="12"/>
    </row>
    <row r="23" spans="1:18" ht="15.6" customHeight="1" x14ac:dyDescent="0.3">
      <c r="A23" s="10"/>
      <c r="B23" s="379" t="s">
        <v>127</v>
      </c>
      <c r="C23" s="389" t="s">
        <v>532</v>
      </c>
      <c r="D23" s="389"/>
      <c r="E23" s="389"/>
      <c r="F23" s="389"/>
      <c r="G23" s="389"/>
      <c r="H23" s="179" t="s">
        <v>102</v>
      </c>
      <c r="I23" s="103"/>
      <c r="J23" s="10"/>
      <c r="K23" s="10"/>
      <c r="L23" s="10"/>
      <c r="M23" s="10"/>
      <c r="N23" s="12"/>
    </row>
    <row r="24" spans="1:18" x14ac:dyDescent="0.3">
      <c r="A24" s="10"/>
      <c r="B24" s="380"/>
      <c r="C24" s="162">
        <v>12</v>
      </c>
      <c r="D24" s="162">
        <f>C24+12</f>
        <v>24</v>
      </c>
      <c r="E24" s="162">
        <f t="shared" ref="E24:G24" si="0">D24+12</f>
        <v>36</v>
      </c>
      <c r="F24" s="162">
        <f t="shared" si="0"/>
        <v>48</v>
      </c>
      <c r="G24" s="162">
        <f t="shared" si="0"/>
        <v>60</v>
      </c>
      <c r="H24" s="109" t="s">
        <v>103</v>
      </c>
      <c r="I24" s="103"/>
      <c r="J24" s="10"/>
      <c r="K24" s="10"/>
      <c r="L24" s="10"/>
      <c r="M24" s="10"/>
      <c r="N24" s="12"/>
    </row>
    <row r="25" spans="1:18" x14ac:dyDescent="0.3">
      <c r="A25" s="10"/>
      <c r="B25" s="204">
        <v>2015</v>
      </c>
      <c r="C25" s="335">
        <f>ROUND(B16*H25,0)</f>
        <v>564</v>
      </c>
      <c r="D25" s="335">
        <f>ROUND(C16*H25,0)</f>
        <v>864</v>
      </c>
      <c r="E25" s="335">
        <f>ROUND(D16*H25,0)</f>
        <v>1060</v>
      </c>
      <c r="F25" s="335">
        <f>ROUND(E16*H25,0)</f>
        <v>1187</v>
      </c>
      <c r="G25" s="190">
        <f>G8</f>
        <v>1256</v>
      </c>
      <c r="H25" s="190">
        <f>ROUND(G25/F16,0)</f>
        <v>1256</v>
      </c>
      <c r="I25" s="103"/>
      <c r="J25" s="10"/>
      <c r="K25" s="10"/>
      <c r="L25" s="10"/>
      <c r="M25" s="10"/>
      <c r="N25" s="12"/>
    </row>
    <row r="26" spans="1:18" x14ac:dyDescent="0.3">
      <c r="A26" s="10"/>
      <c r="B26" s="204">
        <v>2016</v>
      </c>
      <c r="C26" s="335">
        <f>ROUND(B16*H26,0)</f>
        <v>678</v>
      </c>
      <c r="D26" s="335">
        <f>ROUND(C16*H26,0)</f>
        <v>1038</v>
      </c>
      <c r="E26" s="335">
        <f>ROUND(D16*H26,0)</f>
        <v>1274</v>
      </c>
      <c r="F26" s="190">
        <f>F9</f>
        <v>1426</v>
      </c>
      <c r="G26" s="190"/>
      <c r="H26" s="190">
        <f>ROUND(F26/E16,0)</f>
        <v>1509</v>
      </c>
      <c r="I26" s="103"/>
      <c r="J26" s="10"/>
      <c r="K26" s="10"/>
      <c r="L26" s="10"/>
      <c r="M26" s="10"/>
      <c r="N26" s="12"/>
    </row>
    <row r="27" spans="1:18" x14ac:dyDescent="0.3">
      <c r="B27" s="204">
        <v>2017</v>
      </c>
      <c r="C27" s="335">
        <f>ROUND(B16*H27,0)</f>
        <v>576</v>
      </c>
      <c r="D27" s="335">
        <f>ROUND(C16*H27,0)</f>
        <v>882</v>
      </c>
      <c r="E27" s="190">
        <f>E10</f>
        <v>1082</v>
      </c>
      <c r="F27" s="190"/>
      <c r="G27" s="190"/>
      <c r="H27" s="190">
        <f>ROUND(E27/D16,0)</f>
        <v>1282</v>
      </c>
      <c r="I27" s="98"/>
      <c r="M27" s="12"/>
      <c r="N27" s="12"/>
    </row>
    <row r="28" spans="1:18" x14ac:dyDescent="0.3">
      <c r="B28" s="204">
        <v>2018</v>
      </c>
      <c r="C28" s="335">
        <f>ROUND(B16*H28,0)</f>
        <v>606</v>
      </c>
      <c r="D28" s="190">
        <f>D11</f>
        <v>929</v>
      </c>
      <c r="E28" s="190"/>
      <c r="F28" s="190"/>
      <c r="G28" s="190"/>
      <c r="H28" s="190">
        <f>ROUND(D28/C16,0)</f>
        <v>1350</v>
      </c>
      <c r="I28" s="98"/>
      <c r="M28" s="12"/>
      <c r="N28" s="12"/>
    </row>
    <row r="29" spans="1:18" x14ac:dyDescent="0.3">
      <c r="B29" s="204">
        <v>2019</v>
      </c>
      <c r="C29" s="190">
        <f>C12</f>
        <v>699</v>
      </c>
      <c r="D29" s="190"/>
      <c r="E29" s="190"/>
      <c r="F29" s="190"/>
      <c r="G29" s="190"/>
      <c r="H29" s="190">
        <f>ROUND(C29/B16,0)</f>
        <v>1557</v>
      </c>
      <c r="I29" s="98"/>
      <c r="M29" s="12"/>
      <c r="N29" s="12"/>
    </row>
    <row r="30" spans="1:18" x14ac:dyDescent="0.3">
      <c r="M30" s="12"/>
      <c r="N30" s="12"/>
    </row>
    <row r="31" spans="1:18" x14ac:dyDescent="0.3">
      <c r="A31" s="5" t="s">
        <v>90</v>
      </c>
      <c r="B31" s="5"/>
      <c r="C31" s="5"/>
      <c r="D31" s="5"/>
      <c r="E31" s="5"/>
      <c r="F31" s="5"/>
      <c r="G31" s="5"/>
      <c r="H31" s="5"/>
      <c r="I31" s="5"/>
      <c r="J31" s="5"/>
      <c r="K31" s="5"/>
      <c r="L31" s="4"/>
      <c r="M31" s="12"/>
      <c r="N31" s="12"/>
    </row>
    <row r="32" spans="1:18" x14ac:dyDescent="0.3">
      <c r="A32" s="5"/>
      <c r="B32" s="5"/>
      <c r="C32" s="5"/>
      <c r="D32" s="5"/>
      <c r="E32" s="5"/>
      <c r="F32" s="5"/>
      <c r="G32" s="5"/>
      <c r="H32" s="5"/>
      <c r="I32" s="5"/>
      <c r="J32" s="5"/>
      <c r="K32" s="5"/>
      <c r="L32" s="4"/>
      <c r="M32" s="12"/>
      <c r="N32" s="12"/>
    </row>
    <row r="33" spans="1:14" x14ac:dyDescent="0.3">
      <c r="A33" s="5"/>
      <c r="B33" s="370" t="s">
        <v>127</v>
      </c>
      <c r="C33" s="369" t="s">
        <v>266</v>
      </c>
      <c r="D33" s="369"/>
      <c r="E33" s="369"/>
      <c r="F33" s="369"/>
      <c r="G33" s="369"/>
      <c r="H33" s="5"/>
      <c r="I33" s="80"/>
      <c r="J33" s="402" t="s">
        <v>267</v>
      </c>
      <c r="K33" s="403"/>
      <c r="L33" s="4"/>
      <c r="M33" s="12"/>
      <c r="N33" s="12"/>
    </row>
    <row r="34" spans="1:14" ht="15.6" customHeight="1" x14ac:dyDescent="0.3">
      <c r="A34" s="5"/>
      <c r="B34" s="370"/>
      <c r="C34" s="60">
        <v>12</v>
      </c>
      <c r="D34" s="60">
        <v>24</v>
      </c>
      <c r="E34" s="60">
        <v>36</v>
      </c>
      <c r="F34" s="60">
        <v>48</v>
      </c>
      <c r="G34" s="60">
        <v>60</v>
      </c>
      <c r="H34" s="5"/>
      <c r="I34" s="407" t="s">
        <v>127</v>
      </c>
      <c r="J34" s="404"/>
      <c r="K34" s="405"/>
      <c r="L34" s="4"/>
      <c r="M34" s="12"/>
      <c r="N34" s="12"/>
    </row>
    <row r="35" spans="1:14" x14ac:dyDescent="0.3">
      <c r="A35" s="5"/>
      <c r="B35" s="53">
        <v>2015</v>
      </c>
      <c r="C35" s="54">
        <v>756000</v>
      </c>
      <c r="D35" s="54">
        <v>2101000</v>
      </c>
      <c r="E35" s="54">
        <v>4562000</v>
      </c>
      <c r="F35" s="54">
        <v>6689000</v>
      </c>
      <c r="G35" s="54">
        <v>7213000</v>
      </c>
      <c r="H35" s="5"/>
      <c r="I35" s="408"/>
      <c r="J35" s="19" t="s">
        <v>0</v>
      </c>
      <c r="K35" s="19" t="s">
        <v>2</v>
      </c>
      <c r="L35" s="4"/>
      <c r="M35" s="12"/>
      <c r="N35" s="12"/>
    </row>
    <row r="36" spans="1:14" x14ac:dyDescent="0.3">
      <c r="A36" s="5"/>
      <c r="B36" s="53">
        <v>2016</v>
      </c>
      <c r="C36" s="54">
        <v>865000</v>
      </c>
      <c r="D36" s="54">
        <v>2250000</v>
      </c>
      <c r="E36" s="54">
        <v>5230000</v>
      </c>
      <c r="F36" s="54">
        <v>8044000</v>
      </c>
      <c r="G36" s="53"/>
      <c r="H36" s="5"/>
      <c r="I36" s="20">
        <v>2016</v>
      </c>
      <c r="J36" s="39">
        <v>615000</v>
      </c>
      <c r="K36" s="39">
        <v>801000</v>
      </c>
      <c r="L36" s="4"/>
      <c r="M36" s="12"/>
      <c r="N36" s="12"/>
    </row>
    <row r="37" spans="1:14" x14ac:dyDescent="0.3">
      <c r="A37" s="5"/>
      <c r="B37" s="53">
        <v>2017</v>
      </c>
      <c r="C37" s="54">
        <v>696000</v>
      </c>
      <c r="D37" s="54">
        <v>1967000</v>
      </c>
      <c r="E37" s="54">
        <v>4601000</v>
      </c>
      <c r="F37" s="53"/>
      <c r="G37" s="53"/>
      <c r="H37" s="5"/>
      <c r="I37" s="22">
        <v>2018</v>
      </c>
      <c r="J37" s="21">
        <v>297000</v>
      </c>
      <c r="K37" s="21">
        <v>923000</v>
      </c>
      <c r="L37" s="4"/>
      <c r="M37" s="12"/>
      <c r="N37" s="12"/>
    </row>
    <row r="38" spans="1:14" x14ac:dyDescent="0.3">
      <c r="A38" s="5"/>
      <c r="B38" s="53">
        <v>2018</v>
      </c>
      <c r="C38" s="54">
        <v>699000</v>
      </c>
      <c r="D38" s="54">
        <v>2145000</v>
      </c>
      <c r="E38" s="53"/>
      <c r="F38" s="53"/>
      <c r="G38" s="53"/>
      <c r="H38" s="5"/>
      <c r="I38" s="5"/>
      <c r="J38" s="5"/>
      <c r="K38" s="5"/>
      <c r="L38" s="4"/>
      <c r="M38" s="12"/>
      <c r="N38" s="12"/>
    </row>
    <row r="39" spans="1:14" x14ac:dyDescent="0.3">
      <c r="A39" s="5"/>
      <c r="B39" s="53">
        <v>2019</v>
      </c>
      <c r="C39" s="54">
        <v>832000</v>
      </c>
      <c r="D39" s="53"/>
      <c r="E39" s="53"/>
      <c r="F39" s="53"/>
      <c r="G39" s="53"/>
      <c r="H39" s="5"/>
      <c r="I39" s="5"/>
      <c r="J39" s="5"/>
      <c r="K39" s="5"/>
      <c r="L39" s="4"/>
      <c r="M39" s="12"/>
      <c r="N39" s="12"/>
    </row>
    <row r="40" spans="1:14" x14ac:dyDescent="0.3">
      <c r="A40" s="5"/>
      <c r="B40" s="5"/>
      <c r="C40" s="5"/>
      <c r="D40" s="5"/>
      <c r="E40" s="5"/>
      <c r="F40" s="5"/>
      <c r="G40" s="5"/>
      <c r="H40" s="5"/>
      <c r="I40" s="5"/>
      <c r="J40" s="5"/>
      <c r="K40" s="5"/>
      <c r="L40" s="4"/>
      <c r="M40" s="12"/>
      <c r="N40" s="12"/>
    </row>
    <row r="41" spans="1:14" x14ac:dyDescent="0.3">
      <c r="A41" s="5"/>
      <c r="B41" s="42" t="s">
        <v>63</v>
      </c>
      <c r="C41" s="23" t="s">
        <v>268</v>
      </c>
      <c r="D41" s="23"/>
      <c r="E41" s="5"/>
      <c r="F41" s="5"/>
      <c r="G41" s="5"/>
      <c r="H41" s="5"/>
      <c r="I41" s="5"/>
      <c r="J41" s="5"/>
      <c r="K41" s="5"/>
      <c r="L41" s="4"/>
      <c r="M41" s="12"/>
      <c r="N41" s="12"/>
    </row>
    <row r="42" spans="1:14" x14ac:dyDescent="0.3">
      <c r="A42" s="5"/>
      <c r="B42" s="42" t="s">
        <v>63</v>
      </c>
      <c r="C42" s="23" t="s">
        <v>269</v>
      </c>
      <c r="D42" s="23"/>
      <c r="E42" s="5"/>
      <c r="F42" s="5"/>
      <c r="G42" s="5"/>
      <c r="H42" s="5"/>
      <c r="I42" s="5"/>
      <c r="J42" s="5"/>
      <c r="K42" s="5"/>
      <c r="L42" s="4"/>
      <c r="M42" s="12"/>
      <c r="N42" s="12"/>
    </row>
    <row r="43" spans="1:14" x14ac:dyDescent="0.3">
      <c r="A43" s="5"/>
      <c r="B43" s="23"/>
      <c r="C43" s="23"/>
      <c r="D43" s="23"/>
      <c r="E43" s="5"/>
      <c r="F43" s="5"/>
      <c r="G43" s="5"/>
      <c r="H43" s="5"/>
      <c r="I43" s="5"/>
      <c r="J43" s="5"/>
      <c r="K43" s="5"/>
      <c r="L43" s="4"/>
      <c r="M43" s="12"/>
      <c r="N43" s="12"/>
    </row>
    <row r="44" spans="1:14" ht="18" customHeight="1" x14ac:dyDescent="0.3">
      <c r="A44" s="5"/>
      <c r="B44" s="406" t="s">
        <v>270</v>
      </c>
      <c r="C44" s="358"/>
      <c r="D44" s="358"/>
      <c r="E44" s="358"/>
      <c r="F44" s="358"/>
      <c r="G44" s="358"/>
      <c r="H44" s="358"/>
      <c r="I44" s="358"/>
      <c r="J44" s="358"/>
      <c r="K44" s="358"/>
      <c r="L44" s="358"/>
      <c r="M44" s="12"/>
      <c r="N44" s="12"/>
    </row>
    <row r="45" spans="1:14" ht="18" customHeight="1" x14ac:dyDescent="0.3">
      <c r="A45" s="5"/>
      <c r="B45" s="358"/>
      <c r="C45" s="358"/>
      <c r="D45" s="358"/>
      <c r="E45" s="358"/>
      <c r="F45" s="358"/>
      <c r="G45" s="358"/>
      <c r="H45" s="358"/>
      <c r="I45" s="358"/>
      <c r="J45" s="358"/>
      <c r="K45" s="358"/>
      <c r="L45" s="358"/>
      <c r="M45" s="12"/>
      <c r="N45" s="12"/>
    </row>
    <row r="46" spans="1:14" x14ac:dyDescent="0.3">
      <c r="A46" s="5"/>
      <c r="B46" s="78"/>
      <c r="C46" s="79"/>
      <c r="D46" s="79"/>
      <c r="E46" s="5"/>
      <c r="F46" s="5"/>
      <c r="G46" s="5"/>
      <c r="H46" s="5"/>
      <c r="I46" s="5"/>
      <c r="J46" s="5"/>
      <c r="K46" s="5"/>
      <c r="L46" s="4"/>
      <c r="M46" s="12"/>
      <c r="N46" s="12"/>
    </row>
    <row r="47" spans="1:14" ht="16.2" x14ac:dyDescent="0.3">
      <c r="A47" s="5"/>
      <c r="B47" s="370" t="s">
        <v>127</v>
      </c>
      <c r="C47" s="369" t="s">
        <v>275</v>
      </c>
      <c r="D47" s="369"/>
      <c r="E47" s="369"/>
      <c r="F47" s="369"/>
      <c r="G47" s="5"/>
      <c r="H47" s="370" t="s">
        <v>127</v>
      </c>
      <c r="I47" s="369" t="s">
        <v>276</v>
      </c>
      <c r="J47" s="369"/>
      <c r="K47" s="369"/>
      <c r="L47" s="369"/>
      <c r="M47" s="12"/>
      <c r="N47" s="12"/>
    </row>
    <row r="48" spans="1:14" x14ac:dyDescent="0.3">
      <c r="A48" s="5"/>
      <c r="B48" s="370"/>
      <c r="C48" s="60" t="s">
        <v>271</v>
      </c>
      <c r="D48" s="60" t="s">
        <v>272</v>
      </c>
      <c r="E48" s="60" t="s">
        <v>273</v>
      </c>
      <c r="F48" s="60" t="s">
        <v>274</v>
      </c>
      <c r="G48" s="5"/>
      <c r="H48" s="370"/>
      <c r="I48" s="60" t="s">
        <v>271</v>
      </c>
      <c r="J48" s="60" t="s">
        <v>272</v>
      </c>
      <c r="K48" s="60" t="s">
        <v>273</v>
      </c>
      <c r="L48" s="60" t="s">
        <v>274</v>
      </c>
      <c r="M48" s="12"/>
      <c r="N48" s="12"/>
    </row>
    <row r="49" spans="1:14" x14ac:dyDescent="0.3">
      <c r="A49" s="5"/>
      <c r="B49" s="53">
        <v>2015</v>
      </c>
      <c r="C49" s="54">
        <v>55580</v>
      </c>
      <c r="D49" s="54">
        <v>53863</v>
      </c>
      <c r="E49" s="54">
        <v>291585</v>
      </c>
      <c r="F49" s="54">
        <v>1827615</v>
      </c>
      <c r="G49" s="5"/>
      <c r="H49" s="53">
        <v>2015</v>
      </c>
      <c r="I49" s="53">
        <v>4.2199999999999998E-3</v>
      </c>
      <c r="J49" s="53">
        <v>4.2599999999999999E-3</v>
      </c>
      <c r="K49" s="53">
        <v>2.64E-3</v>
      </c>
      <c r="L49" s="53">
        <v>1.09E-3</v>
      </c>
      <c r="M49" s="12"/>
      <c r="N49" s="12"/>
    </row>
    <row r="50" spans="1:14" x14ac:dyDescent="0.3">
      <c r="A50" s="5"/>
      <c r="B50" s="53">
        <v>2016</v>
      </c>
      <c r="C50" s="54">
        <v>32800</v>
      </c>
      <c r="D50" s="54">
        <v>57432</v>
      </c>
      <c r="E50" s="54">
        <v>145499</v>
      </c>
      <c r="F50" s="53"/>
      <c r="G50" s="5"/>
      <c r="H50" s="53">
        <v>2016</v>
      </c>
      <c r="I50" s="53">
        <v>4.0899999999999999E-3</v>
      </c>
      <c r="J50" s="53">
        <v>3.5400000000000002E-3</v>
      </c>
      <c r="K50" s="53">
        <v>2.81E-3</v>
      </c>
      <c r="L50" s="53"/>
      <c r="M50" s="12"/>
      <c r="N50" s="12"/>
    </row>
    <row r="51" spans="1:14" x14ac:dyDescent="0.3">
      <c r="A51" s="5"/>
      <c r="B51" s="53">
        <v>2017</v>
      </c>
      <c r="C51" s="54">
        <v>54100</v>
      </c>
      <c r="D51" s="54">
        <v>46377</v>
      </c>
      <c r="E51" s="53"/>
      <c r="F51" s="53"/>
      <c r="G51" s="5"/>
      <c r="H51" s="53">
        <v>2017</v>
      </c>
      <c r="I51" s="53">
        <v>4.0699999999999998E-3</v>
      </c>
      <c r="J51" s="53">
        <v>4.2500000000000003E-3</v>
      </c>
      <c r="K51" s="53"/>
      <c r="L51" s="53"/>
      <c r="M51" s="12"/>
      <c r="N51" s="12"/>
    </row>
    <row r="52" spans="1:14" x14ac:dyDescent="0.3">
      <c r="A52" s="5"/>
      <c r="B52" s="53">
        <v>2018</v>
      </c>
      <c r="C52" s="54">
        <v>85287</v>
      </c>
      <c r="D52" s="53"/>
      <c r="E52" s="53"/>
      <c r="F52" s="53"/>
      <c r="G52" s="5"/>
      <c r="H52" s="53">
        <v>2018</v>
      </c>
      <c r="I52" s="53">
        <v>3.47E-3</v>
      </c>
      <c r="J52" s="53"/>
      <c r="K52" s="53"/>
      <c r="L52" s="53"/>
      <c r="M52" s="12"/>
      <c r="N52" s="12"/>
    </row>
    <row r="53" spans="1:14" x14ac:dyDescent="0.3">
      <c r="A53" s="23"/>
      <c r="B53" s="23"/>
      <c r="C53" s="23"/>
      <c r="D53" s="23"/>
      <c r="E53" s="23"/>
      <c r="F53" s="23"/>
      <c r="G53" s="23"/>
      <c r="H53" s="23"/>
      <c r="I53" s="23"/>
      <c r="J53" s="23"/>
      <c r="K53" s="23"/>
      <c r="L53" s="23"/>
      <c r="M53" s="12"/>
      <c r="N53" s="12"/>
    </row>
    <row r="55" spans="1:14" x14ac:dyDescent="0.3">
      <c r="A55" s="7" t="s">
        <v>15</v>
      </c>
      <c r="B55" s="5" t="s">
        <v>277</v>
      </c>
      <c r="C55" s="5"/>
      <c r="D55" s="5"/>
      <c r="E55" s="5"/>
      <c r="F55" s="5"/>
      <c r="G55" s="5"/>
      <c r="H55" s="5"/>
      <c r="I55" s="5"/>
      <c r="J55" s="5"/>
      <c r="K55" s="5"/>
      <c r="L55" s="5"/>
    </row>
    <row r="56" spans="1:14" x14ac:dyDescent="0.3">
      <c r="A56" s="4"/>
      <c r="B56" s="4"/>
      <c r="C56" s="4"/>
      <c r="D56" s="4"/>
      <c r="E56" s="4"/>
      <c r="F56" s="4"/>
      <c r="G56" s="5"/>
      <c r="H56" s="5"/>
      <c r="I56" s="5"/>
      <c r="J56" s="5"/>
      <c r="K56" s="5"/>
      <c r="L56" s="5"/>
    </row>
    <row r="57" spans="1:14" x14ac:dyDescent="0.3">
      <c r="A57" s="10"/>
      <c r="B57" s="10"/>
      <c r="C57" s="10"/>
      <c r="D57" s="10"/>
      <c r="E57" s="10"/>
      <c r="F57" s="10"/>
      <c r="G57" s="10"/>
      <c r="H57" s="10"/>
      <c r="I57" s="10"/>
      <c r="J57" s="10"/>
      <c r="K57" s="10"/>
      <c r="L57" s="10"/>
    </row>
    <row r="58" spans="1:14" x14ac:dyDescent="0.3">
      <c r="A58" s="10" t="s">
        <v>10</v>
      </c>
      <c r="B58" s="10"/>
      <c r="C58" s="10"/>
      <c r="D58" s="10"/>
      <c r="E58" s="10"/>
      <c r="F58" s="10"/>
      <c r="G58" s="10"/>
      <c r="H58" s="10"/>
      <c r="I58" s="10"/>
      <c r="J58" s="10"/>
      <c r="K58" s="10"/>
      <c r="L58" s="10"/>
    </row>
    <row r="59" spans="1:14" ht="15.6" customHeight="1" x14ac:dyDescent="0.3">
      <c r="A59" s="10"/>
      <c r="B59" s="379" t="s">
        <v>127</v>
      </c>
      <c r="C59" s="389" t="s">
        <v>533</v>
      </c>
      <c r="D59" s="389"/>
      <c r="E59" s="389"/>
      <c r="F59" s="389"/>
      <c r="G59" s="389"/>
      <c r="H59" s="10"/>
      <c r="I59" s="10"/>
      <c r="J59" s="10"/>
      <c r="K59" s="10"/>
      <c r="L59" s="10"/>
    </row>
    <row r="60" spans="1:14" x14ac:dyDescent="0.3">
      <c r="A60" s="10"/>
      <c r="B60" s="380"/>
      <c r="C60" s="162">
        <v>12</v>
      </c>
      <c r="D60" s="162">
        <f>C60+12</f>
        <v>24</v>
      </c>
      <c r="E60" s="162">
        <f t="shared" ref="E60:G60" si="1">D60+12</f>
        <v>36</v>
      </c>
      <c r="F60" s="162">
        <f t="shared" si="1"/>
        <v>48</v>
      </c>
      <c r="G60" s="162">
        <f t="shared" si="1"/>
        <v>60</v>
      </c>
      <c r="H60" s="10"/>
      <c r="I60" s="10"/>
      <c r="J60" s="10"/>
      <c r="K60" s="10"/>
      <c r="L60" s="10"/>
    </row>
    <row r="61" spans="1:14" x14ac:dyDescent="0.3">
      <c r="B61" s="204">
        <v>2015</v>
      </c>
      <c r="C61" s="335">
        <f>C49*EXP(I49*C25)</f>
        <v>600584.54601916159</v>
      </c>
      <c r="D61" s="335">
        <f t="shared" ref="D61:F61" si="2">D49*EXP(J49*D25)</f>
        <v>2136840.8645526273</v>
      </c>
      <c r="E61" s="335">
        <f t="shared" si="2"/>
        <v>4787346.4433680279</v>
      </c>
      <c r="F61" s="335">
        <f t="shared" si="2"/>
        <v>6664812.6130123874</v>
      </c>
      <c r="G61" s="190">
        <f>G35</f>
        <v>7213000</v>
      </c>
      <c r="M61" s="10"/>
    </row>
    <row r="62" spans="1:14" x14ac:dyDescent="0.3">
      <c r="B62" s="204">
        <v>2016</v>
      </c>
      <c r="C62" s="335">
        <f t="shared" ref="C62:E62" si="3">C50*EXP(I50*C26)</f>
        <v>525026.38338211272</v>
      </c>
      <c r="D62" s="335">
        <f t="shared" si="3"/>
        <v>2264528.0262547652</v>
      </c>
      <c r="E62" s="335">
        <f t="shared" si="3"/>
        <v>5219251.1552426303</v>
      </c>
      <c r="F62" s="190">
        <f>F36</f>
        <v>8044000</v>
      </c>
      <c r="G62" s="190"/>
      <c r="M62" s="10"/>
    </row>
    <row r="63" spans="1:14" x14ac:dyDescent="0.3">
      <c r="B63" s="204">
        <v>2017</v>
      </c>
      <c r="C63" s="335">
        <f t="shared" ref="C63:D63" si="4">C51*EXP(I51*C27)</f>
        <v>564056.36579226109</v>
      </c>
      <c r="D63" s="335">
        <f t="shared" si="4"/>
        <v>1969044.43697845</v>
      </c>
      <c r="E63" s="190">
        <f>E37</f>
        <v>4601000</v>
      </c>
      <c r="F63" s="190"/>
      <c r="G63" s="190"/>
      <c r="M63" s="10"/>
    </row>
    <row r="64" spans="1:14" x14ac:dyDescent="0.3">
      <c r="B64" s="204">
        <v>2018</v>
      </c>
      <c r="C64" s="335">
        <f>C52*EXP(I52*C28)</f>
        <v>698434.94537072349</v>
      </c>
      <c r="D64" s="190">
        <f>D38</f>
        <v>2145000</v>
      </c>
      <c r="E64" s="190"/>
      <c r="F64" s="190"/>
      <c r="G64" s="190"/>
    </row>
    <row r="65" spans="2:8" x14ac:dyDescent="0.3">
      <c r="B65" s="204">
        <v>2019</v>
      </c>
      <c r="C65" s="190">
        <f>C39</f>
        <v>832000</v>
      </c>
      <c r="D65" s="190"/>
      <c r="E65" s="190"/>
      <c r="F65" s="190"/>
      <c r="G65" s="190"/>
    </row>
    <row r="67" spans="2:8" x14ac:dyDescent="0.3">
      <c r="B67" s="98" t="s">
        <v>534</v>
      </c>
      <c r="C67" s="98"/>
      <c r="D67" s="98"/>
      <c r="E67" s="98"/>
      <c r="F67" s="98"/>
      <c r="G67" s="98"/>
    </row>
    <row r="68" spans="2:8" x14ac:dyDescent="0.3">
      <c r="B68" s="98"/>
      <c r="C68" s="116" t="str">
        <f>C60&amp;"-"&amp;D60</f>
        <v>12-24</v>
      </c>
      <c r="D68" s="116" t="str">
        <f t="shared" ref="D68:G68" si="5">D60&amp;"-"&amp;E60</f>
        <v>24-36</v>
      </c>
      <c r="E68" s="116" t="str">
        <f t="shared" si="5"/>
        <v>36-48</v>
      </c>
      <c r="F68" s="116" t="str">
        <f t="shared" si="5"/>
        <v>48-60</v>
      </c>
      <c r="G68" s="116" t="str">
        <f t="shared" si="5"/>
        <v>60-</v>
      </c>
    </row>
    <row r="69" spans="2:8" x14ac:dyDescent="0.3">
      <c r="B69" s="98" t="s">
        <v>535</v>
      </c>
      <c r="C69" s="145">
        <f>SUM(D62:D64)/SUM(C62:C64)</f>
        <v>3.5683968235382921</v>
      </c>
      <c r="D69" s="145">
        <f>SUM(E61:E63)/SUM(D61:D63)</f>
        <v>2.2930376487341371</v>
      </c>
      <c r="E69" s="145">
        <f>SUM(F61:F62)/SUM(E61:E62)</f>
        <v>1.4699114727122231</v>
      </c>
      <c r="F69" s="145">
        <f>G61/F61</f>
        <v>1.0822509827084006</v>
      </c>
      <c r="G69" s="145">
        <v>1</v>
      </c>
    </row>
    <row r="70" spans="2:8" x14ac:dyDescent="0.3">
      <c r="B70" s="98" t="s">
        <v>536</v>
      </c>
      <c r="C70" s="145">
        <f>PRODUCT(C69:G69)</f>
        <v>13.016777994754829</v>
      </c>
      <c r="D70" s="145">
        <f>PRODUCT(D69:G69)</f>
        <v>3.6477944125754114</v>
      </c>
      <c r="E70" s="145">
        <f>PRODUCT(E69:G69)</f>
        <v>1.5908131358371558</v>
      </c>
      <c r="F70" s="145">
        <f>PRODUCT(F69:G69)</f>
        <v>1.0822509827084006</v>
      </c>
      <c r="G70" s="145">
        <f>G69</f>
        <v>1</v>
      </c>
    </row>
    <row r="71" spans="2:8" x14ac:dyDescent="0.3">
      <c r="B71" s="98"/>
      <c r="C71" s="98"/>
      <c r="D71" s="98"/>
      <c r="E71" s="98"/>
      <c r="F71" s="98"/>
      <c r="G71" s="98"/>
    </row>
    <row r="72" spans="2:8" x14ac:dyDescent="0.3">
      <c r="B72" s="401" t="s">
        <v>127</v>
      </c>
      <c r="C72" s="116"/>
      <c r="D72" s="116" t="s">
        <v>536</v>
      </c>
      <c r="E72" s="305" t="s">
        <v>537</v>
      </c>
      <c r="F72" s="116" t="s">
        <v>538</v>
      </c>
      <c r="G72" s="305" t="s">
        <v>537</v>
      </c>
      <c r="H72" s="116" t="s">
        <v>539</v>
      </c>
    </row>
    <row r="73" spans="2:8" x14ac:dyDescent="0.3">
      <c r="B73" s="380"/>
      <c r="C73" s="109" t="s">
        <v>97</v>
      </c>
      <c r="D73" s="109" t="s">
        <v>378</v>
      </c>
      <c r="E73" s="109" t="s">
        <v>2</v>
      </c>
      <c r="F73" s="109" t="s">
        <v>540</v>
      </c>
      <c r="G73" s="109" t="s">
        <v>0</v>
      </c>
      <c r="H73" s="109" t="s">
        <v>1</v>
      </c>
    </row>
    <row r="74" spans="2:8" x14ac:dyDescent="0.3">
      <c r="B74" s="116">
        <f>B61</f>
        <v>2015</v>
      </c>
      <c r="C74" s="112">
        <f>G61</f>
        <v>7213000</v>
      </c>
      <c r="D74" s="145">
        <f>G70</f>
        <v>1</v>
      </c>
      <c r="E74" s="116"/>
      <c r="F74" s="112">
        <f>C74*D74+E74</f>
        <v>7213000</v>
      </c>
      <c r="G74" s="116"/>
      <c r="H74" s="112">
        <f>F74-(C74+G74)</f>
        <v>0</v>
      </c>
    </row>
    <row r="75" spans="2:8" x14ac:dyDescent="0.3">
      <c r="B75" s="116">
        <f t="shared" ref="B75:B78" si="6">B62</f>
        <v>2016</v>
      </c>
      <c r="C75" s="112">
        <f>F62</f>
        <v>8044000</v>
      </c>
      <c r="D75" s="145">
        <f>F70</f>
        <v>1.0822509827084006</v>
      </c>
      <c r="E75" s="112">
        <f>K36</f>
        <v>801000</v>
      </c>
      <c r="F75" s="112">
        <f t="shared" ref="F75:F78" si="7">C75*D75+E75</f>
        <v>9506626.9049063735</v>
      </c>
      <c r="G75" s="112">
        <f>J36</f>
        <v>615000</v>
      </c>
      <c r="H75" s="112">
        <f t="shared" ref="H75:H78" si="8">F75-(C75+G75)</f>
        <v>847626.90490637347</v>
      </c>
    </row>
    <row r="76" spans="2:8" x14ac:dyDescent="0.3">
      <c r="B76" s="116">
        <f t="shared" si="6"/>
        <v>2017</v>
      </c>
      <c r="C76" s="112">
        <f>E63</f>
        <v>4601000</v>
      </c>
      <c r="D76" s="145">
        <f>E70</f>
        <v>1.5908131358371558</v>
      </c>
      <c r="E76" s="116"/>
      <c r="F76" s="112">
        <f t="shared" si="7"/>
        <v>7319331.2379867537</v>
      </c>
      <c r="G76" s="116"/>
      <c r="H76" s="112">
        <f t="shared" si="8"/>
        <v>2718331.2379867537</v>
      </c>
    </row>
    <row r="77" spans="2:8" x14ac:dyDescent="0.3">
      <c r="B77" s="116">
        <f t="shared" si="6"/>
        <v>2018</v>
      </c>
      <c r="C77" s="112">
        <f>D64</f>
        <v>2145000</v>
      </c>
      <c r="D77" s="145">
        <f>D70</f>
        <v>3.6477944125754114</v>
      </c>
      <c r="E77" s="112">
        <f>K37</f>
        <v>923000</v>
      </c>
      <c r="F77" s="112">
        <f t="shared" si="7"/>
        <v>8747519.014974257</v>
      </c>
      <c r="G77" s="112">
        <f>J37</f>
        <v>297000</v>
      </c>
      <c r="H77" s="112">
        <f t="shared" si="8"/>
        <v>6305519.014974257</v>
      </c>
    </row>
    <row r="78" spans="2:8" x14ac:dyDescent="0.3">
      <c r="B78" s="109">
        <f t="shared" si="6"/>
        <v>2019</v>
      </c>
      <c r="C78" s="115">
        <f>C65</f>
        <v>832000</v>
      </c>
      <c r="D78" s="311">
        <f>C70</f>
        <v>13.016777994754829</v>
      </c>
      <c r="E78" s="109"/>
      <c r="F78" s="115">
        <f t="shared" si="7"/>
        <v>10829959.291636018</v>
      </c>
      <c r="G78" s="109"/>
      <c r="H78" s="115">
        <f t="shared" si="8"/>
        <v>9997959.2916360181</v>
      </c>
    </row>
    <row r="79" spans="2:8" x14ac:dyDescent="0.3">
      <c r="B79" s="98"/>
      <c r="C79" s="112">
        <f>SUM(C74:C78)</f>
        <v>22835000</v>
      </c>
      <c r="D79" s="116"/>
      <c r="E79" s="116"/>
      <c r="F79" s="112">
        <f>SUM(F74:F78)</f>
        <v>43616436.449503407</v>
      </c>
      <c r="H79" s="112">
        <f>SUM(H74:H78)</f>
        <v>19869436.449503399</v>
      </c>
    </row>
    <row r="81" spans="1:12" x14ac:dyDescent="0.3">
      <c r="A81" s="6" t="s">
        <v>47</v>
      </c>
      <c r="B81" s="4"/>
      <c r="C81" s="4"/>
      <c r="D81" s="4"/>
      <c r="E81" s="4"/>
      <c r="F81" s="4"/>
      <c r="G81" s="4"/>
      <c r="H81" s="4"/>
      <c r="I81" s="4"/>
      <c r="J81" s="4"/>
      <c r="K81" s="4"/>
      <c r="L81" s="4"/>
    </row>
  </sheetData>
  <mergeCells count="18">
    <mergeCell ref="A3:L4"/>
    <mergeCell ref="J33:K34"/>
    <mergeCell ref="B44:L45"/>
    <mergeCell ref="B47:B48"/>
    <mergeCell ref="C47:F47"/>
    <mergeCell ref="H47:H48"/>
    <mergeCell ref="I47:L47"/>
    <mergeCell ref="B6:B7"/>
    <mergeCell ref="C6:G6"/>
    <mergeCell ref="B14:F14"/>
    <mergeCell ref="B33:B34"/>
    <mergeCell ref="C33:G33"/>
    <mergeCell ref="I34:I35"/>
    <mergeCell ref="B23:B24"/>
    <mergeCell ref="C23:G23"/>
    <mergeCell ref="B59:B60"/>
    <mergeCell ref="C59:G59"/>
    <mergeCell ref="B72:B73"/>
  </mergeCells>
  <pageMargins left="0.39370078740157483" right="0.39370078740157483" top="0.39370078740157483" bottom="0.39370078740157483" header="0.31496062992125984" footer="0.31496062992125984"/>
  <pageSetup scale="78" orientation="portrait" verticalDpi="1200" r:id="rId1"/>
  <headerFooter>
    <oddFooter>&amp;L&amp;F [&amp;A]&amp;R&amp;P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6EF78-C43C-4CC8-BB1E-1F4773938661}">
  <dimension ref="A1:R66"/>
  <sheetViews>
    <sheetView zoomScaleNormal="100" workbookViewId="0"/>
  </sheetViews>
  <sheetFormatPr defaultRowHeight="15.6" x14ac:dyDescent="0.3"/>
  <cols>
    <col min="1" max="1" width="8.88671875" style="2" customWidth="1"/>
    <col min="2" max="2" width="10.77734375" style="2" customWidth="1"/>
    <col min="3" max="7" width="12.77734375" style="2" customWidth="1"/>
    <col min="8" max="12" width="9.77734375" style="2" customWidth="1"/>
    <col min="13" max="14" width="11.6640625" style="2" customWidth="1"/>
    <col min="15" max="16384" width="8.88671875" style="2"/>
  </cols>
  <sheetData>
    <row r="1" spans="1:18" ht="17.399999999999999" x14ac:dyDescent="0.3">
      <c r="A1" s="3" t="s">
        <v>13</v>
      </c>
      <c r="B1" s="5"/>
      <c r="C1" s="23" t="s">
        <v>34</v>
      </c>
      <c r="D1" s="5"/>
      <c r="E1" s="5"/>
      <c r="F1" s="5"/>
      <c r="G1" s="5"/>
      <c r="H1" s="5"/>
      <c r="I1" s="5"/>
      <c r="J1" s="5"/>
      <c r="K1" s="5"/>
      <c r="L1" s="4"/>
    </row>
    <row r="2" spans="1:18" x14ac:dyDescent="0.3">
      <c r="A2" s="5"/>
      <c r="B2" s="5"/>
      <c r="C2" s="5"/>
      <c r="D2" s="5"/>
      <c r="E2" s="5"/>
      <c r="F2" s="5"/>
      <c r="G2" s="5"/>
      <c r="H2" s="5"/>
      <c r="I2" s="5"/>
      <c r="J2" s="5"/>
      <c r="K2" s="5"/>
      <c r="L2" s="4"/>
    </row>
    <row r="3" spans="1:18" x14ac:dyDescent="0.3">
      <c r="A3" s="5" t="s">
        <v>35</v>
      </c>
      <c r="B3" s="5"/>
      <c r="C3" s="5"/>
      <c r="D3" s="5"/>
      <c r="E3" s="5"/>
      <c r="F3" s="5"/>
      <c r="G3" s="5"/>
      <c r="H3" s="5"/>
      <c r="I3" s="5"/>
      <c r="J3" s="5"/>
      <c r="K3" s="5"/>
      <c r="L3" s="4"/>
    </row>
    <row r="4" spans="1:18" x14ac:dyDescent="0.3">
      <c r="A4" s="23"/>
      <c r="B4" s="23"/>
      <c r="C4" s="174"/>
      <c r="D4" s="174"/>
      <c r="E4" s="174"/>
      <c r="F4" s="174"/>
      <c r="G4" s="174"/>
      <c r="H4" s="23"/>
      <c r="I4" s="23"/>
      <c r="J4" s="23"/>
      <c r="K4" s="23"/>
      <c r="L4" s="23"/>
    </row>
    <row r="5" spans="1:18" x14ac:dyDescent="0.3">
      <c r="A5" s="23"/>
      <c r="B5" s="26"/>
      <c r="C5" s="348" t="s">
        <v>36</v>
      </c>
      <c r="D5" s="349"/>
      <c r="E5" s="348" t="s">
        <v>37</v>
      </c>
      <c r="F5" s="350"/>
      <c r="G5" s="27"/>
      <c r="H5" s="23"/>
      <c r="I5" s="23"/>
      <c r="J5" s="23"/>
      <c r="K5" s="23"/>
      <c r="L5" s="23"/>
    </row>
    <row r="6" spans="1:18" x14ac:dyDescent="0.3">
      <c r="A6" s="23"/>
      <c r="B6" s="28" t="s">
        <v>5</v>
      </c>
      <c r="C6" s="351" t="s">
        <v>38</v>
      </c>
      <c r="D6" s="352"/>
      <c r="E6" s="353" t="s">
        <v>39</v>
      </c>
      <c r="F6" s="353"/>
      <c r="G6" s="29" t="s">
        <v>40</v>
      </c>
      <c r="H6" s="23"/>
      <c r="I6" s="23"/>
      <c r="J6" s="23"/>
      <c r="K6" s="23"/>
      <c r="L6" s="23"/>
    </row>
    <row r="7" spans="1:18" x14ac:dyDescent="0.3">
      <c r="A7" s="23"/>
      <c r="B7" s="30" t="s">
        <v>7</v>
      </c>
      <c r="C7" s="31" t="s">
        <v>0</v>
      </c>
      <c r="D7" s="19" t="s">
        <v>2</v>
      </c>
      <c r="E7" s="31" t="s">
        <v>0</v>
      </c>
      <c r="F7" s="31" t="s">
        <v>2</v>
      </c>
      <c r="G7" s="17" t="s">
        <v>1</v>
      </c>
      <c r="H7" s="23"/>
      <c r="I7" s="23"/>
      <c r="J7" s="23"/>
      <c r="K7" s="23"/>
      <c r="L7" s="23"/>
    </row>
    <row r="8" spans="1:18" x14ac:dyDescent="0.3">
      <c r="A8" s="23"/>
      <c r="B8" s="32">
        <v>2016</v>
      </c>
      <c r="C8" s="33">
        <v>889190</v>
      </c>
      <c r="D8" s="34">
        <v>898170</v>
      </c>
      <c r="E8" s="33">
        <v>916755</v>
      </c>
      <c r="F8" s="34">
        <v>916133</v>
      </c>
      <c r="G8" s="35">
        <v>889488</v>
      </c>
      <c r="H8" s="23"/>
      <c r="I8" s="23"/>
      <c r="J8" s="23"/>
      <c r="K8" s="23"/>
      <c r="L8" s="23"/>
    </row>
    <row r="9" spans="1:18" x14ac:dyDescent="0.3">
      <c r="A9" s="23"/>
      <c r="B9" s="32">
        <f>B8+1</f>
        <v>2017</v>
      </c>
      <c r="C9" s="36">
        <v>916340</v>
      </c>
      <c r="D9" s="34">
        <v>964570</v>
      </c>
      <c r="E9" s="36">
        <v>1014895</v>
      </c>
      <c r="F9" s="34">
        <v>1003537</v>
      </c>
      <c r="G9" s="35">
        <v>998479</v>
      </c>
      <c r="H9" s="23"/>
      <c r="I9" s="23"/>
      <c r="J9" s="23"/>
      <c r="K9" s="23"/>
      <c r="L9" s="23"/>
    </row>
    <row r="10" spans="1:18" x14ac:dyDescent="0.3">
      <c r="A10" s="23"/>
      <c r="B10" s="32">
        <f t="shared" ref="B10:B11" si="0">B9+1</f>
        <v>2018</v>
      </c>
      <c r="C10" s="36">
        <v>824940</v>
      </c>
      <c r="D10" s="34">
        <v>959230</v>
      </c>
      <c r="E10" s="36">
        <v>1065872</v>
      </c>
      <c r="F10" s="34">
        <v>1077820</v>
      </c>
      <c r="G10" s="35">
        <v>1113814</v>
      </c>
      <c r="H10" s="23"/>
      <c r="I10" s="23"/>
      <c r="J10" s="23"/>
      <c r="K10" s="23"/>
      <c r="L10" s="23"/>
    </row>
    <row r="11" spans="1:18" x14ac:dyDescent="0.3">
      <c r="A11" s="23"/>
      <c r="B11" s="37">
        <f t="shared" si="0"/>
        <v>2019</v>
      </c>
      <c r="C11" s="38">
        <v>586850</v>
      </c>
      <c r="D11" s="39">
        <v>838361.61017831089</v>
      </c>
      <c r="E11" s="38">
        <v>1140237</v>
      </c>
      <c r="F11" s="39">
        <v>1139829</v>
      </c>
      <c r="G11" s="40">
        <v>1142919</v>
      </c>
      <c r="H11" s="23"/>
      <c r="I11" s="23"/>
      <c r="J11" s="23"/>
      <c r="K11" s="23"/>
      <c r="L11" s="23"/>
    </row>
    <row r="12" spans="1:18" x14ac:dyDescent="0.3">
      <c r="A12" s="23"/>
      <c r="B12" s="23"/>
      <c r="C12" s="23"/>
      <c r="D12" s="23"/>
      <c r="E12" s="23"/>
      <c r="F12" s="23"/>
      <c r="G12" s="23"/>
      <c r="H12" s="23"/>
      <c r="I12" s="23"/>
      <c r="J12" s="23"/>
      <c r="K12" s="23"/>
      <c r="L12" s="23"/>
    </row>
    <row r="13" spans="1:18" x14ac:dyDescent="0.3">
      <c r="A13" s="10"/>
      <c r="B13" s="10"/>
      <c r="C13" s="10"/>
      <c r="D13" s="10"/>
      <c r="E13" s="10"/>
      <c r="F13" s="10"/>
      <c r="G13" s="10"/>
      <c r="H13" s="10"/>
      <c r="I13" s="10"/>
      <c r="J13" s="10"/>
      <c r="K13" s="10"/>
      <c r="L13" s="10"/>
    </row>
    <row r="14" spans="1:18" x14ac:dyDescent="0.3">
      <c r="A14" s="7" t="s">
        <v>14</v>
      </c>
      <c r="B14" s="5" t="s">
        <v>41</v>
      </c>
      <c r="C14" s="5"/>
      <c r="D14" s="5"/>
      <c r="E14" s="5"/>
      <c r="F14" s="5"/>
      <c r="G14" s="5"/>
      <c r="H14" s="5"/>
      <c r="I14" s="5"/>
      <c r="J14" s="5"/>
      <c r="K14" s="5"/>
      <c r="L14" s="5"/>
      <c r="M14" s="12"/>
      <c r="N14" s="12"/>
      <c r="O14" s="12"/>
      <c r="P14" s="12"/>
      <c r="Q14" s="12"/>
      <c r="R14" s="12"/>
    </row>
    <row r="15" spans="1:18" x14ac:dyDescent="0.3">
      <c r="A15" s="7"/>
      <c r="B15" s="5"/>
      <c r="C15" s="5"/>
      <c r="D15" s="5"/>
      <c r="E15" s="5"/>
      <c r="F15" s="5"/>
      <c r="G15" s="5"/>
      <c r="H15" s="5"/>
      <c r="I15" s="5"/>
      <c r="J15" s="5"/>
      <c r="K15" s="5"/>
      <c r="L15" s="5"/>
      <c r="M15" s="12"/>
      <c r="N15" s="12"/>
      <c r="O15" s="12"/>
      <c r="P15" s="12"/>
      <c r="Q15" s="12"/>
      <c r="R15" s="12"/>
    </row>
    <row r="16" spans="1:18" x14ac:dyDescent="0.3">
      <c r="A16" s="7"/>
      <c r="B16" s="5" t="s">
        <v>16</v>
      </c>
      <c r="C16" s="5" t="s">
        <v>42</v>
      </c>
      <c r="D16" s="5"/>
      <c r="E16" s="5"/>
      <c r="F16" s="5"/>
      <c r="G16" s="5"/>
      <c r="H16" s="5"/>
      <c r="I16" s="5"/>
      <c r="J16" s="5"/>
      <c r="K16" s="5"/>
      <c r="L16" s="5"/>
      <c r="M16" s="12"/>
      <c r="N16" s="12"/>
      <c r="O16" s="12"/>
      <c r="P16" s="12"/>
      <c r="Q16" s="12"/>
      <c r="R16" s="12"/>
    </row>
    <row r="17" spans="1:18" x14ac:dyDescent="0.3">
      <c r="A17" s="7"/>
      <c r="B17" s="5"/>
      <c r="C17" s="5"/>
      <c r="D17" s="5"/>
      <c r="E17" s="5"/>
      <c r="F17" s="5"/>
      <c r="G17" s="5"/>
      <c r="H17" s="5"/>
      <c r="I17" s="5"/>
      <c r="J17" s="5"/>
      <c r="K17" s="5"/>
      <c r="L17" s="5"/>
      <c r="M17" s="12"/>
      <c r="N17" s="12"/>
      <c r="O17" s="12"/>
      <c r="P17" s="12"/>
      <c r="Q17" s="12"/>
      <c r="R17" s="12"/>
    </row>
    <row r="18" spans="1:18" x14ac:dyDescent="0.3">
      <c r="A18" s="7"/>
      <c r="B18" s="5" t="s">
        <v>17</v>
      </c>
      <c r="C18" s="5" t="s">
        <v>43</v>
      </c>
      <c r="D18" s="5"/>
      <c r="E18" s="5"/>
      <c r="F18" s="5"/>
      <c r="G18" s="5"/>
      <c r="H18" s="5"/>
      <c r="I18" s="5"/>
      <c r="J18" s="5"/>
      <c r="K18" s="5"/>
      <c r="L18" s="5"/>
      <c r="M18" s="12"/>
      <c r="N18" s="12"/>
      <c r="O18" s="12"/>
      <c r="P18" s="12"/>
      <c r="Q18" s="12"/>
      <c r="R18" s="12"/>
    </row>
    <row r="19" spans="1:18" x14ac:dyDescent="0.3">
      <c r="A19" s="4"/>
      <c r="B19" s="4"/>
      <c r="C19" s="4"/>
      <c r="D19" s="4"/>
      <c r="E19" s="4"/>
      <c r="F19" s="4"/>
      <c r="G19" s="5"/>
      <c r="H19" s="5"/>
      <c r="I19" s="5"/>
      <c r="J19" s="5"/>
      <c r="K19" s="5"/>
      <c r="L19" s="5"/>
    </row>
    <row r="20" spans="1:18" x14ac:dyDescent="0.3">
      <c r="A20" s="10"/>
      <c r="B20" s="10"/>
      <c r="C20" s="10"/>
      <c r="D20" s="10"/>
      <c r="E20" s="10"/>
      <c r="F20" s="10"/>
      <c r="G20" s="10"/>
      <c r="H20" s="10"/>
      <c r="I20" s="10"/>
      <c r="J20" s="10"/>
      <c r="K20" s="10"/>
      <c r="L20" s="10"/>
      <c r="M20" s="10"/>
    </row>
    <row r="21" spans="1:18" x14ac:dyDescent="0.3">
      <c r="A21" s="10" t="s">
        <v>10</v>
      </c>
      <c r="B21" s="10"/>
      <c r="C21" s="10"/>
      <c r="D21" s="10"/>
      <c r="E21" s="10"/>
      <c r="F21" s="10"/>
      <c r="G21" s="10"/>
      <c r="H21" s="10"/>
      <c r="I21" s="10"/>
      <c r="J21" s="10"/>
      <c r="K21" s="10"/>
      <c r="L21" s="10"/>
      <c r="M21" s="10"/>
      <c r="N21" s="12"/>
    </row>
    <row r="22" spans="1:18" x14ac:dyDescent="0.3">
      <c r="A22" s="10"/>
      <c r="B22" s="98"/>
      <c r="C22" s="347" t="s">
        <v>320</v>
      </c>
      <c r="D22" s="347"/>
      <c r="E22" s="347" t="s">
        <v>321</v>
      </c>
      <c r="F22" s="347"/>
      <c r="G22" s="103"/>
      <c r="H22" s="10"/>
      <c r="I22" s="10"/>
      <c r="J22" s="10"/>
      <c r="K22" s="10"/>
      <c r="L22" s="10"/>
      <c r="M22" s="10"/>
      <c r="N22" s="12"/>
    </row>
    <row r="23" spans="1:18" x14ac:dyDescent="0.3">
      <c r="B23" s="107" t="s">
        <v>5</v>
      </c>
      <c r="C23" s="346" t="s">
        <v>322</v>
      </c>
      <c r="D23" s="346"/>
      <c r="E23" s="346" t="s">
        <v>232</v>
      </c>
      <c r="F23" s="346"/>
      <c r="G23" s="98"/>
      <c r="M23" s="12"/>
      <c r="N23" s="12"/>
    </row>
    <row r="24" spans="1:18" x14ac:dyDescent="0.3">
      <c r="B24" s="108" t="s">
        <v>7</v>
      </c>
      <c r="C24" s="109" t="s">
        <v>0</v>
      </c>
      <c r="D24" s="109" t="s">
        <v>2</v>
      </c>
      <c r="E24" s="109" t="s">
        <v>0</v>
      </c>
      <c r="F24" s="109" t="s">
        <v>2</v>
      </c>
      <c r="G24" s="98"/>
      <c r="M24" s="12"/>
      <c r="N24" s="12"/>
    </row>
    <row r="25" spans="1:18" x14ac:dyDescent="0.3">
      <c r="B25" s="110">
        <v>2016</v>
      </c>
      <c r="C25" s="111">
        <f t="shared" ref="C25:D28" si="1">E8/C8</f>
        <v>1.0310001237080939</v>
      </c>
      <c r="D25" s="111">
        <f t="shared" si="1"/>
        <v>1.0199995546500107</v>
      </c>
      <c r="E25" s="112">
        <f t="shared" ref="E25:F28" si="2">C8+$G8*(1-1/C25)</f>
        <v>915935.13552694023</v>
      </c>
      <c r="F25" s="112">
        <f t="shared" si="2"/>
        <v>915610.5604251785</v>
      </c>
      <c r="G25" s="98"/>
      <c r="H25"/>
      <c r="I25"/>
      <c r="J25"/>
      <c r="K25"/>
      <c r="M25" s="12"/>
      <c r="N25" s="12"/>
    </row>
    <row r="26" spans="1:18" x14ac:dyDescent="0.3">
      <c r="B26" s="110">
        <f>B25+1</f>
        <v>2017</v>
      </c>
      <c r="C26" s="111">
        <f t="shared" si="1"/>
        <v>1.1075528733876072</v>
      </c>
      <c r="D26" s="111">
        <f t="shared" si="1"/>
        <v>1.0403983122012919</v>
      </c>
      <c r="E26" s="112">
        <f t="shared" si="2"/>
        <v>1013300.8657496588</v>
      </c>
      <c r="F26" s="112">
        <f t="shared" si="2"/>
        <v>1003340.5995822776</v>
      </c>
      <c r="G26" s="98"/>
      <c r="H26"/>
      <c r="I26"/>
      <c r="J26"/>
      <c r="K26"/>
      <c r="M26" s="12"/>
      <c r="N26" s="12"/>
    </row>
    <row r="27" spans="1:18" x14ac:dyDescent="0.3">
      <c r="B27" s="110">
        <f t="shared" ref="B27:B28" si="3">B26+1</f>
        <v>2018</v>
      </c>
      <c r="C27" s="111">
        <f t="shared" si="1"/>
        <v>1.2920600286081412</v>
      </c>
      <c r="D27" s="111">
        <f t="shared" si="1"/>
        <v>1.1236304118928724</v>
      </c>
      <c r="E27" s="112">
        <f t="shared" si="2"/>
        <v>1076708.9128225527</v>
      </c>
      <c r="F27" s="112">
        <f t="shared" si="2"/>
        <v>1081780.3351765601</v>
      </c>
      <c r="G27" s="98"/>
      <c r="H27"/>
      <c r="I27"/>
      <c r="J27"/>
      <c r="K27"/>
      <c r="M27" s="12"/>
      <c r="N27" s="12"/>
    </row>
    <row r="28" spans="1:18" x14ac:dyDescent="0.3">
      <c r="B28" s="113">
        <f t="shared" si="3"/>
        <v>2019</v>
      </c>
      <c r="C28" s="114">
        <f t="shared" si="1"/>
        <v>1.9429786146374712</v>
      </c>
      <c r="D28" s="114">
        <f t="shared" si="1"/>
        <v>1.3595911193471395</v>
      </c>
      <c r="E28" s="115">
        <f t="shared" si="2"/>
        <v>1141538.645126408</v>
      </c>
      <c r="F28" s="115">
        <f t="shared" si="2"/>
        <v>1140646.2578821464</v>
      </c>
      <c r="G28" s="98"/>
      <c r="H28"/>
      <c r="I28"/>
      <c r="J28"/>
      <c r="K28"/>
      <c r="M28" s="12"/>
      <c r="N28" s="12"/>
    </row>
    <row r="29" spans="1:18" x14ac:dyDescent="0.3">
      <c r="B29" s="116" t="s">
        <v>323</v>
      </c>
      <c r="C29" s="98"/>
      <c r="D29" s="98"/>
      <c r="E29" s="112">
        <f>SUM(E25:E28)</f>
        <v>4147483.5592255597</v>
      </c>
      <c r="F29" s="112">
        <f>SUM(F25:F28)</f>
        <v>4141377.7530661626</v>
      </c>
      <c r="G29" s="98"/>
      <c r="H29"/>
      <c r="I29"/>
      <c r="J29"/>
      <c r="K29"/>
      <c r="M29" s="12"/>
      <c r="N29" s="12"/>
    </row>
    <row r="30" spans="1:18" x14ac:dyDescent="0.3">
      <c r="B30" s="100"/>
      <c r="C30" s="99"/>
      <c r="D30" s="98"/>
      <c r="E30" s="98"/>
      <c r="F30" s="98"/>
      <c r="G30" s="98"/>
    </row>
    <row r="31" spans="1:18" x14ac:dyDescent="0.3">
      <c r="A31" s="7" t="s">
        <v>15</v>
      </c>
      <c r="B31" s="5" t="s">
        <v>44</v>
      </c>
      <c r="C31" s="5"/>
      <c r="D31" s="5"/>
      <c r="E31" s="5"/>
      <c r="F31" s="5"/>
      <c r="G31" s="5"/>
      <c r="H31" s="5"/>
      <c r="I31" s="5"/>
      <c r="J31" s="5"/>
      <c r="K31" s="5"/>
      <c r="L31" s="5"/>
    </row>
    <row r="32" spans="1:18" x14ac:dyDescent="0.3">
      <c r="A32" s="7"/>
      <c r="B32" s="5"/>
      <c r="C32" s="5"/>
      <c r="D32" s="5"/>
      <c r="E32" s="5"/>
      <c r="F32" s="5"/>
      <c r="G32" s="5"/>
      <c r="H32" s="5"/>
      <c r="I32" s="5"/>
      <c r="J32" s="5"/>
      <c r="K32" s="5"/>
      <c r="L32" s="5"/>
    </row>
    <row r="33" spans="1:16" x14ac:dyDescent="0.3">
      <c r="A33" s="7"/>
      <c r="B33" s="7" t="s">
        <v>16</v>
      </c>
      <c r="C33" s="5" t="s">
        <v>45</v>
      </c>
      <c r="D33" s="5"/>
      <c r="E33" s="5"/>
      <c r="F33" s="5"/>
      <c r="G33" s="5"/>
      <c r="H33" s="5"/>
      <c r="I33" s="5"/>
      <c r="J33" s="5"/>
      <c r="K33" s="5"/>
      <c r="L33" s="5"/>
    </row>
    <row r="34" spans="1:16" x14ac:dyDescent="0.3">
      <c r="A34" s="7"/>
      <c r="B34" s="7"/>
      <c r="C34" s="5"/>
      <c r="D34" s="5"/>
      <c r="E34" s="5"/>
      <c r="F34" s="5"/>
      <c r="G34" s="5"/>
      <c r="H34" s="5"/>
      <c r="I34" s="5"/>
      <c r="J34" s="5"/>
      <c r="K34" s="5"/>
      <c r="L34" s="5"/>
    </row>
    <row r="35" spans="1:16" x14ac:dyDescent="0.3">
      <c r="A35" s="7"/>
      <c r="B35" s="7" t="s">
        <v>17</v>
      </c>
      <c r="C35" s="5" t="s">
        <v>46</v>
      </c>
      <c r="D35" s="5"/>
      <c r="E35" s="5"/>
      <c r="F35" s="5"/>
      <c r="G35" s="5"/>
      <c r="H35" s="5"/>
      <c r="I35" s="5"/>
      <c r="J35" s="5"/>
      <c r="K35" s="5"/>
      <c r="L35" s="5"/>
    </row>
    <row r="36" spans="1:16" x14ac:dyDescent="0.3">
      <c r="A36" s="4"/>
      <c r="B36" s="4"/>
      <c r="C36" s="4"/>
      <c r="D36" s="4"/>
      <c r="E36" s="4"/>
      <c r="F36" s="4"/>
      <c r="G36" s="5"/>
      <c r="H36" s="5"/>
      <c r="I36" s="5"/>
      <c r="J36" s="5"/>
      <c r="K36" s="5"/>
      <c r="L36" s="5"/>
    </row>
    <row r="37" spans="1:16" x14ac:dyDescent="0.3">
      <c r="A37" s="10"/>
      <c r="B37" s="10"/>
      <c r="C37" s="10"/>
      <c r="D37" s="10"/>
      <c r="E37" s="10"/>
      <c r="F37" s="10"/>
      <c r="G37" s="10"/>
      <c r="H37" s="10"/>
      <c r="I37" s="10"/>
      <c r="J37" s="10"/>
      <c r="K37" s="10"/>
      <c r="L37" s="10"/>
    </row>
    <row r="38" spans="1:16" x14ac:dyDescent="0.3">
      <c r="A38" s="10" t="s">
        <v>10</v>
      </c>
      <c r="B38" s="10"/>
      <c r="C38" s="10"/>
      <c r="D38" s="10"/>
      <c r="E38" s="10"/>
      <c r="F38" s="10"/>
      <c r="G38" s="10"/>
      <c r="H38" s="10"/>
      <c r="I38" s="10"/>
      <c r="J38" s="10"/>
      <c r="K38" s="10"/>
      <c r="L38" s="10"/>
    </row>
    <row r="39" spans="1:16" x14ac:dyDescent="0.3">
      <c r="A39" s="10"/>
      <c r="B39" s="100"/>
      <c r="C39" s="347" t="s">
        <v>324</v>
      </c>
      <c r="D39" s="347"/>
      <c r="E39" s="118" t="s">
        <v>325</v>
      </c>
      <c r="F39" s="118"/>
      <c r="G39" s="118" t="s">
        <v>326</v>
      </c>
      <c r="H39" s="118"/>
      <c r="I39" s="10"/>
      <c r="J39"/>
      <c r="K39"/>
      <c r="L39"/>
      <c r="M39"/>
      <c r="N39"/>
      <c r="O39"/>
      <c r="P39"/>
    </row>
    <row r="40" spans="1:16" x14ac:dyDescent="0.3">
      <c r="B40" s="107" t="s">
        <v>5</v>
      </c>
      <c r="C40" s="347" t="s">
        <v>327</v>
      </c>
      <c r="D40" s="347"/>
      <c r="E40" s="119" t="s">
        <v>328</v>
      </c>
      <c r="F40" s="118"/>
      <c r="G40" s="119" t="s">
        <v>329</v>
      </c>
      <c r="H40" s="118"/>
      <c r="J40"/>
      <c r="K40"/>
      <c r="L40"/>
      <c r="M40"/>
      <c r="N40"/>
      <c r="O40"/>
      <c r="P40"/>
    </row>
    <row r="41" spans="1:16" x14ac:dyDescent="0.3">
      <c r="B41" s="108" t="s">
        <v>7</v>
      </c>
      <c r="C41" s="108" t="s">
        <v>0</v>
      </c>
      <c r="D41" s="108" t="s">
        <v>2</v>
      </c>
      <c r="E41" s="109" t="s">
        <v>0</v>
      </c>
      <c r="F41" s="109" t="s">
        <v>2</v>
      </c>
      <c r="G41" s="109" t="s">
        <v>0</v>
      </c>
      <c r="H41" s="109" t="s">
        <v>2</v>
      </c>
      <c r="J41"/>
      <c r="K41"/>
      <c r="L41"/>
      <c r="M41"/>
      <c r="N41"/>
      <c r="O41"/>
      <c r="P41"/>
    </row>
    <row r="42" spans="1:16" x14ac:dyDescent="0.3">
      <c r="B42" s="107">
        <v>2016</v>
      </c>
      <c r="C42" s="120">
        <f t="shared" ref="C42:D45" si="4">1/C25</f>
        <v>0.96993198837202954</v>
      </c>
      <c r="D42" s="120">
        <f t="shared" si="4"/>
        <v>0.98039258491943848</v>
      </c>
      <c r="E42" s="112">
        <f t="shared" ref="E42:F45" si="5">C42*$G8</f>
        <v>862742.86447305977</v>
      </c>
      <c r="F42" s="112">
        <f t="shared" si="5"/>
        <v>872047.4395748215</v>
      </c>
      <c r="G42" s="112">
        <f t="shared" ref="G42:H45" si="6">C8-E42</f>
        <v>26447.135526940227</v>
      </c>
      <c r="H42" s="112">
        <f t="shared" si="6"/>
        <v>26122.560425178497</v>
      </c>
      <c r="J42"/>
      <c r="K42"/>
      <c r="L42"/>
      <c r="M42"/>
      <c r="N42"/>
      <c r="O42"/>
      <c r="P42"/>
    </row>
    <row r="43" spans="1:16" x14ac:dyDescent="0.3">
      <c r="B43" s="107">
        <f>B42+1</f>
        <v>2017</v>
      </c>
      <c r="C43" s="120">
        <f t="shared" si="4"/>
        <v>0.90289143211859357</v>
      </c>
      <c r="D43" s="120">
        <f t="shared" si="4"/>
        <v>0.96117034050563144</v>
      </c>
      <c r="E43" s="112">
        <f t="shared" si="5"/>
        <v>901518.13425034122</v>
      </c>
      <c r="F43" s="112">
        <f t="shared" si="5"/>
        <v>959708.40041772241</v>
      </c>
      <c r="G43" s="112">
        <f t="shared" si="6"/>
        <v>14821.865749658784</v>
      </c>
      <c r="H43" s="112">
        <f t="shared" si="6"/>
        <v>4861.5995822775876</v>
      </c>
      <c r="J43"/>
      <c r="K43"/>
      <c r="L43"/>
      <c r="M43"/>
      <c r="N43"/>
      <c r="O43"/>
      <c r="P43"/>
    </row>
    <row r="44" spans="1:16" x14ac:dyDescent="0.3">
      <c r="B44" s="107">
        <f t="shared" ref="B44:B45" si="7">B43+1</f>
        <v>2018</v>
      </c>
      <c r="C44" s="120">
        <f t="shared" si="4"/>
        <v>0.77395784859720496</v>
      </c>
      <c r="D44" s="120">
        <f t="shared" si="4"/>
        <v>0.88997235159859722</v>
      </c>
      <c r="E44" s="112">
        <f t="shared" si="5"/>
        <v>862045.08717744728</v>
      </c>
      <c r="F44" s="112">
        <f t="shared" si="5"/>
        <v>991263.66482344002</v>
      </c>
      <c r="G44" s="112">
        <f t="shared" si="6"/>
        <v>-37105.087177447276</v>
      </c>
      <c r="H44" s="112">
        <f t="shared" si="6"/>
        <v>-32033.66482344002</v>
      </c>
      <c r="J44"/>
      <c r="K44"/>
      <c r="L44"/>
      <c r="M44"/>
      <c r="N44"/>
      <c r="O44"/>
      <c r="P44"/>
    </row>
    <row r="45" spans="1:16" x14ac:dyDescent="0.3">
      <c r="B45" s="108">
        <f t="shared" si="7"/>
        <v>2019</v>
      </c>
      <c r="C45" s="121">
        <f t="shared" si="4"/>
        <v>0.51467370380017485</v>
      </c>
      <c r="D45" s="121">
        <f t="shared" si="4"/>
        <v>0.73551524849631911</v>
      </c>
      <c r="E45" s="115">
        <f t="shared" si="5"/>
        <v>588230.35487359203</v>
      </c>
      <c r="F45" s="115">
        <f t="shared" si="5"/>
        <v>840634.35229616449</v>
      </c>
      <c r="G45" s="115">
        <f t="shared" si="6"/>
        <v>-1380.354873592034</v>
      </c>
      <c r="H45" s="115">
        <f t="shared" si="6"/>
        <v>-2272.7421178536024</v>
      </c>
      <c r="J45"/>
      <c r="K45"/>
      <c r="L45"/>
      <c r="M45"/>
      <c r="N45"/>
      <c r="O45"/>
      <c r="P45"/>
    </row>
    <row r="46" spans="1:16" x14ac:dyDescent="0.3">
      <c r="B46" s="116" t="s">
        <v>323</v>
      </c>
      <c r="C46" s="98"/>
      <c r="D46" s="98"/>
      <c r="E46" s="112">
        <f t="shared" ref="E46:H46" si="8">SUM(E42:E45)</f>
        <v>3214536.4407744403</v>
      </c>
      <c r="F46" s="112">
        <f t="shared" si="8"/>
        <v>3663653.8571121488</v>
      </c>
      <c r="G46" s="112">
        <f t="shared" si="8"/>
        <v>2783.5592255597003</v>
      </c>
      <c r="H46" s="112">
        <f t="shared" si="8"/>
        <v>-3322.2469338375377</v>
      </c>
      <c r="J46"/>
      <c r="K46"/>
      <c r="L46"/>
      <c r="M46"/>
      <c r="N46"/>
      <c r="O46"/>
      <c r="P46"/>
    </row>
    <row r="48" spans="1:16" x14ac:dyDescent="0.3">
      <c r="B48" s="2" t="s">
        <v>551</v>
      </c>
    </row>
    <row r="50" spans="1:14" x14ac:dyDescent="0.3">
      <c r="A50" s="6" t="s">
        <v>47</v>
      </c>
      <c r="B50" s="5"/>
      <c r="C50" s="5"/>
      <c r="D50" s="5"/>
      <c r="E50" s="5"/>
      <c r="F50" s="5"/>
      <c r="G50" s="5"/>
      <c r="H50" s="5"/>
      <c r="I50" s="5"/>
      <c r="J50" s="5"/>
      <c r="K50" s="5"/>
      <c r="L50" s="5"/>
    </row>
    <row r="52" spans="1:14" x14ac:dyDescent="0.3">
      <c r="A52" s="5" t="s">
        <v>49</v>
      </c>
      <c r="B52" s="5"/>
      <c r="C52" s="5"/>
      <c r="D52" s="5"/>
      <c r="E52" s="5"/>
      <c r="F52" s="5"/>
      <c r="G52" s="5"/>
      <c r="H52" s="5"/>
      <c r="I52" s="5"/>
      <c r="J52" s="5"/>
      <c r="K52" s="5"/>
      <c r="L52" s="4"/>
    </row>
    <row r="54" spans="1:14" x14ac:dyDescent="0.3">
      <c r="A54" s="6" t="s">
        <v>48</v>
      </c>
      <c r="B54" s="5"/>
      <c r="C54" s="5"/>
      <c r="D54" s="5"/>
      <c r="E54" s="5"/>
      <c r="F54" s="5"/>
      <c r="G54" s="5"/>
      <c r="H54" s="5"/>
      <c r="I54" s="5"/>
      <c r="J54" s="5"/>
      <c r="K54" s="5"/>
      <c r="L54" s="5"/>
    </row>
    <row r="56" spans="1:14" x14ac:dyDescent="0.3">
      <c r="A56" s="7" t="s">
        <v>12</v>
      </c>
      <c r="B56" s="5" t="s">
        <v>50</v>
      </c>
      <c r="C56" s="5"/>
      <c r="D56" s="5"/>
      <c r="E56" s="5"/>
      <c r="F56" s="5"/>
      <c r="G56" s="5"/>
      <c r="H56" s="5"/>
      <c r="I56" s="5"/>
      <c r="J56" s="5"/>
      <c r="K56" s="5"/>
      <c r="L56" s="5"/>
    </row>
    <row r="57" spans="1:14" x14ac:dyDescent="0.3">
      <c r="A57" s="4"/>
      <c r="B57" s="4"/>
      <c r="C57" s="4"/>
      <c r="D57" s="4"/>
      <c r="E57" s="4"/>
      <c r="F57" s="4"/>
      <c r="G57" s="5"/>
      <c r="H57" s="5"/>
      <c r="I57" s="5"/>
      <c r="J57" s="5"/>
      <c r="K57" s="5"/>
      <c r="L57" s="5"/>
    </row>
    <row r="58" spans="1:14" x14ac:dyDescent="0.3">
      <c r="A58" s="10"/>
      <c r="B58" s="10"/>
      <c r="C58" s="10"/>
      <c r="D58" s="10"/>
      <c r="E58" s="10"/>
      <c r="F58" s="10"/>
      <c r="G58" s="10"/>
      <c r="H58" s="10"/>
      <c r="I58" s="10"/>
      <c r="J58" s="10"/>
      <c r="K58" s="10"/>
      <c r="L58" s="10"/>
    </row>
    <row r="59" spans="1:14" x14ac:dyDescent="0.3">
      <c r="A59" s="10" t="s">
        <v>10</v>
      </c>
      <c r="B59" s="10"/>
      <c r="C59" s="10"/>
      <c r="D59" s="10"/>
      <c r="E59" s="10"/>
      <c r="F59" s="10"/>
      <c r="G59" s="10"/>
      <c r="H59" s="10"/>
      <c r="I59" s="10"/>
      <c r="J59" s="10"/>
      <c r="K59" s="10"/>
      <c r="L59" s="10"/>
    </row>
    <row r="60" spans="1:14" x14ac:dyDescent="0.3">
      <c r="A60" s="10"/>
      <c r="B60" s="107" t="s">
        <v>5</v>
      </c>
      <c r="C60" s="116" t="s">
        <v>330</v>
      </c>
      <c r="D60" s="103"/>
      <c r="E60" s="10"/>
      <c r="F60" s="10"/>
      <c r="G60" s="10"/>
      <c r="H60" s="10"/>
      <c r="I60" s="10"/>
      <c r="J60" s="10"/>
      <c r="K60" s="10"/>
      <c r="L60" s="10"/>
    </row>
    <row r="61" spans="1:14" x14ac:dyDescent="0.3">
      <c r="B61" s="108" t="s">
        <v>7</v>
      </c>
      <c r="C61" s="109" t="s">
        <v>331</v>
      </c>
      <c r="D61" s="98"/>
    </row>
    <row r="62" spans="1:14" x14ac:dyDescent="0.3">
      <c r="B62" s="107">
        <v>2016</v>
      </c>
      <c r="C62" s="112">
        <f>C8+E25*(1-1/C25)</f>
        <v>916730.34830549068</v>
      </c>
      <c r="D62" s="98"/>
    </row>
    <row r="63" spans="1:14" x14ac:dyDescent="0.3">
      <c r="B63" s="107">
        <f>B62+1</f>
        <v>2017</v>
      </c>
      <c r="C63" s="112">
        <f>C9+E26*(1-1/C26)</f>
        <v>1014740.1959059386</v>
      </c>
      <c r="D63" s="98"/>
      <c r="M63" s="10"/>
      <c r="N63" s="10"/>
    </row>
    <row r="64" spans="1:14" x14ac:dyDescent="0.3">
      <c r="B64" s="107">
        <f t="shared" ref="B64:B65" si="9">B63+1</f>
        <v>2018</v>
      </c>
      <c r="C64" s="112">
        <f>C10+E27*(1-1/C27)</f>
        <v>1068321.5990889743</v>
      </c>
      <c r="D64" s="98"/>
      <c r="M64" s="10"/>
      <c r="N64" s="10"/>
    </row>
    <row r="65" spans="2:14" x14ac:dyDescent="0.3">
      <c r="B65" s="108">
        <f t="shared" si="9"/>
        <v>2019</v>
      </c>
      <c r="C65" s="115">
        <f>C11+E28*(1-1/C28)</f>
        <v>1140868.7226081663</v>
      </c>
      <c r="D65" s="98"/>
      <c r="M65" s="10"/>
      <c r="N65" s="10"/>
    </row>
    <row r="66" spans="2:14" x14ac:dyDescent="0.3">
      <c r="B66" s="116" t="s">
        <v>323</v>
      </c>
      <c r="C66" s="112">
        <f>SUM(C62:C65)</f>
        <v>4140660.8659085701</v>
      </c>
      <c r="D66" s="98"/>
    </row>
  </sheetData>
  <mergeCells count="10">
    <mergeCell ref="C23:D23"/>
    <mergeCell ref="E23:F23"/>
    <mergeCell ref="C39:D39"/>
    <mergeCell ref="C40:D40"/>
    <mergeCell ref="C5:D5"/>
    <mergeCell ref="E5:F5"/>
    <mergeCell ref="C6:D6"/>
    <mergeCell ref="E6:F6"/>
    <mergeCell ref="C22:D22"/>
    <mergeCell ref="E22:F22"/>
  </mergeCells>
  <pageMargins left="0.39370078740157483" right="0.39370078740157483" top="0.39370078740157483" bottom="0.39370078740157483" header="0.31496062992125984" footer="0.31496062992125984"/>
  <pageSetup scale="78" orientation="portrait" verticalDpi="1200" r:id="rId1"/>
  <headerFooter>
    <oddFooter>&amp;L&amp;F [&amp;A]&amp;R&amp;P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56126-0ECF-4D40-9AA0-8E6C15CC873E}">
  <dimension ref="A1:R61"/>
  <sheetViews>
    <sheetView zoomScaleNormal="100" workbookViewId="0"/>
  </sheetViews>
  <sheetFormatPr defaultRowHeight="15.6" x14ac:dyDescent="0.3"/>
  <cols>
    <col min="1" max="1" width="8.88671875" style="2" customWidth="1"/>
    <col min="2" max="3" width="14.77734375" style="2" customWidth="1"/>
    <col min="4" max="4" width="14.88671875" style="2" customWidth="1"/>
    <col min="5" max="5" width="15" style="2" customWidth="1"/>
    <col min="6" max="7" width="12.77734375" style="2" customWidth="1"/>
    <col min="8" max="9" width="8.88671875" style="2" customWidth="1"/>
    <col min="10" max="10" width="8.88671875" style="2"/>
    <col min="11" max="11" width="8.88671875" style="2" customWidth="1"/>
    <col min="12" max="16384" width="8.88671875" style="2"/>
  </cols>
  <sheetData>
    <row r="1" spans="1:12" ht="17.399999999999999" x14ac:dyDescent="0.3">
      <c r="A1" s="3" t="s">
        <v>278</v>
      </c>
      <c r="B1" s="5"/>
      <c r="C1" s="23" t="s">
        <v>68</v>
      </c>
      <c r="D1" s="5"/>
      <c r="E1" s="5"/>
      <c r="F1" s="5"/>
      <c r="G1" s="5"/>
      <c r="H1" s="5"/>
      <c r="I1" s="5"/>
      <c r="J1" s="5"/>
      <c r="K1" s="5"/>
      <c r="L1" s="4"/>
    </row>
    <row r="2" spans="1:12" x14ac:dyDescent="0.3">
      <c r="A2" s="5"/>
      <c r="B2" s="5"/>
      <c r="C2" s="5"/>
      <c r="D2" s="5"/>
      <c r="E2" s="5"/>
      <c r="F2" s="5"/>
      <c r="G2" s="5"/>
      <c r="H2" s="5"/>
      <c r="I2" s="5"/>
      <c r="J2" s="5"/>
      <c r="K2" s="5"/>
      <c r="L2" s="4"/>
    </row>
    <row r="3" spans="1:12" x14ac:dyDescent="0.3">
      <c r="A3" s="5" t="s">
        <v>279</v>
      </c>
      <c r="B3" s="5"/>
      <c r="C3" s="5"/>
      <c r="D3" s="5"/>
      <c r="E3" s="5"/>
      <c r="F3" s="5"/>
      <c r="G3" s="5"/>
      <c r="H3" s="5"/>
      <c r="I3" s="5"/>
      <c r="J3" s="5"/>
      <c r="K3" s="5"/>
      <c r="L3" s="4"/>
    </row>
    <row r="4" spans="1:12" x14ac:dyDescent="0.3">
      <c r="A4" s="23"/>
      <c r="B4" s="23"/>
      <c r="C4" s="23"/>
      <c r="D4" s="23"/>
      <c r="E4" s="23"/>
      <c r="F4" s="23"/>
      <c r="G4" s="23"/>
      <c r="H4" s="23"/>
      <c r="I4" s="56"/>
      <c r="J4" s="56"/>
      <c r="K4" s="23"/>
      <c r="L4" s="23"/>
    </row>
    <row r="5" spans="1:12" x14ac:dyDescent="0.3">
      <c r="A5" s="23"/>
      <c r="B5" s="393"/>
      <c r="C5" s="413"/>
      <c r="D5" s="368" t="s">
        <v>303</v>
      </c>
      <c r="E5" s="369"/>
      <c r="F5" s="369"/>
      <c r="G5" s="369"/>
      <c r="H5" s="23"/>
      <c r="I5" s="56"/>
      <c r="J5" s="56"/>
      <c r="K5" s="23"/>
      <c r="L5" s="23"/>
    </row>
    <row r="6" spans="1:12" x14ac:dyDescent="0.3">
      <c r="A6" s="23"/>
      <c r="B6" s="395" t="s">
        <v>280</v>
      </c>
      <c r="C6" s="414"/>
      <c r="D6" s="83">
        <v>500000</v>
      </c>
      <c r="E6" s="81">
        <v>1000000</v>
      </c>
      <c r="F6" s="81">
        <v>1500000</v>
      </c>
      <c r="G6" s="81">
        <v>2000000</v>
      </c>
      <c r="H6" s="23"/>
      <c r="I6" s="56"/>
      <c r="J6" s="56"/>
      <c r="K6" s="23"/>
      <c r="L6" s="23"/>
    </row>
    <row r="7" spans="1:12" x14ac:dyDescent="0.3">
      <c r="A7" s="23"/>
      <c r="B7" s="415">
        <v>2014</v>
      </c>
      <c r="C7" s="415"/>
      <c r="D7" s="65">
        <v>5056</v>
      </c>
      <c r="E7" s="65">
        <v>4424</v>
      </c>
      <c r="F7" s="65">
        <v>3476</v>
      </c>
      <c r="G7" s="65">
        <v>2844</v>
      </c>
      <c r="H7" s="23"/>
      <c r="I7" s="56"/>
      <c r="J7" s="56"/>
      <c r="K7" s="23"/>
      <c r="L7" s="23"/>
    </row>
    <row r="8" spans="1:12" x14ac:dyDescent="0.3">
      <c r="A8" s="23"/>
      <c r="B8" s="372">
        <v>2015</v>
      </c>
      <c r="C8" s="372"/>
      <c r="D8" s="65">
        <v>5010</v>
      </c>
      <c r="E8" s="65">
        <v>4843</v>
      </c>
      <c r="F8" s="65">
        <v>3841</v>
      </c>
      <c r="G8" s="65">
        <v>3006</v>
      </c>
      <c r="H8" s="23"/>
      <c r="I8" s="56"/>
      <c r="J8" s="56"/>
      <c r="K8" s="23"/>
      <c r="L8" s="23"/>
    </row>
    <row r="9" spans="1:12" x14ac:dyDescent="0.3">
      <c r="A9" s="23"/>
      <c r="B9" s="372">
        <v>2016</v>
      </c>
      <c r="C9" s="372"/>
      <c r="D9" s="65">
        <v>4816</v>
      </c>
      <c r="E9" s="65">
        <v>4816</v>
      </c>
      <c r="F9" s="65">
        <v>4128</v>
      </c>
      <c r="G9" s="65">
        <v>3440</v>
      </c>
      <c r="H9" s="23"/>
      <c r="I9" s="56"/>
      <c r="J9" s="56"/>
      <c r="K9" s="23"/>
      <c r="L9" s="23"/>
    </row>
    <row r="10" spans="1:12" x14ac:dyDescent="0.3">
      <c r="A10" s="23"/>
      <c r="B10" s="372">
        <v>2017</v>
      </c>
      <c r="C10" s="372"/>
      <c r="D10" s="65">
        <v>4200</v>
      </c>
      <c r="E10" s="65">
        <v>4872</v>
      </c>
      <c r="F10" s="65">
        <v>4032</v>
      </c>
      <c r="G10" s="65">
        <v>3696</v>
      </c>
      <c r="H10" s="23"/>
      <c r="I10" s="56"/>
      <c r="J10" s="56"/>
      <c r="K10" s="23"/>
      <c r="L10" s="23"/>
    </row>
    <row r="11" spans="1:12" x14ac:dyDescent="0.3">
      <c r="A11" s="23"/>
      <c r="B11" s="372">
        <v>2018</v>
      </c>
      <c r="C11" s="372"/>
      <c r="D11" s="65">
        <v>3588</v>
      </c>
      <c r="E11" s="65">
        <v>4524</v>
      </c>
      <c r="F11" s="65">
        <v>3900</v>
      </c>
      <c r="G11" s="65">
        <v>3588</v>
      </c>
      <c r="H11" s="23"/>
      <c r="I11" s="56"/>
      <c r="J11" s="56"/>
      <c r="K11" s="23"/>
      <c r="L11" s="23"/>
    </row>
    <row r="12" spans="1:12" x14ac:dyDescent="0.3">
      <c r="A12" s="23"/>
      <c r="B12" s="372">
        <v>2019</v>
      </c>
      <c r="C12" s="372"/>
      <c r="D12" s="65">
        <v>3108</v>
      </c>
      <c r="E12" s="65">
        <v>4292</v>
      </c>
      <c r="F12" s="65">
        <v>3848</v>
      </c>
      <c r="G12" s="65">
        <v>3552</v>
      </c>
      <c r="H12" s="23"/>
      <c r="I12" s="56"/>
      <c r="J12" s="56"/>
      <c r="K12" s="23"/>
      <c r="L12" s="23"/>
    </row>
    <row r="13" spans="1:12" x14ac:dyDescent="0.3">
      <c r="A13" s="23"/>
      <c r="B13" s="62"/>
      <c r="C13" s="62"/>
      <c r="D13" s="91"/>
      <c r="E13" s="91"/>
      <c r="F13" s="91"/>
      <c r="G13" s="91"/>
      <c r="H13" s="92"/>
      <c r="I13" s="23"/>
      <c r="J13" s="23"/>
      <c r="K13" s="23"/>
      <c r="L13" s="23"/>
    </row>
    <row r="14" spans="1:12" x14ac:dyDescent="0.3">
      <c r="A14" s="23"/>
      <c r="B14" s="93"/>
      <c r="C14" s="94"/>
      <c r="D14" s="369" t="s">
        <v>304</v>
      </c>
      <c r="E14" s="369"/>
      <c r="F14" s="369"/>
      <c r="G14" s="369"/>
      <c r="H14" s="23"/>
      <c r="I14" s="23"/>
      <c r="J14" s="23"/>
      <c r="K14" s="23"/>
      <c r="L14" s="23"/>
    </row>
    <row r="15" spans="1:12" x14ac:dyDescent="0.3">
      <c r="A15" s="23"/>
      <c r="B15" s="411"/>
      <c r="C15" s="412"/>
      <c r="D15" s="81">
        <v>500000</v>
      </c>
      <c r="E15" s="81">
        <v>1000000</v>
      </c>
      <c r="F15" s="81">
        <v>1500000</v>
      </c>
      <c r="G15" s="81">
        <v>2000000</v>
      </c>
      <c r="H15" s="23"/>
      <c r="I15" s="23"/>
      <c r="J15" s="23"/>
      <c r="K15" s="23"/>
      <c r="L15" s="23"/>
    </row>
    <row r="16" spans="1:12" x14ac:dyDescent="0.3">
      <c r="A16" s="23"/>
      <c r="B16" s="409" t="s">
        <v>294</v>
      </c>
      <c r="C16" s="409"/>
      <c r="D16" s="82">
        <v>0.82</v>
      </c>
      <c r="E16" s="82">
        <v>1</v>
      </c>
      <c r="F16" s="82">
        <v>1.1499999999999999</v>
      </c>
      <c r="G16" s="82">
        <v>1.27</v>
      </c>
      <c r="H16" s="23"/>
      <c r="I16" s="23"/>
      <c r="J16" s="23"/>
      <c r="K16" s="23"/>
      <c r="L16" s="23"/>
    </row>
    <row r="17" spans="1:18" x14ac:dyDescent="0.3">
      <c r="A17" s="23"/>
      <c r="B17" s="410" t="s">
        <v>295</v>
      </c>
      <c r="C17" s="410"/>
      <c r="D17" s="82">
        <v>0.85</v>
      </c>
      <c r="E17" s="82">
        <v>1</v>
      </c>
      <c r="F17" s="82">
        <v>1.1299999999999999</v>
      </c>
      <c r="G17" s="82">
        <v>1.24</v>
      </c>
      <c r="H17" s="23"/>
      <c r="I17" s="23"/>
      <c r="J17" s="23"/>
      <c r="K17" s="23"/>
      <c r="L17" s="23"/>
    </row>
    <row r="18" spans="1:18" x14ac:dyDescent="0.3">
      <c r="A18" s="23"/>
      <c r="B18" s="23"/>
      <c r="C18" s="23"/>
      <c r="D18" s="23"/>
      <c r="E18" s="23"/>
      <c r="F18" s="23"/>
      <c r="G18" s="23"/>
      <c r="H18" s="23"/>
      <c r="I18" s="23"/>
      <c r="J18" s="23"/>
      <c r="K18" s="23"/>
      <c r="L18" s="23"/>
    </row>
    <row r="19" spans="1:18" x14ac:dyDescent="0.3">
      <c r="A19" s="10"/>
      <c r="B19" s="10"/>
      <c r="C19" s="10"/>
      <c r="D19" s="10"/>
      <c r="E19" s="10"/>
      <c r="F19" s="10"/>
      <c r="G19" s="10"/>
      <c r="H19" s="10"/>
      <c r="I19" s="10"/>
      <c r="J19" s="10"/>
      <c r="K19" s="10"/>
      <c r="L19" s="10"/>
    </row>
    <row r="20" spans="1:18" x14ac:dyDescent="0.3">
      <c r="A20" s="7" t="s">
        <v>14</v>
      </c>
      <c r="B20" s="5" t="s">
        <v>281</v>
      </c>
      <c r="C20" s="5"/>
      <c r="D20" s="5"/>
      <c r="E20" s="5"/>
      <c r="F20" s="5"/>
      <c r="G20" s="5"/>
      <c r="H20" s="5"/>
      <c r="I20" s="5"/>
      <c r="J20" s="5"/>
      <c r="K20" s="5"/>
      <c r="L20" s="5"/>
      <c r="M20" s="12"/>
      <c r="N20" s="12"/>
      <c r="O20" s="12"/>
      <c r="P20" s="12"/>
      <c r="Q20" s="12"/>
      <c r="R20" s="12"/>
    </row>
    <row r="21" spans="1:18" x14ac:dyDescent="0.3">
      <c r="A21" s="4"/>
      <c r="B21" s="4"/>
      <c r="C21" s="4"/>
      <c r="D21" s="4"/>
      <c r="E21" s="4"/>
      <c r="F21" s="4"/>
      <c r="G21" s="5"/>
      <c r="H21" s="5"/>
      <c r="I21" s="5"/>
      <c r="J21" s="5"/>
      <c r="K21" s="5"/>
      <c r="L21" s="5"/>
    </row>
    <row r="22" spans="1:18" x14ac:dyDescent="0.3">
      <c r="A22" s="10"/>
      <c r="B22" s="10"/>
      <c r="C22" s="10"/>
      <c r="D22" s="10"/>
      <c r="E22" s="10"/>
      <c r="F22" s="10"/>
      <c r="G22" s="10"/>
      <c r="H22" s="10"/>
      <c r="I22" s="10"/>
      <c r="J22" s="10"/>
      <c r="K22" s="10"/>
      <c r="L22" s="10"/>
      <c r="M22" s="10"/>
    </row>
    <row r="23" spans="1:18" x14ac:dyDescent="0.3">
      <c r="A23" s="10" t="s">
        <v>10</v>
      </c>
      <c r="B23" s="10"/>
      <c r="C23" s="10"/>
      <c r="D23" s="10"/>
      <c r="E23" s="10"/>
      <c r="F23" s="10"/>
      <c r="G23" s="10"/>
      <c r="H23" s="10"/>
      <c r="I23" s="10"/>
      <c r="J23" s="10"/>
      <c r="K23" s="10"/>
      <c r="L23" s="10"/>
      <c r="M23" s="10"/>
      <c r="N23" s="12"/>
    </row>
    <row r="24" spans="1:18" ht="46.8" x14ac:dyDescent="0.3">
      <c r="A24" s="10"/>
      <c r="B24" s="193" t="s">
        <v>541</v>
      </c>
      <c r="C24" s="193" t="s">
        <v>542</v>
      </c>
      <c r="D24" s="10"/>
      <c r="E24" s="10"/>
      <c r="F24" s="10"/>
      <c r="G24" s="10"/>
      <c r="H24" s="10"/>
      <c r="I24" s="10"/>
      <c r="J24" s="10"/>
      <c r="K24" s="10"/>
      <c r="L24" s="10"/>
      <c r="M24" s="10"/>
      <c r="N24" s="12"/>
    </row>
    <row r="25" spans="1:18" x14ac:dyDescent="0.3">
      <c r="A25" s="10"/>
      <c r="B25" s="116">
        <f t="shared" ref="B25:B30" si="0">SUMPRODUCT(D7:G7,$D$17:$G$17)/SUM(D7:G7)</f>
        <v>1.0237999999999998</v>
      </c>
      <c r="C25" s="116"/>
      <c r="D25" s="10"/>
      <c r="E25" s="10"/>
      <c r="F25" s="10"/>
      <c r="G25" s="10"/>
      <c r="H25" s="10"/>
      <c r="I25" s="10"/>
      <c r="J25" s="10"/>
      <c r="K25" s="10"/>
      <c r="L25" s="10"/>
      <c r="M25" s="10"/>
      <c r="N25" s="12"/>
    </row>
    <row r="26" spans="1:18" x14ac:dyDescent="0.3">
      <c r="A26" s="10"/>
      <c r="B26" s="116">
        <f t="shared" si="0"/>
        <v>1.0281</v>
      </c>
      <c r="C26" s="183">
        <f>B26/B25-1</f>
        <v>4.2000390701311119E-3</v>
      </c>
      <c r="D26" s="10"/>
      <c r="E26" s="10"/>
      <c r="F26" s="10"/>
      <c r="G26" s="10"/>
      <c r="H26" s="10"/>
      <c r="I26" s="10"/>
      <c r="J26" s="10"/>
      <c r="K26" s="10"/>
      <c r="L26" s="10"/>
      <c r="M26" s="10"/>
      <c r="N26" s="12"/>
    </row>
    <row r="27" spans="1:18" x14ac:dyDescent="0.3">
      <c r="A27" s="10"/>
      <c r="B27" s="116">
        <f t="shared" si="0"/>
        <v>1.0371999999999999</v>
      </c>
      <c r="C27" s="183">
        <f t="shared" ref="C27:C30" si="1">B27/B26-1</f>
        <v>8.8512790584571732E-3</v>
      </c>
      <c r="D27" s="10"/>
      <c r="E27" s="10"/>
      <c r="F27" s="10"/>
      <c r="G27" s="10"/>
      <c r="H27" s="10"/>
      <c r="I27" s="10"/>
      <c r="J27" s="10"/>
      <c r="K27" s="10"/>
      <c r="L27" s="10"/>
      <c r="M27" s="10"/>
      <c r="N27" s="12"/>
    </row>
    <row r="28" spans="1:18" x14ac:dyDescent="0.3">
      <c r="A28" s="10"/>
      <c r="B28" s="116">
        <f t="shared" si="0"/>
        <v>1.0465</v>
      </c>
      <c r="C28" s="183">
        <f t="shared" si="1"/>
        <v>8.9664481295796961E-3</v>
      </c>
      <c r="D28" s="10"/>
      <c r="E28" s="10"/>
      <c r="F28" s="10"/>
      <c r="G28" s="10"/>
      <c r="H28" s="10"/>
      <c r="I28" s="10"/>
      <c r="J28" s="10"/>
      <c r="K28" s="10"/>
      <c r="L28" s="10"/>
      <c r="M28" s="10"/>
      <c r="N28" s="12"/>
    </row>
    <row r="29" spans="1:18" x14ac:dyDescent="0.3">
      <c r="A29" s="10"/>
      <c r="B29" s="116">
        <f t="shared" si="0"/>
        <v>1.0531999999999999</v>
      </c>
      <c r="C29" s="183">
        <f t="shared" si="1"/>
        <v>6.4022933588150366E-3</v>
      </c>
      <c r="D29" s="10"/>
      <c r="E29" s="10"/>
      <c r="F29" s="10"/>
      <c r="G29" s="10"/>
      <c r="H29" s="10"/>
      <c r="I29" s="10"/>
      <c r="J29" s="10"/>
      <c r="K29" s="10"/>
      <c r="L29" s="10"/>
      <c r="M29" s="10"/>
      <c r="N29" s="12"/>
    </row>
    <row r="30" spans="1:18" x14ac:dyDescent="0.3">
      <c r="A30" s="10"/>
      <c r="B30" s="116">
        <f t="shared" si="0"/>
        <v>1.0598999999999998</v>
      </c>
      <c r="C30" s="183">
        <f t="shared" si="1"/>
        <v>6.3615647550321341E-3</v>
      </c>
      <c r="D30" s="10"/>
      <c r="E30" s="10"/>
      <c r="F30" s="10"/>
      <c r="G30" s="10"/>
      <c r="H30" s="10"/>
      <c r="I30" s="10"/>
      <c r="J30" s="10"/>
      <c r="K30" s="10"/>
      <c r="L30" s="10"/>
      <c r="M30" s="10"/>
      <c r="N30" s="12"/>
    </row>
    <row r="32" spans="1:18" x14ac:dyDescent="0.3">
      <c r="A32" s="7" t="s">
        <v>15</v>
      </c>
      <c r="B32" s="5" t="s">
        <v>282</v>
      </c>
      <c r="C32" s="5"/>
      <c r="D32" s="5"/>
      <c r="E32" s="5"/>
      <c r="F32" s="5"/>
      <c r="G32" s="5"/>
      <c r="H32" s="5"/>
      <c r="I32" s="5"/>
      <c r="J32" s="5"/>
      <c r="K32" s="5"/>
      <c r="L32" s="5"/>
    </row>
    <row r="33" spans="1:13" x14ac:dyDescent="0.3">
      <c r="A33" s="4"/>
      <c r="B33" s="4"/>
      <c r="C33" s="4"/>
      <c r="D33" s="4"/>
      <c r="E33" s="4"/>
      <c r="F33" s="4"/>
      <c r="G33" s="5"/>
      <c r="H33" s="5"/>
      <c r="I33" s="5"/>
      <c r="J33" s="5"/>
      <c r="K33" s="5"/>
      <c r="L33" s="5"/>
    </row>
    <row r="34" spans="1:13" x14ac:dyDescent="0.3">
      <c r="A34" s="10"/>
      <c r="B34" s="10"/>
      <c r="C34" s="10"/>
      <c r="D34" s="10"/>
      <c r="E34" s="10"/>
      <c r="F34" s="10"/>
      <c r="G34" s="10"/>
      <c r="H34" s="10"/>
      <c r="I34" s="10"/>
      <c r="J34" s="10"/>
      <c r="K34" s="10"/>
      <c r="L34" s="10"/>
    </row>
    <row r="35" spans="1:13" x14ac:dyDescent="0.3">
      <c r="A35" s="10" t="s">
        <v>10</v>
      </c>
      <c r="B35" s="10"/>
      <c r="C35" s="10"/>
      <c r="D35" s="10"/>
      <c r="E35" s="10"/>
      <c r="F35" s="10"/>
      <c r="G35" s="10"/>
      <c r="H35" s="10"/>
      <c r="I35" s="10"/>
      <c r="J35" s="10"/>
      <c r="K35" s="10"/>
      <c r="L35" s="10"/>
    </row>
    <row r="36" spans="1:13" x14ac:dyDescent="0.3">
      <c r="A36" s="10"/>
      <c r="B36" s="150" t="s">
        <v>381</v>
      </c>
      <c r="C36" s="182">
        <f>AVERAGE(C26:C30)</f>
        <v>6.9563248744030307E-3</v>
      </c>
      <c r="D36" s="10"/>
      <c r="E36" s="10"/>
      <c r="F36" s="10"/>
      <c r="G36" s="10"/>
      <c r="H36" s="10"/>
      <c r="I36" s="10"/>
      <c r="J36" s="10"/>
      <c r="K36" s="10"/>
      <c r="L36" s="10"/>
    </row>
    <row r="37" spans="1:13" x14ac:dyDescent="0.3">
      <c r="A37" s="10"/>
      <c r="B37" s="150" t="s">
        <v>543</v>
      </c>
      <c r="C37" s="183">
        <f>AVERAGE(C27,C29,C30)</f>
        <v>7.2050457241014483E-3</v>
      </c>
      <c r="D37" s="10"/>
      <c r="E37" s="10"/>
      <c r="F37" s="10"/>
      <c r="G37" s="10"/>
      <c r="H37" s="10"/>
      <c r="I37" s="10"/>
      <c r="J37" s="10"/>
      <c r="K37" s="10"/>
      <c r="L37" s="10"/>
    </row>
    <row r="38" spans="1:13" x14ac:dyDescent="0.3">
      <c r="B38" s="98"/>
      <c r="C38" s="98"/>
      <c r="M38" s="10"/>
    </row>
    <row r="39" spans="1:13" x14ac:dyDescent="0.3">
      <c r="B39" s="2" t="s">
        <v>545</v>
      </c>
      <c r="D39" s="336">
        <f>C37</f>
        <v>7.2050457241014483E-3</v>
      </c>
      <c r="M39" s="10"/>
    </row>
    <row r="40" spans="1:13" x14ac:dyDescent="0.3">
      <c r="B40" s="2" t="s">
        <v>544</v>
      </c>
      <c r="M40" s="10"/>
    </row>
    <row r="42" spans="1:13" x14ac:dyDescent="0.3">
      <c r="A42" s="5" t="s">
        <v>283</v>
      </c>
      <c r="B42" s="5"/>
      <c r="C42" s="5"/>
      <c r="D42" s="5"/>
      <c r="E42" s="5"/>
      <c r="F42" s="5"/>
      <c r="G42" s="5"/>
      <c r="H42" s="5"/>
      <c r="I42" s="5"/>
      <c r="J42" s="5"/>
      <c r="K42" s="5"/>
      <c r="L42" s="4"/>
    </row>
    <row r="43" spans="1:13" x14ac:dyDescent="0.3">
      <c r="A43" s="23"/>
      <c r="B43" s="23"/>
      <c r="C43" s="23"/>
      <c r="D43" s="23"/>
      <c r="E43" s="23"/>
      <c r="F43" s="23"/>
      <c r="G43" s="23"/>
      <c r="H43" s="23"/>
      <c r="I43" s="23"/>
      <c r="J43" s="23"/>
      <c r="K43" s="23"/>
      <c r="L43" s="23"/>
    </row>
    <row r="45" spans="1:13" x14ac:dyDescent="0.3">
      <c r="A45" s="6" t="s">
        <v>47</v>
      </c>
      <c r="B45" s="4"/>
      <c r="C45" s="4"/>
      <c r="D45" s="4"/>
      <c r="E45" s="4"/>
      <c r="F45" s="4"/>
      <c r="G45" s="4"/>
      <c r="H45" s="4"/>
      <c r="I45" s="4"/>
      <c r="J45" s="4"/>
      <c r="K45" s="4"/>
      <c r="L45" s="4"/>
    </row>
    <row r="47" spans="1:13" x14ac:dyDescent="0.3">
      <c r="A47" s="5" t="s">
        <v>90</v>
      </c>
      <c r="B47" s="5"/>
      <c r="C47" s="5"/>
      <c r="D47" s="5"/>
      <c r="E47" s="5"/>
      <c r="F47" s="5"/>
      <c r="G47" s="5"/>
      <c r="H47" s="5"/>
      <c r="I47" s="5"/>
      <c r="J47" s="5"/>
      <c r="K47" s="5"/>
      <c r="L47" s="4"/>
    </row>
    <row r="48" spans="1:13" x14ac:dyDescent="0.3">
      <c r="A48" s="5"/>
      <c r="B48" s="42" t="s">
        <v>63</v>
      </c>
      <c r="C48" s="5" t="s">
        <v>284</v>
      </c>
      <c r="D48" s="5"/>
      <c r="E48" s="5"/>
      <c r="F48" s="5"/>
      <c r="G48" s="5"/>
      <c r="H48" s="5"/>
      <c r="I48" s="5"/>
      <c r="J48" s="5"/>
      <c r="K48" s="5"/>
      <c r="L48" s="4"/>
    </row>
    <row r="49" spans="1:12" x14ac:dyDescent="0.3">
      <c r="A49" s="5"/>
      <c r="B49" s="42" t="s">
        <v>63</v>
      </c>
      <c r="C49" s="5" t="s">
        <v>285</v>
      </c>
      <c r="D49" s="5"/>
      <c r="E49" s="5"/>
      <c r="F49" s="5"/>
      <c r="G49" s="5"/>
      <c r="H49" s="5"/>
      <c r="I49" s="5"/>
      <c r="J49" s="5"/>
      <c r="K49" s="5"/>
      <c r="L49" s="4"/>
    </row>
    <row r="50" spans="1:12" x14ac:dyDescent="0.3">
      <c r="A50" s="5"/>
      <c r="B50" s="42" t="s">
        <v>63</v>
      </c>
      <c r="C50" s="5" t="s">
        <v>286</v>
      </c>
      <c r="D50" s="5"/>
      <c r="E50" s="5"/>
      <c r="F50" s="5"/>
      <c r="G50" s="5"/>
      <c r="H50" s="5"/>
      <c r="I50" s="5"/>
      <c r="J50" s="5"/>
      <c r="K50" s="5"/>
      <c r="L50" s="4"/>
    </row>
    <row r="51" spans="1:12" x14ac:dyDescent="0.3">
      <c r="A51" s="23"/>
      <c r="B51" s="23"/>
      <c r="C51" s="23"/>
      <c r="D51" s="23"/>
      <c r="E51" s="23"/>
      <c r="F51" s="23"/>
      <c r="G51" s="23"/>
      <c r="H51" s="23"/>
      <c r="I51" s="23"/>
      <c r="J51" s="23"/>
      <c r="K51" s="23"/>
      <c r="L51" s="23"/>
    </row>
    <row r="53" spans="1:12" x14ac:dyDescent="0.3">
      <c r="A53" s="7" t="s">
        <v>11</v>
      </c>
      <c r="B53" s="5" t="s">
        <v>287</v>
      </c>
      <c r="C53" s="5"/>
      <c r="D53" s="5"/>
      <c r="E53" s="5"/>
      <c r="F53" s="5"/>
      <c r="G53" s="5"/>
      <c r="H53" s="5"/>
      <c r="I53" s="5"/>
      <c r="J53" s="5"/>
      <c r="K53" s="5"/>
      <c r="L53" s="5"/>
    </row>
    <row r="54" spans="1:12" x14ac:dyDescent="0.3">
      <c r="A54" s="4"/>
      <c r="B54" s="4"/>
      <c r="C54" s="4"/>
      <c r="D54" s="4"/>
      <c r="E54" s="4"/>
      <c r="F54" s="4"/>
      <c r="G54" s="5"/>
      <c r="H54" s="5"/>
      <c r="I54" s="5"/>
      <c r="J54" s="5"/>
      <c r="K54" s="5"/>
      <c r="L54" s="5"/>
    </row>
    <row r="55" spans="1:12" x14ac:dyDescent="0.3">
      <c r="A55" s="10"/>
      <c r="B55" s="10"/>
      <c r="C55" s="10"/>
      <c r="D55" s="10"/>
      <c r="E55" s="10"/>
      <c r="F55" s="10"/>
      <c r="G55" s="10"/>
      <c r="H55" s="10"/>
      <c r="I55" s="10"/>
      <c r="J55" s="10"/>
      <c r="K55" s="10"/>
      <c r="L55" s="10"/>
    </row>
    <row r="56" spans="1:12" x14ac:dyDescent="0.3">
      <c r="A56" s="10" t="s">
        <v>10</v>
      </c>
      <c r="B56" s="10"/>
      <c r="C56" s="10"/>
      <c r="D56" s="10"/>
      <c r="E56" s="10"/>
      <c r="F56" s="10"/>
      <c r="G56" s="10"/>
      <c r="H56" s="10"/>
      <c r="I56" s="10"/>
      <c r="J56" s="10"/>
      <c r="K56" s="10"/>
      <c r="L56" s="10"/>
    </row>
    <row r="57" spans="1:12" x14ac:dyDescent="0.3">
      <c r="A57" s="2" t="s">
        <v>547</v>
      </c>
      <c r="E57" s="154">
        <v>44531</v>
      </c>
    </row>
    <row r="58" spans="1:12" x14ac:dyDescent="0.3">
      <c r="A58" s="152" t="s">
        <v>549</v>
      </c>
      <c r="B58" s="207"/>
      <c r="C58" s="207"/>
      <c r="E58" s="337">
        <f>(1+D39)*(1-0.004)-1</f>
        <v>3.1762255412051132E-3</v>
      </c>
      <c r="F58" s="152"/>
      <c r="G58" s="152"/>
      <c r="H58" s="152"/>
      <c r="I58" s="152"/>
    </row>
    <row r="59" spans="1:12" x14ac:dyDescent="0.3">
      <c r="A59" s="265" t="s">
        <v>546</v>
      </c>
      <c r="B59" s="152"/>
      <c r="C59" s="152"/>
      <c r="D59" s="152"/>
      <c r="E59" s="194">
        <f>B30/B28</f>
        <v>1.0128045867176301</v>
      </c>
      <c r="F59" s="207"/>
      <c r="G59" s="198"/>
      <c r="H59" s="152"/>
      <c r="I59" s="152"/>
    </row>
    <row r="60" spans="1:12" x14ac:dyDescent="0.3">
      <c r="A60" s="152" t="s">
        <v>548</v>
      </c>
      <c r="B60" s="152"/>
      <c r="C60" s="152"/>
      <c r="D60" s="152"/>
      <c r="E60" s="152">
        <v>29</v>
      </c>
      <c r="F60" s="207"/>
      <c r="G60" s="198"/>
      <c r="H60" s="152"/>
      <c r="I60" s="152"/>
    </row>
    <row r="61" spans="1:12" x14ac:dyDescent="0.3">
      <c r="A61" s="152" t="s">
        <v>550</v>
      </c>
      <c r="B61" s="152"/>
      <c r="C61" s="152"/>
      <c r="D61" s="152"/>
      <c r="E61" s="198">
        <f>17808000*E59*(1+E58)^(E60/12)</f>
        <v>18174778.016315609</v>
      </c>
      <c r="F61" s="207"/>
      <c r="G61" s="152"/>
      <c r="H61" s="152"/>
    </row>
  </sheetData>
  <mergeCells count="13">
    <mergeCell ref="D5:G5"/>
    <mergeCell ref="B5:C5"/>
    <mergeCell ref="B6:C6"/>
    <mergeCell ref="B7:C7"/>
    <mergeCell ref="D14:G14"/>
    <mergeCell ref="B16:C16"/>
    <mergeCell ref="B17:C17"/>
    <mergeCell ref="B8:C8"/>
    <mergeCell ref="B9:C9"/>
    <mergeCell ref="B10:C10"/>
    <mergeCell ref="B11:C11"/>
    <mergeCell ref="B12:C12"/>
    <mergeCell ref="B15:C15"/>
  </mergeCells>
  <pageMargins left="0.39370078740157483" right="0.39370078740157483" top="0.39370078740157483" bottom="0.39370078740157483" header="0.31496062992125984" footer="0.31496062992125984"/>
  <pageSetup scale="73" orientation="portrait" verticalDpi="1200" r:id="rId1"/>
  <headerFooter>
    <oddFooter>&amp;L&amp;F [&amp;A]&amp;R&amp;P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A3D3A-7754-4A84-A1FC-E2C1D5F6A111}">
  <dimension ref="A1:R58"/>
  <sheetViews>
    <sheetView zoomScaleNormal="100" workbookViewId="0"/>
  </sheetViews>
  <sheetFormatPr defaultRowHeight="15.6" x14ac:dyDescent="0.3"/>
  <cols>
    <col min="1" max="1" width="8.88671875" style="2" customWidth="1"/>
    <col min="2" max="2" width="12.6640625" style="2" customWidth="1"/>
    <col min="3" max="6" width="8.88671875" style="2" customWidth="1"/>
    <col min="7" max="7" width="8.88671875" style="2"/>
    <col min="8" max="8" width="8.88671875" style="2" customWidth="1"/>
    <col min="9" max="16384" width="8.88671875" style="2"/>
  </cols>
  <sheetData>
    <row r="1" spans="1:12" ht="17.399999999999999" x14ac:dyDescent="0.3">
      <c r="A1" s="3" t="s">
        <v>52</v>
      </c>
      <c r="B1" s="5"/>
      <c r="C1" s="23" t="s">
        <v>34</v>
      </c>
      <c r="D1" s="5"/>
      <c r="E1" s="5"/>
      <c r="F1" s="5"/>
      <c r="G1" s="5"/>
      <c r="H1" s="5"/>
      <c r="I1" s="5"/>
      <c r="J1" s="5"/>
      <c r="K1" s="5"/>
      <c r="L1" s="4"/>
    </row>
    <row r="2" spans="1:12" x14ac:dyDescent="0.3">
      <c r="A2" s="5"/>
      <c r="B2" s="5"/>
      <c r="C2" s="5"/>
      <c r="D2" s="5"/>
      <c r="E2" s="5"/>
      <c r="F2" s="5"/>
      <c r="G2" s="5"/>
      <c r="H2" s="5"/>
      <c r="I2" s="5"/>
      <c r="J2" s="5"/>
      <c r="K2" s="5"/>
      <c r="L2" s="4"/>
    </row>
    <row r="4" spans="1:12" x14ac:dyDescent="0.3">
      <c r="A4" s="6" t="s">
        <v>51</v>
      </c>
      <c r="B4" s="4"/>
      <c r="C4" s="4"/>
      <c r="D4" s="4"/>
      <c r="E4" s="4"/>
      <c r="F4" s="4"/>
      <c r="G4" s="4"/>
      <c r="H4" s="4"/>
      <c r="I4" s="4"/>
      <c r="J4" s="4"/>
      <c r="K4" s="4"/>
      <c r="L4" s="4"/>
    </row>
    <row r="5" spans="1:12" x14ac:dyDescent="0.3">
      <c r="A5" s="10"/>
      <c r="B5" s="10"/>
      <c r="C5" s="10"/>
      <c r="D5" s="10"/>
      <c r="E5" s="10"/>
      <c r="F5" s="10"/>
      <c r="G5" s="10"/>
      <c r="H5" s="10"/>
      <c r="I5" s="10"/>
      <c r="J5" s="10"/>
      <c r="K5" s="10"/>
      <c r="L5" s="10"/>
    </row>
    <row r="6" spans="1:12" x14ac:dyDescent="0.3">
      <c r="A6" s="5" t="s">
        <v>53</v>
      </c>
      <c r="B6" s="5"/>
      <c r="C6" s="5"/>
      <c r="D6" s="5"/>
      <c r="E6" s="5"/>
      <c r="F6" s="5"/>
      <c r="G6" s="5"/>
      <c r="H6" s="5"/>
      <c r="I6" s="5"/>
      <c r="J6" s="5"/>
      <c r="K6" s="5"/>
      <c r="L6" s="4"/>
    </row>
    <row r="7" spans="1:12" x14ac:dyDescent="0.3">
      <c r="A7" s="5"/>
      <c r="B7" s="5"/>
      <c r="C7" s="5"/>
      <c r="D7" s="5"/>
      <c r="E7" s="5"/>
      <c r="F7" s="5"/>
      <c r="G7" s="5"/>
      <c r="H7" s="5"/>
      <c r="I7" s="5"/>
      <c r="J7" s="5"/>
      <c r="K7" s="5"/>
      <c r="L7" s="4"/>
    </row>
    <row r="8" spans="1:12" ht="15.6" customHeight="1" x14ac:dyDescent="0.3">
      <c r="A8" s="5"/>
      <c r="B8" s="338" t="s">
        <v>288</v>
      </c>
      <c r="C8" s="339"/>
      <c r="D8" s="339"/>
      <c r="E8" s="339"/>
      <c r="F8" s="339"/>
      <c r="G8" s="339"/>
      <c r="H8" s="339"/>
      <c r="I8" s="339"/>
      <c r="J8" s="340"/>
      <c r="K8" s="5"/>
      <c r="L8" s="4"/>
    </row>
    <row r="9" spans="1:12" ht="15.6" customHeight="1" x14ac:dyDescent="0.3">
      <c r="A9" s="5"/>
      <c r="B9" s="354" t="s">
        <v>54</v>
      </c>
      <c r="C9" s="338" t="s">
        <v>55</v>
      </c>
      <c r="D9" s="339"/>
      <c r="E9" s="339"/>
      <c r="F9" s="339"/>
      <c r="G9" s="339"/>
      <c r="H9" s="339"/>
      <c r="I9" s="339"/>
      <c r="J9" s="340"/>
      <c r="K9" s="5"/>
      <c r="L9" s="4"/>
    </row>
    <row r="10" spans="1:12" x14ac:dyDescent="0.3">
      <c r="A10" s="5"/>
      <c r="B10" s="355"/>
      <c r="C10" s="19">
        <v>2011</v>
      </c>
      <c r="D10" s="19">
        <v>2012</v>
      </c>
      <c r="E10" s="19">
        <v>2013</v>
      </c>
      <c r="F10" s="19">
        <v>2014</v>
      </c>
      <c r="G10" s="19">
        <v>2015</v>
      </c>
      <c r="H10" s="19">
        <v>2016</v>
      </c>
      <c r="I10" s="19">
        <v>2017</v>
      </c>
      <c r="J10" s="19">
        <v>2018</v>
      </c>
      <c r="K10" s="5"/>
      <c r="L10" s="4"/>
    </row>
    <row r="11" spans="1:12" x14ac:dyDescent="0.3">
      <c r="A11" s="5"/>
      <c r="B11" s="22">
        <v>0</v>
      </c>
      <c r="C11" s="22">
        <v>160</v>
      </c>
      <c r="D11" s="22">
        <v>168</v>
      </c>
      <c r="E11" s="22">
        <v>176</v>
      </c>
      <c r="F11" s="22">
        <v>185</v>
      </c>
      <c r="G11" s="22">
        <v>194</v>
      </c>
      <c r="H11" s="22">
        <v>204</v>
      </c>
      <c r="I11" s="22">
        <v>214</v>
      </c>
      <c r="J11" s="22">
        <v>225</v>
      </c>
      <c r="K11" s="5"/>
      <c r="L11" s="4"/>
    </row>
    <row r="12" spans="1:12" x14ac:dyDescent="0.3">
      <c r="A12" s="5"/>
      <c r="B12" s="22">
        <v>1</v>
      </c>
      <c r="C12" s="22">
        <v>240</v>
      </c>
      <c r="D12" s="22">
        <v>252</v>
      </c>
      <c r="E12" s="22">
        <v>265</v>
      </c>
      <c r="F12" s="22">
        <v>278</v>
      </c>
      <c r="G12" s="22">
        <v>292</v>
      </c>
      <c r="H12" s="22">
        <v>306</v>
      </c>
      <c r="I12" s="22">
        <v>322</v>
      </c>
      <c r="J12" s="22">
        <v>338</v>
      </c>
      <c r="K12" s="5"/>
      <c r="L12" s="4"/>
    </row>
    <row r="13" spans="1:12" x14ac:dyDescent="0.3">
      <c r="A13" s="5"/>
      <c r="B13" s="22">
        <v>2</v>
      </c>
      <c r="C13" s="22">
        <v>240</v>
      </c>
      <c r="D13" s="22">
        <v>252</v>
      </c>
      <c r="E13" s="22">
        <v>265</v>
      </c>
      <c r="F13" s="22">
        <v>278</v>
      </c>
      <c r="G13" s="22">
        <v>292</v>
      </c>
      <c r="H13" s="22">
        <v>306</v>
      </c>
      <c r="I13" s="22">
        <v>322</v>
      </c>
      <c r="J13" s="22">
        <v>338</v>
      </c>
      <c r="K13" s="5"/>
      <c r="L13" s="4"/>
    </row>
    <row r="14" spans="1:12" x14ac:dyDescent="0.3">
      <c r="A14" s="5"/>
      <c r="B14" s="22">
        <v>3</v>
      </c>
      <c r="C14" s="22">
        <v>160</v>
      </c>
      <c r="D14" s="22">
        <v>168</v>
      </c>
      <c r="E14" s="22">
        <v>176</v>
      </c>
      <c r="F14" s="22">
        <v>185</v>
      </c>
      <c r="G14" s="22">
        <v>194</v>
      </c>
      <c r="H14" s="22">
        <v>204</v>
      </c>
      <c r="I14" s="22">
        <v>214</v>
      </c>
      <c r="J14" s="22">
        <v>225</v>
      </c>
      <c r="K14" s="5"/>
      <c r="L14" s="4"/>
    </row>
    <row r="15" spans="1:12" x14ac:dyDescent="0.3">
      <c r="A15" s="5"/>
      <c r="B15" s="5"/>
      <c r="C15" s="5"/>
      <c r="D15" s="5"/>
      <c r="E15" s="5"/>
      <c r="F15" s="5"/>
      <c r="G15" s="5"/>
      <c r="H15" s="5"/>
      <c r="I15" s="5"/>
      <c r="J15" s="5"/>
      <c r="K15" s="5"/>
      <c r="L15" s="4"/>
    </row>
    <row r="16" spans="1:12" x14ac:dyDescent="0.3">
      <c r="A16" s="10"/>
      <c r="B16" s="10"/>
      <c r="C16" s="10"/>
      <c r="D16" s="10"/>
      <c r="E16" s="10"/>
      <c r="F16" s="10"/>
      <c r="G16" s="10"/>
      <c r="H16" s="10"/>
      <c r="I16" s="10"/>
      <c r="J16" s="10"/>
      <c r="K16" s="10"/>
      <c r="L16" s="10"/>
    </row>
    <row r="17" spans="1:18" x14ac:dyDescent="0.3">
      <c r="A17" s="7" t="s">
        <v>15</v>
      </c>
      <c r="B17" s="5" t="s">
        <v>56</v>
      </c>
      <c r="C17" s="5"/>
      <c r="D17" s="5"/>
      <c r="E17" s="5"/>
      <c r="F17" s="5"/>
      <c r="G17" s="5"/>
      <c r="H17" s="5"/>
      <c r="I17" s="5"/>
      <c r="J17" s="5"/>
      <c r="K17" s="5"/>
      <c r="L17" s="5"/>
      <c r="M17" s="12"/>
      <c r="N17" s="12"/>
      <c r="O17" s="12"/>
      <c r="P17" s="12"/>
      <c r="Q17" s="12"/>
      <c r="R17" s="12"/>
    </row>
    <row r="18" spans="1:18" x14ac:dyDescent="0.3">
      <c r="A18" s="7"/>
      <c r="B18" s="5"/>
      <c r="C18" s="5"/>
      <c r="D18" s="5"/>
      <c r="E18" s="5"/>
      <c r="F18" s="5"/>
      <c r="G18" s="5"/>
      <c r="H18" s="5"/>
      <c r="I18" s="5"/>
      <c r="J18" s="5"/>
      <c r="K18" s="5"/>
      <c r="L18" s="5"/>
      <c r="M18" s="12"/>
      <c r="N18" s="12"/>
      <c r="O18" s="12"/>
      <c r="P18" s="12"/>
      <c r="Q18" s="12"/>
      <c r="R18" s="12"/>
    </row>
    <row r="19" spans="1:18" x14ac:dyDescent="0.3">
      <c r="A19" s="7"/>
      <c r="B19" s="64" t="s">
        <v>16</v>
      </c>
      <c r="C19" s="5" t="s">
        <v>290</v>
      </c>
      <c r="D19" s="5"/>
      <c r="E19" s="5"/>
      <c r="F19" s="5"/>
      <c r="G19" s="5"/>
      <c r="H19" s="5"/>
      <c r="I19" s="5"/>
      <c r="J19" s="5"/>
      <c r="K19" s="5"/>
      <c r="L19" s="5"/>
      <c r="M19" s="12"/>
      <c r="N19" s="12"/>
      <c r="O19" s="12"/>
      <c r="P19" s="12"/>
      <c r="Q19" s="12"/>
      <c r="R19" s="12"/>
    </row>
    <row r="20" spans="1:18" x14ac:dyDescent="0.3">
      <c r="A20" s="7"/>
      <c r="B20" s="64"/>
      <c r="C20" s="5"/>
      <c r="D20" s="5"/>
      <c r="E20" s="5"/>
      <c r="F20" s="5"/>
      <c r="G20" s="5"/>
      <c r="H20" s="5"/>
      <c r="I20" s="5"/>
      <c r="J20" s="5"/>
      <c r="K20" s="5"/>
      <c r="L20" s="5"/>
      <c r="M20" s="12"/>
      <c r="N20" s="12"/>
      <c r="O20" s="12"/>
      <c r="P20" s="12"/>
      <c r="Q20" s="12"/>
      <c r="R20" s="12"/>
    </row>
    <row r="21" spans="1:18" x14ac:dyDescent="0.3">
      <c r="A21" s="7"/>
      <c r="B21" s="64" t="s">
        <v>17</v>
      </c>
      <c r="C21" s="5" t="s">
        <v>291</v>
      </c>
      <c r="D21" s="5"/>
      <c r="E21" s="5"/>
      <c r="F21" s="5"/>
      <c r="G21" s="5"/>
      <c r="H21" s="5"/>
      <c r="I21" s="5"/>
      <c r="J21" s="5"/>
      <c r="K21" s="5"/>
      <c r="L21" s="5"/>
      <c r="M21" s="12"/>
      <c r="N21" s="12"/>
      <c r="O21" s="12"/>
      <c r="P21" s="12"/>
      <c r="Q21" s="12"/>
      <c r="R21" s="12"/>
    </row>
    <row r="22" spans="1:18" x14ac:dyDescent="0.3">
      <c r="A22" s="7"/>
      <c r="B22" s="64"/>
      <c r="C22" s="5"/>
      <c r="D22" s="5"/>
      <c r="E22" s="5"/>
      <c r="F22" s="5"/>
      <c r="G22" s="5"/>
      <c r="H22" s="5"/>
      <c r="I22" s="5"/>
      <c r="J22" s="5"/>
      <c r="K22" s="5"/>
      <c r="L22" s="5"/>
      <c r="M22" s="12"/>
      <c r="N22" s="12"/>
      <c r="O22" s="12"/>
      <c r="P22" s="12"/>
      <c r="Q22" s="12"/>
      <c r="R22" s="12"/>
    </row>
    <row r="23" spans="1:18" x14ac:dyDescent="0.3">
      <c r="A23" s="7"/>
      <c r="B23" s="64" t="s">
        <v>57</v>
      </c>
      <c r="C23" s="5" t="s">
        <v>58</v>
      </c>
      <c r="D23" s="5"/>
      <c r="E23" s="5"/>
      <c r="F23" s="5"/>
      <c r="G23" s="5"/>
      <c r="H23" s="5"/>
      <c r="I23" s="5"/>
      <c r="J23" s="5"/>
      <c r="K23" s="5"/>
      <c r="L23" s="5"/>
      <c r="M23" s="12"/>
      <c r="N23" s="12"/>
      <c r="O23" s="12"/>
      <c r="P23" s="12"/>
      <c r="Q23" s="12"/>
      <c r="R23" s="12"/>
    </row>
    <row r="24" spans="1:18" x14ac:dyDescent="0.3">
      <c r="A24" s="4"/>
      <c r="B24" s="4"/>
      <c r="C24" s="4"/>
      <c r="D24" s="4"/>
      <c r="E24" s="4"/>
      <c r="F24" s="4"/>
      <c r="G24" s="5"/>
      <c r="H24" s="5"/>
      <c r="I24" s="5"/>
      <c r="J24" s="5"/>
      <c r="K24" s="5"/>
      <c r="L24" s="5"/>
    </row>
    <row r="25" spans="1:18" x14ac:dyDescent="0.3">
      <c r="A25" s="10"/>
      <c r="B25" s="10"/>
      <c r="C25" s="10"/>
      <c r="D25" s="10"/>
      <c r="E25" s="10"/>
      <c r="F25" s="10"/>
      <c r="G25" s="10"/>
      <c r="H25" s="10"/>
      <c r="I25" s="10"/>
      <c r="J25" s="10"/>
      <c r="K25" s="10"/>
      <c r="L25" s="10"/>
      <c r="M25" s="10"/>
    </row>
    <row r="26" spans="1:18" x14ac:dyDescent="0.3">
      <c r="A26" s="10" t="s">
        <v>10</v>
      </c>
      <c r="B26" s="10"/>
      <c r="C26" s="10"/>
      <c r="D26" s="10"/>
      <c r="E26" s="10"/>
      <c r="F26" s="10"/>
      <c r="G26" s="10"/>
      <c r="H26" s="10"/>
      <c r="I26" s="10"/>
      <c r="J26" s="10"/>
      <c r="K26" s="10"/>
      <c r="L26" s="10"/>
      <c r="M26" s="10"/>
      <c r="N26" s="12"/>
    </row>
    <row r="27" spans="1:18" ht="18" x14ac:dyDescent="0.4">
      <c r="A27" s="10"/>
      <c r="B27" s="2" t="s">
        <v>332</v>
      </c>
      <c r="C27"/>
      <c r="G27" s="98">
        <f>E11</f>
        <v>176</v>
      </c>
      <c r="H27" s="10"/>
      <c r="I27" s="10"/>
      <c r="J27" s="10"/>
      <c r="K27" s="10"/>
      <c r="L27" s="10"/>
      <c r="M27" s="10"/>
      <c r="N27" s="12"/>
    </row>
    <row r="28" spans="1:18" x14ac:dyDescent="0.3">
      <c r="A28" s="10"/>
      <c r="C28"/>
      <c r="G28" s="98"/>
      <c r="H28" s="10"/>
      <c r="I28" s="10"/>
      <c r="J28" s="10"/>
      <c r="K28" s="10"/>
      <c r="L28" s="10"/>
      <c r="M28" s="10"/>
      <c r="N28" s="12"/>
    </row>
    <row r="29" spans="1:18" ht="18" x14ac:dyDescent="0.4">
      <c r="B29" s="2" t="s">
        <v>333</v>
      </c>
      <c r="C29"/>
      <c r="G29" s="98">
        <f>SUM(G11:G13)</f>
        <v>778</v>
      </c>
      <c r="M29" s="12"/>
      <c r="N29" s="12"/>
    </row>
    <row r="30" spans="1:18" x14ac:dyDescent="0.3">
      <c r="C30"/>
      <c r="G30" s="98"/>
      <c r="M30" s="12"/>
      <c r="N30" s="12"/>
    </row>
    <row r="31" spans="1:18" ht="18" x14ac:dyDescent="0.4">
      <c r="B31" s="2" t="s">
        <v>334</v>
      </c>
      <c r="C31"/>
      <c r="G31" s="122">
        <f>H12+H13+H14+I13+I14+J14</f>
        <v>1577</v>
      </c>
      <c r="M31" s="12"/>
      <c r="N31" s="12"/>
    </row>
    <row r="32" spans="1:18" x14ac:dyDescent="0.3">
      <c r="M32" s="12"/>
      <c r="N32" s="12"/>
    </row>
    <row r="33" spans="1:14" x14ac:dyDescent="0.3">
      <c r="A33" s="5" t="s">
        <v>59</v>
      </c>
      <c r="B33" s="5"/>
      <c r="C33" s="5"/>
      <c r="D33" s="5"/>
      <c r="E33" s="5"/>
      <c r="F33" s="5"/>
      <c r="G33" s="5"/>
      <c r="H33" s="5"/>
      <c r="I33" s="5"/>
      <c r="J33" s="5"/>
      <c r="K33" s="5"/>
      <c r="L33" s="4"/>
      <c r="M33" s="12"/>
      <c r="N33" s="12"/>
    </row>
    <row r="34" spans="1:14" x14ac:dyDescent="0.3">
      <c r="A34" s="42" t="s">
        <v>63</v>
      </c>
      <c r="B34" s="41" t="s">
        <v>60</v>
      </c>
      <c r="C34" s="5"/>
      <c r="D34" s="5"/>
      <c r="E34" s="5"/>
      <c r="F34" s="5"/>
      <c r="G34" s="5"/>
      <c r="H34" s="5"/>
      <c r="I34" s="5"/>
      <c r="J34" s="5"/>
      <c r="K34" s="5"/>
      <c r="L34" s="4"/>
      <c r="M34" s="12"/>
      <c r="N34" s="12"/>
    </row>
    <row r="35" spans="1:14" x14ac:dyDescent="0.3">
      <c r="A35" s="42" t="s">
        <v>63</v>
      </c>
      <c r="B35" s="41" t="s">
        <v>61</v>
      </c>
      <c r="C35" s="5"/>
      <c r="D35" s="5"/>
      <c r="E35" s="5"/>
      <c r="F35" s="5"/>
      <c r="G35" s="5"/>
      <c r="H35" s="5"/>
      <c r="I35" s="5"/>
      <c r="J35" s="5"/>
      <c r="K35" s="5"/>
      <c r="L35" s="4"/>
      <c r="M35" s="12"/>
      <c r="N35" s="12"/>
    </row>
    <row r="36" spans="1:14" x14ac:dyDescent="0.3">
      <c r="A36" s="42" t="s">
        <v>63</v>
      </c>
      <c r="B36" s="41" t="s">
        <v>62</v>
      </c>
      <c r="C36" s="5"/>
      <c r="D36" s="5"/>
      <c r="E36" s="5"/>
      <c r="F36" s="5"/>
      <c r="G36" s="5"/>
      <c r="H36" s="5"/>
      <c r="I36" s="5"/>
      <c r="J36" s="5"/>
      <c r="K36" s="5"/>
      <c r="L36" s="4"/>
      <c r="M36" s="12"/>
      <c r="N36" s="12"/>
    </row>
    <row r="37" spans="1:14" x14ac:dyDescent="0.3">
      <c r="A37" s="5"/>
      <c r="B37" s="5"/>
      <c r="C37" s="5"/>
      <c r="D37" s="5"/>
      <c r="E37" s="5"/>
      <c r="F37" s="5"/>
      <c r="G37" s="5"/>
      <c r="H37" s="5"/>
      <c r="I37" s="5"/>
      <c r="J37" s="5"/>
      <c r="K37" s="5"/>
      <c r="L37" s="4"/>
      <c r="M37" s="12"/>
      <c r="N37" s="12"/>
    </row>
    <row r="38" spans="1:14" x14ac:dyDescent="0.3">
      <c r="M38" s="12"/>
      <c r="N38" s="12"/>
    </row>
    <row r="39" spans="1:14" x14ac:dyDescent="0.3">
      <c r="A39" s="7" t="s">
        <v>9</v>
      </c>
      <c r="B39" s="5" t="s">
        <v>64</v>
      </c>
      <c r="C39" s="5"/>
      <c r="D39" s="5"/>
      <c r="E39" s="5"/>
      <c r="F39" s="5"/>
      <c r="G39" s="5"/>
      <c r="H39" s="5"/>
      <c r="I39" s="5"/>
      <c r="J39" s="5"/>
      <c r="K39" s="5"/>
      <c r="L39" s="5"/>
    </row>
    <row r="40" spans="1:14" x14ac:dyDescent="0.3">
      <c r="A40" s="7"/>
      <c r="B40" s="5"/>
      <c r="C40" s="5"/>
      <c r="D40" s="5"/>
      <c r="E40" s="5"/>
      <c r="F40" s="5"/>
      <c r="G40" s="5"/>
      <c r="H40" s="5"/>
      <c r="I40" s="5"/>
      <c r="J40" s="5"/>
      <c r="K40" s="5"/>
      <c r="L40" s="5"/>
    </row>
    <row r="41" spans="1:14" x14ac:dyDescent="0.3">
      <c r="A41" s="7"/>
      <c r="B41" s="64" t="s">
        <v>16</v>
      </c>
      <c r="C41" s="5" t="s">
        <v>65</v>
      </c>
      <c r="D41" s="5"/>
      <c r="E41" s="5"/>
      <c r="F41" s="5"/>
      <c r="G41" s="5"/>
      <c r="H41" s="5"/>
      <c r="I41" s="5"/>
      <c r="J41" s="5"/>
      <c r="K41" s="5"/>
      <c r="L41" s="5"/>
    </row>
    <row r="42" spans="1:14" x14ac:dyDescent="0.3">
      <c r="A42" s="7"/>
      <c r="B42" s="64"/>
      <c r="C42" s="5"/>
      <c r="D42" s="5"/>
      <c r="E42" s="5"/>
      <c r="F42" s="5"/>
      <c r="G42" s="5"/>
      <c r="H42" s="5"/>
      <c r="I42" s="5"/>
      <c r="J42" s="5"/>
      <c r="K42" s="5"/>
      <c r="L42" s="5"/>
    </row>
    <row r="43" spans="1:14" x14ac:dyDescent="0.3">
      <c r="A43" s="7"/>
      <c r="B43" s="64" t="s">
        <v>17</v>
      </c>
      <c r="C43" s="5" t="s">
        <v>66</v>
      </c>
      <c r="D43" s="5"/>
      <c r="E43" s="5"/>
      <c r="F43" s="5"/>
      <c r="G43" s="5"/>
      <c r="H43" s="5"/>
      <c r="I43" s="5"/>
      <c r="J43" s="5"/>
      <c r="K43" s="5"/>
      <c r="L43" s="5"/>
    </row>
    <row r="44" spans="1:14" x14ac:dyDescent="0.3">
      <c r="A44" s="4"/>
      <c r="B44" s="4"/>
      <c r="C44" s="4"/>
      <c r="D44" s="4"/>
      <c r="E44" s="4"/>
      <c r="F44" s="4"/>
      <c r="G44" s="5"/>
      <c r="H44" s="5"/>
      <c r="I44" s="5"/>
      <c r="J44" s="5"/>
      <c r="K44" s="5"/>
      <c r="L44" s="5"/>
    </row>
    <row r="45" spans="1:14" x14ac:dyDescent="0.3">
      <c r="A45" s="10"/>
      <c r="B45" s="10"/>
      <c r="C45" s="10"/>
      <c r="D45" s="10"/>
      <c r="E45" s="10"/>
      <c r="F45" s="10"/>
      <c r="G45" s="10"/>
      <c r="H45" s="10"/>
      <c r="I45" s="10"/>
      <c r="J45" s="10"/>
      <c r="K45" s="10"/>
      <c r="L45" s="10"/>
    </row>
    <row r="46" spans="1:14" x14ac:dyDescent="0.3">
      <c r="A46" s="10" t="s">
        <v>10</v>
      </c>
      <c r="B46" s="10"/>
      <c r="C46" s="10"/>
      <c r="D46" s="10"/>
      <c r="E46" s="10"/>
      <c r="F46" s="10"/>
      <c r="G46" s="10"/>
      <c r="H46" s="10"/>
      <c r="I46" s="10"/>
      <c r="J46" s="10"/>
      <c r="K46" s="10"/>
      <c r="L46" s="10"/>
    </row>
    <row r="47" spans="1:14" x14ac:dyDescent="0.3">
      <c r="A47" s="10"/>
      <c r="B47" s="123" t="s">
        <v>5</v>
      </c>
      <c r="C47" s="356" t="s">
        <v>335</v>
      </c>
      <c r="D47" s="356"/>
      <c r="E47" s="356"/>
      <c r="F47" s="356"/>
      <c r="G47" s="356"/>
      <c r="H47" s="356"/>
      <c r="I47" s="356"/>
      <c r="J47" s="356"/>
      <c r="K47" s="10"/>
      <c r="L47" s="10"/>
    </row>
    <row r="48" spans="1:14" x14ac:dyDescent="0.3">
      <c r="A48" s="10"/>
      <c r="B48" s="123" t="s">
        <v>336</v>
      </c>
      <c r="C48" s="123">
        <v>1</v>
      </c>
      <c r="D48" s="123">
        <v>2</v>
      </c>
      <c r="E48" s="123">
        <v>3</v>
      </c>
      <c r="F48" s="123">
        <v>4</v>
      </c>
      <c r="G48" s="123">
        <v>5</v>
      </c>
      <c r="H48" s="123">
        <v>6</v>
      </c>
      <c r="I48" s="123">
        <v>7</v>
      </c>
      <c r="J48" s="123">
        <v>8</v>
      </c>
      <c r="K48" s="10"/>
      <c r="L48" s="10"/>
    </row>
    <row r="49" spans="1:13" x14ac:dyDescent="0.3">
      <c r="B49" s="123">
        <v>0</v>
      </c>
      <c r="C49" s="124">
        <v>200</v>
      </c>
      <c r="D49" s="124">
        <f>C49*1.1</f>
        <v>220.00000000000003</v>
      </c>
      <c r="E49" s="124">
        <f>D49*1.1</f>
        <v>242.00000000000006</v>
      </c>
      <c r="F49" s="124">
        <f>E49*1.1</f>
        <v>266.2000000000001</v>
      </c>
      <c r="G49" s="124">
        <f>F49*1.1</f>
        <v>292.82000000000016</v>
      </c>
      <c r="H49" s="124"/>
      <c r="I49" s="124"/>
      <c r="J49" s="124"/>
      <c r="M49" s="10"/>
    </row>
    <row r="50" spans="1:13" x14ac:dyDescent="0.3">
      <c r="B50" s="123">
        <v>1</v>
      </c>
      <c r="C50" s="124">
        <f>C49/1.1</f>
        <v>181.81818181818181</v>
      </c>
      <c r="D50" s="124">
        <f t="shared" ref="D50:H52" si="0">C49</f>
        <v>200</v>
      </c>
      <c r="E50" s="124">
        <f t="shared" si="0"/>
        <v>220.00000000000003</v>
      </c>
      <c r="F50" s="124">
        <f t="shared" si="0"/>
        <v>242.00000000000006</v>
      </c>
      <c r="G50" s="124">
        <f t="shared" si="0"/>
        <v>266.2000000000001</v>
      </c>
      <c r="H50" s="124">
        <f t="shared" si="0"/>
        <v>292.82000000000016</v>
      </c>
      <c r="I50" s="124"/>
      <c r="J50" s="124"/>
      <c r="M50" s="10"/>
    </row>
    <row r="51" spans="1:13" x14ac:dyDescent="0.3">
      <c r="B51" s="123">
        <v>2</v>
      </c>
      <c r="C51" s="124">
        <f>C50/1.1</f>
        <v>165.28925619834709</v>
      </c>
      <c r="D51" s="124">
        <f t="shared" si="0"/>
        <v>181.81818181818181</v>
      </c>
      <c r="E51" s="124">
        <f t="shared" si="0"/>
        <v>200</v>
      </c>
      <c r="F51" s="124">
        <f t="shared" si="0"/>
        <v>220.00000000000003</v>
      </c>
      <c r="G51" s="124">
        <f t="shared" si="0"/>
        <v>242.00000000000006</v>
      </c>
      <c r="H51" s="124">
        <f t="shared" si="0"/>
        <v>266.2000000000001</v>
      </c>
      <c r="I51" s="124">
        <f>H50</f>
        <v>292.82000000000016</v>
      </c>
      <c r="J51" s="124"/>
      <c r="M51" s="10"/>
    </row>
    <row r="52" spans="1:13" x14ac:dyDescent="0.3">
      <c r="B52" s="123">
        <v>3</v>
      </c>
      <c r="C52" s="124"/>
      <c r="D52" s="124">
        <f t="shared" si="0"/>
        <v>165.28925619834709</v>
      </c>
      <c r="E52" s="124">
        <f t="shared" si="0"/>
        <v>181.81818181818181</v>
      </c>
      <c r="F52" s="124">
        <f t="shared" si="0"/>
        <v>200</v>
      </c>
      <c r="G52" s="124">
        <f t="shared" si="0"/>
        <v>220.00000000000003</v>
      </c>
      <c r="H52" s="124">
        <f t="shared" si="0"/>
        <v>242.00000000000006</v>
      </c>
      <c r="I52" s="124">
        <f>H51</f>
        <v>266.2000000000001</v>
      </c>
      <c r="J52" s="124">
        <f>I51</f>
        <v>292.82000000000016</v>
      </c>
    </row>
    <row r="53" spans="1:13" x14ac:dyDescent="0.3">
      <c r="B53" s="98"/>
      <c r="C53" s="255"/>
      <c r="D53" s="255"/>
      <c r="E53" s="255"/>
      <c r="F53" s="255"/>
      <c r="G53" s="255"/>
      <c r="H53" s="98"/>
      <c r="I53" s="98"/>
      <c r="J53" s="98"/>
    </row>
    <row r="54" spans="1:13" x14ac:dyDescent="0.3">
      <c r="B54" s="99" t="s">
        <v>337</v>
      </c>
      <c r="C54" s="255"/>
      <c r="D54" s="255"/>
      <c r="E54" s="255"/>
      <c r="F54" s="98">
        <f>(F49+F50)/SUM(F49:F52)</f>
        <v>0.54751131221719462</v>
      </c>
      <c r="G54" s="116"/>
      <c r="H54" s="125"/>
      <c r="I54" s="98"/>
      <c r="J54" s="98"/>
    </row>
    <row r="55" spans="1:13" x14ac:dyDescent="0.3">
      <c r="B55" s="98"/>
      <c r="C55" s="255"/>
      <c r="D55" s="255"/>
      <c r="E55" s="255"/>
      <c r="F55" s="98"/>
      <c r="G55" s="98"/>
      <c r="H55" s="126"/>
      <c r="I55" s="98"/>
      <c r="J55" s="98"/>
    </row>
    <row r="56" spans="1:13" x14ac:dyDescent="0.3">
      <c r="A56" s="127"/>
      <c r="B56" s="128" t="s">
        <v>338</v>
      </c>
      <c r="C56" s="100"/>
      <c r="D56" s="100"/>
      <c r="E56" s="100"/>
      <c r="F56" s="98">
        <f>SUM(G50,G51,G52,H51,H52,I52)/SUM(F49:F52)</f>
        <v>1.618832148243913</v>
      </c>
      <c r="G56" s="116"/>
      <c r="H56" s="125"/>
      <c r="I56" s="100"/>
      <c r="J56" s="100"/>
    </row>
    <row r="57" spans="1:13" x14ac:dyDescent="0.3">
      <c r="A57" s="127"/>
      <c r="B57" s="129"/>
      <c r="C57" s="100"/>
      <c r="D57" s="100"/>
      <c r="E57" s="100"/>
      <c r="F57" s="98"/>
      <c r="G57" s="98"/>
      <c r="H57" s="116"/>
      <c r="I57" s="100"/>
      <c r="J57" s="100"/>
    </row>
    <row r="58" spans="1:13" x14ac:dyDescent="0.3">
      <c r="A58" s="127"/>
      <c r="B58" s="127"/>
    </row>
  </sheetData>
  <mergeCells count="4">
    <mergeCell ref="B8:J8"/>
    <mergeCell ref="B9:B10"/>
    <mergeCell ref="C9:J9"/>
    <mergeCell ref="C47:J47"/>
  </mergeCells>
  <pageMargins left="0.39370078740157483" right="0.39370078740157483" top="0.39370078740157483" bottom="0.39370078740157483" header="0.31496062992125984" footer="0.31496062992125984"/>
  <pageSetup scale="88" orientation="portrait" verticalDpi="1200" r:id="rId1"/>
  <headerFooter>
    <oddFooter>&amp;L&amp;F [&amp;A]&amp;R&amp;P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4ED5E-B82F-4166-AF6F-147849B04A36}">
  <dimension ref="A1:R81"/>
  <sheetViews>
    <sheetView zoomScaleNormal="100" workbookViewId="0"/>
  </sheetViews>
  <sheetFormatPr defaultRowHeight="15.6" x14ac:dyDescent="0.3"/>
  <cols>
    <col min="1" max="1" width="8.88671875" style="2" customWidth="1"/>
    <col min="2" max="2" width="13.44140625" style="2" customWidth="1"/>
    <col min="3" max="7" width="10.77734375" style="2" customWidth="1"/>
    <col min="8" max="8" width="8.88671875" style="2" customWidth="1"/>
    <col min="9" max="9" width="11.21875" style="2" customWidth="1"/>
    <col min="10" max="16384" width="8.88671875" style="2"/>
  </cols>
  <sheetData>
    <row r="1" spans="1:12" ht="17.399999999999999" x14ac:dyDescent="0.3">
      <c r="A1" s="3" t="s">
        <v>67</v>
      </c>
      <c r="B1" s="5"/>
      <c r="C1" s="23" t="s">
        <v>68</v>
      </c>
      <c r="D1" s="5"/>
      <c r="E1" s="5"/>
      <c r="F1" s="5"/>
      <c r="G1" s="5"/>
      <c r="H1" s="5"/>
      <c r="I1" s="5"/>
      <c r="J1" s="5"/>
      <c r="K1" s="5"/>
      <c r="L1" s="4"/>
    </row>
    <row r="2" spans="1:12" x14ac:dyDescent="0.3">
      <c r="A2" s="5"/>
      <c r="B2" s="5"/>
      <c r="C2" s="5"/>
      <c r="D2" s="5"/>
      <c r="E2" s="5"/>
      <c r="F2" s="5"/>
      <c r="G2" s="5"/>
      <c r="H2" s="5"/>
      <c r="I2" s="5"/>
      <c r="J2" s="5"/>
      <c r="K2" s="5"/>
      <c r="L2" s="4"/>
    </row>
    <row r="3" spans="1:12" x14ac:dyDescent="0.3">
      <c r="A3" s="5" t="s">
        <v>69</v>
      </c>
      <c r="B3" s="5"/>
      <c r="C3" s="5"/>
      <c r="D3" s="5"/>
      <c r="E3" s="5"/>
      <c r="F3" s="5"/>
      <c r="G3" s="5"/>
      <c r="H3" s="5"/>
      <c r="I3" s="5"/>
      <c r="J3" s="5"/>
      <c r="K3" s="5"/>
      <c r="L3" s="4"/>
    </row>
    <row r="4" spans="1:12" x14ac:dyDescent="0.3">
      <c r="A4" s="23"/>
      <c r="B4" s="23"/>
      <c r="C4" s="23"/>
      <c r="D4" s="23"/>
      <c r="E4" s="23"/>
      <c r="F4" s="23"/>
      <c r="G4" s="23"/>
      <c r="H4" s="23"/>
      <c r="I4" s="23"/>
      <c r="J4" s="23"/>
      <c r="K4" s="23"/>
      <c r="L4" s="23"/>
    </row>
    <row r="5" spans="1:12" x14ac:dyDescent="0.3">
      <c r="A5" s="23"/>
      <c r="B5" s="43" t="s">
        <v>5</v>
      </c>
      <c r="C5" s="359" t="s">
        <v>70</v>
      </c>
      <c r="D5" s="360"/>
      <c r="E5" s="360"/>
      <c r="F5" s="360"/>
      <c r="G5" s="360"/>
      <c r="H5" s="23"/>
      <c r="I5" s="23"/>
      <c r="J5" s="23"/>
      <c r="K5" s="23"/>
      <c r="L5" s="23"/>
    </row>
    <row r="6" spans="1:12" x14ac:dyDescent="0.3">
      <c r="A6" s="23"/>
      <c r="B6" s="44" t="s">
        <v>7</v>
      </c>
      <c r="C6" s="45">
        <v>12</v>
      </c>
      <c r="D6" s="46">
        <v>24</v>
      </c>
      <c r="E6" s="46">
        <v>36</v>
      </c>
      <c r="F6" s="46">
        <v>48</v>
      </c>
      <c r="G6" s="46">
        <v>60</v>
      </c>
      <c r="H6" s="23"/>
      <c r="I6" s="23"/>
      <c r="J6" s="23"/>
      <c r="K6" s="23"/>
      <c r="L6" s="23"/>
    </row>
    <row r="7" spans="1:12" x14ac:dyDescent="0.3">
      <c r="A7" s="23"/>
      <c r="B7" s="47">
        <v>2015</v>
      </c>
      <c r="C7" s="48">
        <v>8758</v>
      </c>
      <c r="D7" s="48">
        <v>15885</v>
      </c>
      <c r="E7" s="48">
        <v>16378</v>
      </c>
      <c r="F7" s="48">
        <v>16672</v>
      </c>
      <c r="G7" s="48">
        <v>16711</v>
      </c>
      <c r="H7" s="23"/>
      <c r="I7" s="23"/>
      <c r="J7" s="23"/>
      <c r="K7" s="23"/>
      <c r="L7" s="23"/>
    </row>
    <row r="8" spans="1:12" x14ac:dyDescent="0.3">
      <c r="A8" s="23"/>
      <c r="B8" s="49">
        <v>2016</v>
      </c>
      <c r="C8" s="48">
        <v>9907</v>
      </c>
      <c r="D8" s="48">
        <v>14079</v>
      </c>
      <c r="E8" s="48">
        <v>15231</v>
      </c>
      <c r="F8" s="48">
        <v>16493</v>
      </c>
      <c r="G8" s="48"/>
      <c r="H8" s="23"/>
      <c r="I8" s="23"/>
      <c r="J8" s="23"/>
      <c r="K8" s="23"/>
      <c r="L8" s="23"/>
    </row>
    <row r="9" spans="1:12" x14ac:dyDescent="0.3">
      <c r="A9" s="23"/>
      <c r="B9" s="49">
        <v>2017</v>
      </c>
      <c r="C9" s="48">
        <v>9569</v>
      </c>
      <c r="D9" s="48">
        <v>15032</v>
      </c>
      <c r="E9" s="48">
        <v>15500</v>
      </c>
      <c r="F9" s="48"/>
      <c r="G9" s="48"/>
      <c r="H9" s="23"/>
      <c r="I9" s="23"/>
      <c r="J9" s="23"/>
      <c r="K9" s="23"/>
      <c r="L9" s="23"/>
    </row>
    <row r="10" spans="1:12" x14ac:dyDescent="0.3">
      <c r="A10" s="23"/>
      <c r="B10" s="49">
        <v>2018</v>
      </c>
      <c r="C10" s="48">
        <v>8881</v>
      </c>
      <c r="D10" s="48">
        <v>15952</v>
      </c>
      <c r="E10" s="48"/>
      <c r="F10" s="48"/>
      <c r="G10" s="48"/>
      <c r="H10" s="23"/>
      <c r="I10" s="23"/>
      <c r="J10" s="23"/>
      <c r="K10" s="23"/>
      <c r="L10" s="23"/>
    </row>
    <row r="11" spans="1:12" x14ac:dyDescent="0.3">
      <c r="A11" s="23"/>
      <c r="B11" s="49">
        <v>2019</v>
      </c>
      <c r="C11" s="48">
        <v>9934</v>
      </c>
      <c r="D11" s="48"/>
      <c r="E11" s="48"/>
      <c r="F11" s="48"/>
      <c r="G11" s="48"/>
      <c r="H11" s="23"/>
      <c r="I11" s="23"/>
      <c r="J11" s="23"/>
      <c r="K11" s="23"/>
      <c r="L11" s="23"/>
    </row>
    <row r="12" spans="1:12" x14ac:dyDescent="0.3">
      <c r="A12" s="23"/>
      <c r="B12" s="50"/>
      <c r="C12" s="50"/>
      <c r="D12" s="50"/>
      <c r="E12" s="50"/>
      <c r="F12" s="50"/>
      <c r="G12" s="50"/>
      <c r="H12" s="23"/>
      <c r="I12" s="23"/>
      <c r="J12" s="23"/>
      <c r="K12" s="23"/>
      <c r="L12" s="23"/>
    </row>
    <row r="13" spans="1:12" x14ac:dyDescent="0.3">
      <c r="A13" s="23"/>
      <c r="B13" s="43" t="s">
        <v>5</v>
      </c>
      <c r="C13" s="359" t="s">
        <v>71</v>
      </c>
      <c r="D13" s="360"/>
      <c r="E13" s="360"/>
      <c r="F13" s="360"/>
      <c r="G13" s="360"/>
      <c r="H13" s="23"/>
      <c r="I13" s="23"/>
      <c r="J13" s="23"/>
      <c r="K13" s="23"/>
      <c r="L13" s="23"/>
    </row>
    <row r="14" spans="1:12" x14ac:dyDescent="0.3">
      <c r="A14" s="23"/>
      <c r="B14" s="44" t="s">
        <v>7</v>
      </c>
      <c r="C14" s="45">
        <v>12</v>
      </c>
      <c r="D14" s="46">
        <v>24</v>
      </c>
      <c r="E14" s="46">
        <v>36</v>
      </c>
      <c r="F14" s="46">
        <v>48</v>
      </c>
      <c r="G14" s="46">
        <v>60</v>
      </c>
      <c r="H14" s="23"/>
      <c r="I14" s="23"/>
      <c r="J14" s="23"/>
      <c r="K14" s="23"/>
      <c r="L14" s="23"/>
    </row>
    <row r="15" spans="1:12" x14ac:dyDescent="0.3">
      <c r="A15" s="23"/>
      <c r="B15" s="47">
        <v>2015</v>
      </c>
      <c r="C15" s="48">
        <v>8706</v>
      </c>
      <c r="D15" s="48">
        <v>14507</v>
      </c>
      <c r="E15" s="48">
        <v>14367</v>
      </c>
      <c r="F15" s="48">
        <v>14714</v>
      </c>
      <c r="G15" s="48">
        <v>14854</v>
      </c>
      <c r="H15" s="23"/>
      <c r="I15" s="23"/>
      <c r="J15" s="23"/>
      <c r="K15" s="23"/>
      <c r="L15" s="23"/>
    </row>
    <row r="16" spans="1:12" x14ac:dyDescent="0.3">
      <c r="A16" s="23"/>
      <c r="B16" s="49">
        <v>2016</v>
      </c>
      <c r="C16" s="48">
        <v>9600</v>
      </c>
      <c r="D16" s="48">
        <v>12981</v>
      </c>
      <c r="E16" s="48">
        <v>13407</v>
      </c>
      <c r="F16" s="48">
        <v>13558</v>
      </c>
      <c r="G16" s="48"/>
      <c r="H16" s="23"/>
      <c r="I16" s="23"/>
      <c r="J16" s="23"/>
      <c r="K16" s="23"/>
      <c r="L16" s="23"/>
    </row>
    <row r="17" spans="1:18" x14ac:dyDescent="0.3">
      <c r="A17" s="23"/>
      <c r="B17" s="49">
        <v>2017</v>
      </c>
      <c r="C17" s="48">
        <v>9052</v>
      </c>
      <c r="D17" s="48">
        <v>13342</v>
      </c>
      <c r="E17" s="48">
        <v>13612</v>
      </c>
      <c r="F17" s="48"/>
      <c r="G17" s="48"/>
      <c r="H17" s="23"/>
      <c r="I17" s="23"/>
      <c r="J17" s="23"/>
      <c r="K17" s="23"/>
      <c r="L17" s="23"/>
    </row>
    <row r="18" spans="1:18" x14ac:dyDescent="0.3">
      <c r="A18" s="23"/>
      <c r="B18" s="49">
        <v>2018</v>
      </c>
      <c r="C18" s="48">
        <v>8881</v>
      </c>
      <c r="D18" s="48">
        <v>14977</v>
      </c>
      <c r="E18" s="48"/>
      <c r="F18" s="48"/>
      <c r="G18" s="48"/>
      <c r="H18" s="23"/>
      <c r="I18" s="23"/>
      <c r="J18" s="23"/>
      <c r="K18" s="23"/>
      <c r="L18" s="23"/>
    </row>
    <row r="19" spans="1:18" x14ac:dyDescent="0.3">
      <c r="A19" s="23"/>
      <c r="B19" s="49">
        <v>2019</v>
      </c>
      <c r="C19" s="48">
        <v>9267</v>
      </c>
      <c r="D19" s="48"/>
      <c r="E19" s="48"/>
      <c r="F19" s="48"/>
      <c r="G19" s="48"/>
      <c r="H19" s="23"/>
      <c r="I19" s="23"/>
      <c r="J19" s="23"/>
      <c r="K19" s="23"/>
      <c r="L19" s="23"/>
    </row>
    <row r="20" spans="1:18" x14ac:dyDescent="0.3">
      <c r="A20" s="23"/>
      <c r="B20" s="23"/>
      <c r="C20" s="23"/>
      <c r="D20" s="23"/>
      <c r="E20" s="23"/>
      <c r="F20" s="23"/>
      <c r="G20" s="23"/>
      <c r="H20" s="23"/>
      <c r="I20" s="23"/>
      <c r="J20" s="23"/>
      <c r="K20" s="23"/>
      <c r="L20" s="23"/>
    </row>
    <row r="21" spans="1:18" x14ac:dyDescent="0.3">
      <c r="A21" s="23"/>
      <c r="B21" s="361" t="s">
        <v>72</v>
      </c>
      <c r="C21" s="362"/>
      <c r="D21" s="362"/>
      <c r="E21" s="362"/>
      <c r="F21" s="362"/>
      <c r="G21" s="359"/>
      <c r="H21" s="23"/>
      <c r="I21" s="23"/>
      <c r="J21" s="23"/>
      <c r="K21" s="23"/>
      <c r="L21" s="23"/>
    </row>
    <row r="22" spans="1:18" x14ac:dyDescent="0.3">
      <c r="A22" s="23"/>
      <c r="B22" s="51"/>
      <c r="C22" s="46" t="str">
        <f>C14&amp;"-"&amp;D14</f>
        <v>12-24</v>
      </c>
      <c r="D22" s="46" t="str">
        <f>D14&amp;"-"&amp;E14</f>
        <v>24-36</v>
      </c>
      <c r="E22" s="46" t="str">
        <f>E14&amp;"-"&amp;F14</f>
        <v>36-48</v>
      </c>
      <c r="F22" s="46" t="str">
        <f>F14&amp;"-"&amp;G14</f>
        <v>48-60</v>
      </c>
      <c r="G22" s="46" t="str">
        <f>G14&amp;"-Ult"</f>
        <v>60-Ult</v>
      </c>
      <c r="H22" s="23"/>
      <c r="I22" s="23"/>
      <c r="J22" s="23"/>
      <c r="K22" s="23"/>
      <c r="L22" s="23"/>
    </row>
    <row r="23" spans="1:18" x14ac:dyDescent="0.3">
      <c r="A23" s="23"/>
      <c r="B23" s="51" t="s">
        <v>73</v>
      </c>
      <c r="C23" s="52">
        <v>1.6419999999999999</v>
      </c>
      <c r="D23" s="52">
        <v>1.0469999999999999</v>
      </c>
      <c r="E23" s="52">
        <v>1.0489999999999999</v>
      </c>
      <c r="F23" s="52">
        <v>1.002</v>
      </c>
      <c r="G23" s="52">
        <v>1</v>
      </c>
      <c r="H23" s="23"/>
      <c r="I23" s="23"/>
      <c r="J23" s="23"/>
      <c r="K23" s="23"/>
      <c r="L23" s="23"/>
    </row>
    <row r="24" spans="1:18" x14ac:dyDescent="0.3">
      <c r="A24" s="23"/>
      <c r="B24" s="51" t="s">
        <v>74</v>
      </c>
      <c r="C24" s="52">
        <v>1.5429999999999999</v>
      </c>
      <c r="D24" s="52">
        <v>1.014</v>
      </c>
      <c r="E24" s="52">
        <v>1.018</v>
      </c>
      <c r="F24" s="52">
        <v>1.01</v>
      </c>
      <c r="G24" s="52">
        <v>1</v>
      </c>
      <c r="H24" s="23"/>
      <c r="I24" s="23"/>
      <c r="J24" s="23"/>
      <c r="K24" s="23"/>
      <c r="L24" s="23"/>
    </row>
    <row r="25" spans="1:18" x14ac:dyDescent="0.3">
      <c r="A25" s="23"/>
      <c r="B25" s="23"/>
      <c r="C25" s="23"/>
      <c r="D25" s="23"/>
      <c r="E25" s="23"/>
      <c r="F25" s="23"/>
      <c r="G25" s="23"/>
      <c r="H25" s="23"/>
      <c r="I25" s="23"/>
      <c r="J25" s="23"/>
      <c r="K25" s="23"/>
      <c r="L25" s="23"/>
    </row>
    <row r="27" spans="1:18" x14ac:dyDescent="0.3">
      <c r="A27" s="7" t="s">
        <v>14</v>
      </c>
      <c r="B27" s="357" t="s">
        <v>75</v>
      </c>
      <c r="C27" s="358"/>
      <c r="D27" s="358"/>
      <c r="E27" s="358"/>
      <c r="F27" s="358"/>
      <c r="G27" s="358"/>
      <c r="H27" s="358"/>
      <c r="I27" s="358"/>
      <c r="J27" s="358"/>
      <c r="K27" s="358"/>
      <c r="L27" s="358"/>
      <c r="M27" s="12"/>
      <c r="N27" s="12"/>
      <c r="O27" s="12"/>
      <c r="P27" s="12"/>
      <c r="Q27" s="12"/>
      <c r="R27" s="12"/>
    </row>
    <row r="28" spans="1:18" x14ac:dyDescent="0.3">
      <c r="A28" s="7"/>
      <c r="B28" s="358"/>
      <c r="C28" s="358"/>
      <c r="D28" s="358"/>
      <c r="E28" s="358"/>
      <c r="F28" s="358"/>
      <c r="G28" s="358"/>
      <c r="H28" s="358"/>
      <c r="I28" s="358"/>
      <c r="J28" s="358"/>
      <c r="K28" s="358"/>
      <c r="L28" s="358"/>
      <c r="M28" s="12"/>
      <c r="N28" s="12"/>
      <c r="O28" s="12"/>
      <c r="P28" s="12"/>
      <c r="Q28" s="12"/>
      <c r="R28" s="12"/>
    </row>
    <row r="29" spans="1:18" x14ac:dyDescent="0.3">
      <c r="A29" s="4"/>
      <c r="B29" s="4"/>
      <c r="C29" s="4"/>
      <c r="D29" s="4"/>
      <c r="E29" s="4"/>
      <c r="F29" s="4"/>
      <c r="G29" s="5"/>
      <c r="H29" s="5"/>
      <c r="I29" s="5"/>
      <c r="J29" s="5"/>
      <c r="K29" s="5"/>
      <c r="L29" s="5"/>
    </row>
    <row r="30" spans="1:18" x14ac:dyDescent="0.3">
      <c r="A30" s="10"/>
      <c r="B30" s="10"/>
      <c r="C30" s="10"/>
      <c r="D30" s="10"/>
      <c r="E30" s="10"/>
      <c r="F30" s="10"/>
      <c r="G30" s="10"/>
      <c r="H30" s="10"/>
      <c r="I30" s="10"/>
      <c r="J30" s="10"/>
      <c r="K30" s="10"/>
      <c r="L30" s="10"/>
      <c r="M30" s="10"/>
    </row>
    <row r="31" spans="1:18" x14ac:dyDescent="0.3">
      <c r="A31" s="10" t="s">
        <v>10</v>
      </c>
      <c r="B31" s="10"/>
      <c r="C31" s="10"/>
      <c r="D31" s="10"/>
      <c r="E31" s="10"/>
      <c r="F31" s="10"/>
      <c r="G31" s="10"/>
      <c r="H31" s="10"/>
      <c r="I31" s="10"/>
      <c r="J31" s="10"/>
      <c r="K31" s="10"/>
      <c r="L31" s="10"/>
      <c r="M31" s="10"/>
      <c r="N31" s="12"/>
    </row>
    <row r="32" spans="1:18" x14ac:dyDescent="0.3">
      <c r="B32" s="138" t="s">
        <v>5</v>
      </c>
      <c r="C32" s="363" t="s">
        <v>339</v>
      </c>
      <c r="D32" s="364"/>
      <c r="E32" s="364"/>
      <c r="F32" s="364"/>
      <c r="G32" s="364"/>
      <c r="H32" s="98"/>
      <c r="I32" s="138" t="s">
        <v>102</v>
      </c>
      <c r="M32" s="12"/>
      <c r="N32" s="12"/>
    </row>
    <row r="33" spans="1:14" x14ac:dyDescent="0.3">
      <c r="B33" s="130" t="s">
        <v>7</v>
      </c>
      <c r="C33" s="256">
        <v>12</v>
      </c>
      <c r="D33" s="133">
        <v>24</v>
      </c>
      <c r="E33" s="133">
        <v>36</v>
      </c>
      <c r="F33" s="133">
        <v>48</v>
      </c>
      <c r="G33" s="133">
        <v>60</v>
      </c>
      <c r="H33" s="98"/>
      <c r="I33" s="130" t="s">
        <v>1</v>
      </c>
      <c r="M33" s="12"/>
      <c r="N33" s="12"/>
    </row>
    <row r="34" spans="1:14" x14ac:dyDescent="0.3">
      <c r="B34" s="130">
        <v>2015</v>
      </c>
      <c r="C34" s="131">
        <f>C7-C15</f>
        <v>52</v>
      </c>
      <c r="D34" s="131">
        <f>D7-D15</f>
        <v>1378</v>
      </c>
      <c r="E34" s="131">
        <f>E7-E15</f>
        <v>2011</v>
      </c>
      <c r="F34" s="131">
        <f>F7-F15</f>
        <v>1958</v>
      </c>
      <c r="G34" s="131">
        <f>G7-G15</f>
        <v>1857</v>
      </c>
      <c r="H34" s="98"/>
      <c r="I34" s="132">
        <f>G34*G41</f>
        <v>1857</v>
      </c>
      <c r="M34" s="12"/>
      <c r="N34" s="12"/>
    </row>
    <row r="35" spans="1:14" x14ac:dyDescent="0.3">
      <c r="B35" s="133">
        <v>2016</v>
      </c>
      <c r="C35" s="131">
        <f>C8-C16</f>
        <v>307</v>
      </c>
      <c r="D35" s="131">
        <f>D8-D16</f>
        <v>1098</v>
      </c>
      <c r="E35" s="131">
        <f>E8-E16</f>
        <v>1824</v>
      </c>
      <c r="F35" s="131">
        <f>F8-F16</f>
        <v>2935</v>
      </c>
      <c r="G35" s="131"/>
      <c r="H35" s="98"/>
      <c r="I35" s="134">
        <f>F35*F41</f>
        <v>2783.6031664964248</v>
      </c>
      <c r="M35" s="12"/>
      <c r="N35" s="12"/>
    </row>
    <row r="36" spans="1:14" x14ac:dyDescent="0.3">
      <c r="B36" s="133">
        <v>2017</v>
      </c>
      <c r="C36" s="131">
        <f>C9-C17</f>
        <v>517</v>
      </c>
      <c r="D36" s="131">
        <f>D9-D17</f>
        <v>1690</v>
      </c>
      <c r="E36" s="131">
        <f>E9-E17</f>
        <v>1888</v>
      </c>
      <c r="F36" s="131"/>
      <c r="G36" s="131"/>
      <c r="H36" s="98"/>
      <c r="I36" s="134">
        <f>E36*E41</f>
        <v>2284.6046358136241</v>
      </c>
      <c r="M36" s="12"/>
      <c r="N36" s="12"/>
    </row>
    <row r="37" spans="1:14" x14ac:dyDescent="0.3">
      <c r="B37" s="133">
        <v>2018</v>
      </c>
      <c r="C37" s="131">
        <f>C10-C18</f>
        <v>0</v>
      </c>
      <c r="D37" s="131">
        <f>D10-D18</f>
        <v>975</v>
      </c>
      <c r="E37" s="131"/>
      <c r="F37" s="131"/>
      <c r="G37" s="131"/>
      <c r="H37" s="98"/>
      <c r="I37" s="134">
        <f>D37*D41</f>
        <v>1620.7579470120734</v>
      </c>
      <c r="M37" s="12"/>
      <c r="N37" s="12"/>
    </row>
    <row r="38" spans="1:14" x14ac:dyDescent="0.3">
      <c r="B38" s="133">
        <v>2019</v>
      </c>
      <c r="C38" s="131">
        <f>C11-C19</f>
        <v>667</v>
      </c>
      <c r="D38" s="131"/>
      <c r="E38" s="131"/>
      <c r="F38" s="131"/>
      <c r="G38" s="131"/>
      <c r="H38" s="98"/>
      <c r="I38" s="134">
        <f>C38*C41</f>
        <v>6507.0309986276879</v>
      </c>
      <c r="M38" s="12"/>
      <c r="N38" s="12"/>
    </row>
    <row r="39" spans="1:14" x14ac:dyDescent="0.3">
      <c r="B39" s="98" t="s">
        <v>340</v>
      </c>
      <c r="C39" s="98"/>
      <c r="D39" s="98"/>
      <c r="E39" s="98"/>
      <c r="F39" s="98"/>
      <c r="G39" s="98"/>
      <c r="H39" s="98"/>
      <c r="I39" s="131">
        <f>SUM(I34:I38)</f>
        <v>15052.99674794981</v>
      </c>
      <c r="M39" s="12"/>
      <c r="N39" s="12"/>
    </row>
    <row r="40" spans="1:14" x14ac:dyDescent="0.3">
      <c r="B40" s="135" t="s">
        <v>341</v>
      </c>
      <c r="C40" s="136">
        <f>SUM(D34:D37)/SUM(C34:C37)</f>
        <v>5.8687214611872145</v>
      </c>
      <c r="D40" s="136">
        <f>SUM(E34:E36)/SUM(D34:D36)</f>
        <v>1.3737397983677389</v>
      </c>
      <c r="E40" s="136">
        <f>SUM(F34:F35)/SUM(E34:E35)</f>
        <v>1.2758800521512386</v>
      </c>
      <c r="F40" s="136">
        <f>SUM(G34:G34)/SUM(F34:F34)</f>
        <v>0.94841675178753826</v>
      </c>
      <c r="G40" s="136">
        <v>1</v>
      </c>
      <c r="H40" s="98"/>
      <c r="I40" s="98"/>
      <c r="M40" s="12"/>
      <c r="N40" s="12"/>
    </row>
    <row r="41" spans="1:14" x14ac:dyDescent="0.3">
      <c r="B41" s="135" t="s">
        <v>342</v>
      </c>
      <c r="C41" s="136">
        <f t="shared" ref="C41:E41" si="0">C40*D41</f>
        <v>9.7556686636097272</v>
      </c>
      <c r="D41" s="136">
        <f t="shared" si="0"/>
        <v>1.6623158430893059</v>
      </c>
      <c r="E41" s="136">
        <f t="shared" si="0"/>
        <v>1.2100660147317925</v>
      </c>
      <c r="F41" s="136">
        <f>F40*G41</f>
        <v>0.94841675178753826</v>
      </c>
      <c r="G41" s="136">
        <f>G40</f>
        <v>1</v>
      </c>
      <c r="H41" s="98"/>
      <c r="I41" s="98"/>
      <c r="M41" s="12"/>
      <c r="N41" s="12"/>
    </row>
    <row r="43" spans="1:14" x14ac:dyDescent="0.3">
      <c r="A43" s="7" t="s">
        <v>15</v>
      </c>
      <c r="B43" s="357" t="s">
        <v>76</v>
      </c>
      <c r="C43" s="358"/>
      <c r="D43" s="358"/>
      <c r="E43" s="358"/>
      <c r="F43" s="358"/>
      <c r="G43" s="358"/>
      <c r="H43" s="358"/>
      <c r="I43" s="358"/>
      <c r="J43" s="358"/>
      <c r="K43" s="358"/>
      <c r="L43" s="358"/>
    </row>
    <row r="44" spans="1:14" x14ac:dyDescent="0.3">
      <c r="A44" s="7"/>
      <c r="B44" s="358"/>
      <c r="C44" s="358"/>
      <c r="D44" s="358"/>
      <c r="E44" s="358"/>
      <c r="F44" s="358"/>
      <c r="G44" s="358"/>
      <c r="H44" s="358"/>
      <c r="I44" s="358"/>
      <c r="J44" s="358"/>
      <c r="K44" s="358"/>
      <c r="L44" s="358"/>
    </row>
    <row r="45" spans="1:14" x14ac:dyDescent="0.3">
      <c r="A45" s="4"/>
      <c r="B45" s="4"/>
      <c r="C45" s="4"/>
      <c r="D45" s="4"/>
      <c r="E45" s="4"/>
      <c r="F45" s="4"/>
      <c r="G45" s="5"/>
      <c r="H45" s="5"/>
      <c r="I45" s="5"/>
      <c r="J45" s="5"/>
      <c r="K45" s="5"/>
      <c r="L45" s="5"/>
    </row>
    <row r="46" spans="1:14" x14ac:dyDescent="0.3">
      <c r="A46" s="10"/>
      <c r="B46" s="10"/>
      <c r="C46" s="10"/>
      <c r="D46" s="10"/>
      <c r="E46" s="10"/>
      <c r="F46" s="10"/>
      <c r="G46" s="10"/>
      <c r="H46" s="10"/>
      <c r="I46" s="10"/>
      <c r="J46" s="10"/>
      <c r="K46" s="10"/>
      <c r="L46" s="10"/>
    </row>
    <row r="47" spans="1:14" x14ac:dyDescent="0.3">
      <c r="A47" s="10" t="s">
        <v>10</v>
      </c>
      <c r="B47" s="10"/>
      <c r="C47" s="10"/>
      <c r="D47" s="10"/>
      <c r="E47" s="10"/>
      <c r="F47" s="10"/>
      <c r="G47" s="10"/>
      <c r="H47" s="10"/>
      <c r="I47" s="10"/>
      <c r="J47" s="10"/>
      <c r="K47" s="10"/>
      <c r="L47" s="10"/>
    </row>
    <row r="48" spans="1:14" x14ac:dyDescent="0.3">
      <c r="A48" s="10"/>
      <c r="B48" s="364" t="s">
        <v>343</v>
      </c>
      <c r="C48" s="364"/>
      <c r="D48" s="364"/>
      <c r="E48" s="364"/>
      <c r="F48" s="364"/>
      <c r="G48" s="364"/>
      <c r="H48" s="10"/>
      <c r="I48" s="10"/>
      <c r="J48" s="10"/>
      <c r="K48" s="10"/>
      <c r="L48" s="10"/>
    </row>
    <row r="49" spans="1:13" x14ac:dyDescent="0.3">
      <c r="A49" s="10"/>
      <c r="B49" s="137"/>
      <c r="C49" s="133" t="str">
        <f>C22</f>
        <v>12-24</v>
      </c>
      <c r="D49" s="133" t="str">
        <f>D22</f>
        <v>24-36</v>
      </c>
      <c r="E49" s="133" t="str">
        <f>E22</f>
        <v>36-48</v>
      </c>
      <c r="F49" s="133" t="str">
        <f>F22</f>
        <v>48-60</v>
      </c>
      <c r="G49" s="133" t="str">
        <f>G22</f>
        <v>60-Ult</v>
      </c>
      <c r="H49" s="10"/>
      <c r="I49" s="10"/>
      <c r="J49" s="10"/>
      <c r="K49" s="10"/>
      <c r="L49" s="10"/>
    </row>
    <row r="50" spans="1:13" x14ac:dyDescent="0.3">
      <c r="A50" s="10"/>
      <c r="B50" s="137" t="s">
        <v>73</v>
      </c>
      <c r="C50" s="136">
        <f t="shared" ref="C50:F51" si="1">D50*C23</f>
        <v>1.8070203530519997</v>
      </c>
      <c r="D50" s="136">
        <f t="shared" si="1"/>
        <v>1.1004996059999999</v>
      </c>
      <c r="E50" s="136">
        <f t="shared" si="1"/>
        <v>1.0510979999999999</v>
      </c>
      <c r="F50" s="136">
        <f t="shared" si="1"/>
        <v>1.002</v>
      </c>
      <c r="G50" s="136">
        <f>G23</f>
        <v>1</v>
      </c>
      <c r="H50" s="10"/>
      <c r="I50" s="10"/>
      <c r="J50" s="10"/>
      <c r="K50" s="10"/>
      <c r="L50" s="10"/>
    </row>
    <row r="51" spans="1:13" x14ac:dyDescent="0.3">
      <c r="A51" s="10"/>
      <c r="B51" s="137" t="s">
        <v>74</v>
      </c>
      <c r="C51" s="136">
        <f t="shared" si="1"/>
        <v>1.6086924843600001</v>
      </c>
      <c r="D51" s="136">
        <f t="shared" si="1"/>
        <v>1.0425745200000001</v>
      </c>
      <c r="E51" s="136">
        <f t="shared" si="1"/>
        <v>1.0281800000000001</v>
      </c>
      <c r="F51" s="136">
        <f t="shared" si="1"/>
        <v>1.01</v>
      </c>
      <c r="G51" s="136">
        <f>G24</f>
        <v>1</v>
      </c>
      <c r="H51" s="10"/>
      <c r="I51" s="10"/>
      <c r="J51" s="10"/>
      <c r="K51" s="10"/>
      <c r="L51" s="10"/>
    </row>
    <row r="52" spans="1:13" x14ac:dyDescent="0.3">
      <c r="A52" s="10"/>
      <c r="B52" s="260"/>
      <c r="C52" s="260"/>
      <c r="D52" s="260"/>
      <c r="E52" s="260"/>
      <c r="F52" s="260"/>
      <c r="G52" s="260"/>
      <c r="H52" s="10"/>
      <c r="I52" s="10"/>
      <c r="J52" s="10"/>
      <c r="K52" s="10"/>
      <c r="L52" s="10"/>
    </row>
    <row r="53" spans="1:13" x14ac:dyDescent="0.3">
      <c r="A53" s="10"/>
      <c r="B53" s="98"/>
      <c r="C53" s="365" t="s">
        <v>344</v>
      </c>
      <c r="D53" s="365"/>
      <c r="E53" s="365"/>
      <c r="F53" s="255"/>
      <c r="G53" s="255"/>
      <c r="H53" s="10"/>
      <c r="I53" s="10"/>
      <c r="J53" s="10"/>
      <c r="K53" s="10"/>
      <c r="L53" s="10"/>
    </row>
    <row r="54" spans="1:13" x14ac:dyDescent="0.3">
      <c r="A54" s="10"/>
      <c r="B54" s="138" t="s">
        <v>5</v>
      </c>
      <c r="C54" s="138" t="s">
        <v>345</v>
      </c>
      <c r="D54" s="132">
        <v>500000</v>
      </c>
      <c r="E54" s="138" t="s">
        <v>346</v>
      </c>
      <c r="F54" s="255"/>
      <c r="G54" s="255"/>
      <c r="H54" s="10"/>
      <c r="I54" s="10"/>
      <c r="J54" s="10"/>
      <c r="K54" s="10"/>
      <c r="L54" s="10"/>
    </row>
    <row r="55" spans="1:13" x14ac:dyDescent="0.3">
      <c r="A55" s="10"/>
      <c r="B55" s="140" t="s">
        <v>7</v>
      </c>
      <c r="C55" s="130" t="s">
        <v>347</v>
      </c>
      <c r="D55" s="130" t="s">
        <v>348</v>
      </c>
      <c r="E55" s="130" t="s">
        <v>348</v>
      </c>
      <c r="F55" s="255"/>
      <c r="G55" s="255"/>
      <c r="H55" s="10"/>
      <c r="I55" s="10"/>
      <c r="J55" s="10"/>
      <c r="K55" s="10"/>
      <c r="L55" s="10"/>
    </row>
    <row r="56" spans="1:13" x14ac:dyDescent="0.3">
      <c r="A56" s="10"/>
      <c r="B56" s="138">
        <v>2015</v>
      </c>
      <c r="C56" s="139">
        <f>G7*G50</f>
        <v>16711</v>
      </c>
      <c r="D56" s="132">
        <f>G15*G51</f>
        <v>14854</v>
      </c>
      <c r="E56" s="132">
        <f>C56-D56</f>
        <v>1857</v>
      </c>
      <c r="F56" s="255"/>
      <c r="G56" s="255"/>
      <c r="H56" s="10"/>
      <c r="I56" s="10"/>
      <c r="J56" s="10"/>
      <c r="K56" s="10"/>
      <c r="L56" s="10"/>
    </row>
    <row r="57" spans="1:13" x14ac:dyDescent="0.3">
      <c r="B57" s="140">
        <v>2016</v>
      </c>
      <c r="C57" s="141">
        <f>F8*F50</f>
        <v>16525.986000000001</v>
      </c>
      <c r="D57" s="134">
        <f>F16*F51</f>
        <v>13693.58</v>
      </c>
      <c r="E57" s="134">
        <f t="shared" ref="E57:E60" si="2">C57-D57</f>
        <v>2832.4060000000009</v>
      </c>
      <c r="F57" s="98"/>
      <c r="G57" s="98"/>
      <c r="M57" s="10"/>
    </row>
    <row r="58" spans="1:13" x14ac:dyDescent="0.3">
      <c r="B58" s="140">
        <v>2017</v>
      </c>
      <c r="C58" s="141">
        <f>E9*E50</f>
        <v>16292.018999999998</v>
      </c>
      <c r="D58" s="134">
        <f>E17*E51</f>
        <v>13995.586160000001</v>
      </c>
      <c r="E58" s="134">
        <f t="shared" si="2"/>
        <v>2296.4328399999977</v>
      </c>
      <c r="F58" s="255"/>
      <c r="G58" s="255"/>
      <c r="M58" s="10"/>
    </row>
    <row r="59" spans="1:13" x14ac:dyDescent="0.3">
      <c r="B59" s="140">
        <v>2018</v>
      </c>
      <c r="C59" s="141">
        <f>D10*D50</f>
        <v>17555.169714911997</v>
      </c>
      <c r="D59" s="134">
        <f>D18*D51</f>
        <v>15614.638586040001</v>
      </c>
      <c r="E59" s="134">
        <f t="shared" si="2"/>
        <v>1940.5311288719968</v>
      </c>
      <c r="F59" s="255"/>
      <c r="G59" s="255"/>
      <c r="M59" s="10"/>
    </row>
    <row r="60" spans="1:13" x14ac:dyDescent="0.3">
      <c r="B60" s="140">
        <v>2019</v>
      </c>
      <c r="C60" s="141">
        <f>C11*C50</f>
        <v>17950.940187218566</v>
      </c>
      <c r="D60" s="134">
        <f>C19*C51</f>
        <v>14907.753252564122</v>
      </c>
      <c r="E60" s="134">
        <f t="shared" si="2"/>
        <v>3043.1869346544445</v>
      </c>
      <c r="F60" s="255"/>
      <c r="G60" s="255"/>
    </row>
    <row r="61" spans="1:13" x14ac:dyDescent="0.3">
      <c r="B61" s="133" t="s">
        <v>323</v>
      </c>
      <c r="C61" s="142">
        <f>SUM(C56:C60)</f>
        <v>85035.114902130576</v>
      </c>
      <c r="D61" s="131">
        <f>SUM(D56:D60)</f>
        <v>73065.557998604112</v>
      </c>
      <c r="E61" s="131">
        <f>SUM(E56:E60)</f>
        <v>11969.55690352644</v>
      </c>
      <c r="F61" s="100"/>
      <c r="G61" s="100"/>
    </row>
    <row r="63" spans="1:13" x14ac:dyDescent="0.3">
      <c r="A63" s="6" t="s">
        <v>47</v>
      </c>
      <c r="B63" s="5"/>
      <c r="C63" s="5"/>
      <c r="D63" s="5"/>
      <c r="E63" s="5"/>
      <c r="F63" s="5"/>
      <c r="G63" s="5"/>
      <c r="H63" s="5"/>
      <c r="I63" s="5"/>
      <c r="J63" s="5"/>
      <c r="K63" s="5"/>
      <c r="L63" s="5"/>
    </row>
    <row r="65" spans="1:12" x14ac:dyDescent="0.3">
      <c r="A65" s="5" t="s">
        <v>77</v>
      </c>
      <c r="B65" s="5"/>
      <c r="C65" s="5"/>
      <c r="D65" s="5"/>
      <c r="E65" s="5"/>
      <c r="F65" s="5"/>
      <c r="G65" s="5"/>
      <c r="H65" s="5"/>
      <c r="I65" s="5"/>
      <c r="J65" s="5"/>
      <c r="K65" s="5"/>
      <c r="L65" s="4"/>
    </row>
    <row r="66" spans="1:12" x14ac:dyDescent="0.3">
      <c r="A66" s="42" t="s">
        <v>63</v>
      </c>
      <c r="B66" s="41" t="s">
        <v>78</v>
      </c>
      <c r="C66" s="5"/>
      <c r="D66" s="5"/>
      <c r="E66" s="5"/>
      <c r="F66" s="5"/>
      <c r="G66" s="5"/>
      <c r="H66" s="5"/>
      <c r="I66" s="5"/>
      <c r="J66" s="5"/>
      <c r="K66" s="5"/>
      <c r="L66" s="4"/>
    </row>
    <row r="67" spans="1:12" x14ac:dyDescent="0.3">
      <c r="A67" s="42" t="s">
        <v>63</v>
      </c>
      <c r="B67" s="41" t="s">
        <v>79</v>
      </c>
      <c r="C67" s="5"/>
      <c r="D67" s="5"/>
      <c r="E67" s="5"/>
      <c r="F67" s="5"/>
      <c r="G67" s="5"/>
      <c r="H67" s="5"/>
      <c r="I67" s="5"/>
      <c r="J67" s="5"/>
      <c r="K67" s="5"/>
      <c r="L67" s="4"/>
    </row>
    <row r="68" spans="1:12" x14ac:dyDescent="0.3">
      <c r="A68" s="42" t="s">
        <v>63</v>
      </c>
      <c r="B68" s="41" t="s">
        <v>80</v>
      </c>
      <c r="C68" s="5"/>
      <c r="D68" s="5"/>
      <c r="E68" s="5"/>
      <c r="F68" s="5"/>
      <c r="G68" s="5"/>
      <c r="H68" s="5"/>
      <c r="I68" s="5"/>
      <c r="J68" s="5"/>
      <c r="K68" s="5"/>
      <c r="L68" s="4"/>
    </row>
    <row r="69" spans="1:12" x14ac:dyDescent="0.3">
      <c r="A69" s="23"/>
      <c r="B69" s="23"/>
      <c r="C69" s="23"/>
      <c r="D69" s="23"/>
      <c r="E69" s="23"/>
      <c r="F69" s="23"/>
      <c r="G69" s="23"/>
      <c r="H69" s="23"/>
      <c r="I69" s="23"/>
      <c r="J69" s="23"/>
      <c r="K69" s="23"/>
      <c r="L69" s="23"/>
    </row>
    <row r="71" spans="1:12" x14ac:dyDescent="0.3">
      <c r="A71" s="7" t="s">
        <v>11</v>
      </c>
      <c r="B71" s="357" t="s">
        <v>81</v>
      </c>
      <c r="C71" s="358"/>
      <c r="D71" s="358"/>
      <c r="E71" s="358"/>
      <c r="F71" s="358"/>
      <c r="G71" s="358"/>
      <c r="H71" s="358"/>
      <c r="I71" s="358"/>
      <c r="J71" s="358"/>
      <c r="K71" s="358"/>
      <c r="L71" s="358"/>
    </row>
    <row r="72" spans="1:12" x14ac:dyDescent="0.3">
      <c r="A72" s="7"/>
      <c r="B72" s="358"/>
      <c r="C72" s="358"/>
      <c r="D72" s="358"/>
      <c r="E72" s="358"/>
      <c r="F72" s="358"/>
      <c r="G72" s="358"/>
      <c r="H72" s="358"/>
      <c r="I72" s="358"/>
      <c r="J72" s="358"/>
      <c r="K72" s="358"/>
      <c r="L72" s="358"/>
    </row>
    <row r="73" spans="1:12" x14ac:dyDescent="0.3">
      <c r="A73" s="4"/>
      <c r="B73" s="4"/>
      <c r="C73" s="4"/>
      <c r="D73" s="4"/>
      <c r="E73" s="4"/>
      <c r="F73" s="4"/>
      <c r="G73" s="5"/>
      <c r="H73" s="5"/>
      <c r="I73" s="5"/>
      <c r="J73" s="5"/>
      <c r="K73" s="5"/>
      <c r="L73" s="5"/>
    </row>
    <row r="74" spans="1:12" x14ac:dyDescent="0.3">
      <c r="A74" s="10"/>
      <c r="B74" s="10"/>
      <c r="C74" s="10"/>
      <c r="D74" s="10"/>
      <c r="E74" s="10"/>
      <c r="F74" s="10"/>
      <c r="G74" s="10"/>
      <c r="H74" s="10"/>
      <c r="I74" s="10"/>
      <c r="J74" s="10"/>
      <c r="K74" s="10"/>
      <c r="L74" s="10"/>
    </row>
    <row r="75" spans="1:12" x14ac:dyDescent="0.3">
      <c r="A75" s="10" t="s">
        <v>10</v>
      </c>
      <c r="B75" s="10"/>
      <c r="C75" s="10"/>
      <c r="D75" s="10"/>
      <c r="E75" s="10"/>
      <c r="F75" s="10"/>
      <c r="G75" s="10"/>
      <c r="H75" s="10"/>
      <c r="I75" s="10"/>
      <c r="J75" s="10"/>
      <c r="K75" s="10"/>
      <c r="L75" s="10"/>
    </row>
    <row r="76" spans="1:12" x14ac:dyDescent="0.3">
      <c r="A76" s="10"/>
      <c r="B76" s="116" t="s">
        <v>353</v>
      </c>
      <c r="C76" s="116" t="s">
        <v>349</v>
      </c>
      <c r="D76" s="116" t="s">
        <v>351</v>
      </c>
      <c r="E76" s="116" t="s">
        <v>40</v>
      </c>
      <c r="F76" s="10"/>
      <c r="G76" s="10"/>
      <c r="H76" s="10"/>
      <c r="I76" s="10"/>
      <c r="J76" s="10"/>
      <c r="K76" s="10"/>
      <c r="L76" s="10"/>
    </row>
    <row r="77" spans="1:12" x14ac:dyDescent="0.3">
      <c r="A77" s="10"/>
      <c r="B77" s="109" t="s">
        <v>354</v>
      </c>
      <c r="C77" s="109" t="s">
        <v>350</v>
      </c>
      <c r="D77" s="109" t="s">
        <v>352</v>
      </c>
      <c r="E77" s="109" t="s">
        <v>1</v>
      </c>
      <c r="F77" s="10"/>
      <c r="G77" s="10"/>
      <c r="H77" s="10"/>
      <c r="I77" s="10"/>
      <c r="J77" s="10"/>
      <c r="K77" s="10"/>
      <c r="L77" s="10"/>
    </row>
    <row r="78" spans="1:12" x14ac:dyDescent="0.3">
      <c r="B78" s="112">
        <v>30500</v>
      </c>
      <c r="C78" s="145">
        <v>1.05</v>
      </c>
      <c r="D78" s="111">
        <f>0.12/C78</f>
        <v>0.11428571428571428</v>
      </c>
      <c r="E78" s="112">
        <f>D78*B78</f>
        <v>3485.7142857142858</v>
      </c>
    </row>
    <row r="79" spans="1:12" x14ac:dyDescent="0.3">
      <c r="B79" s="112">
        <v>31800</v>
      </c>
      <c r="C79" s="145">
        <v>1</v>
      </c>
      <c r="D79" s="111">
        <v>0.12</v>
      </c>
      <c r="E79" s="112">
        <f>D79*B79</f>
        <v>3816</v>
      </c>
    </row>
    <row r="81" spans="1:12" x14ac:dyDescent="0.3">
      <c r="A81" s="6" t="s">
        <v>82</v>
      </c>
      <c r="B81" s="4"/>
      <c r="C81" s="4"/>
      <c r="D81" s="4"/>
      <c r="E81" s="4"/>
      <c r="F81" s="4"/>
      <c r="G81" s="4"/>
      <c r="H81" s="4"/>
      <c r="I81" s="4"/>
      <c r="J81" s="4"/>
      <c r="K81" s="4"/>
      <c r="L81" s="4"/>
    </row>
  </sheetData>
  <mergeCells count="9">
    <mergeCell ref="B71:L72"/>
    <mergeCell ref="C5:G5"/>
    <mergeCell ref="C13:G13"/>
    <mergeCell ref="B21:G21"/>
    <mergeCell ref="B27:L28"/>
    <mergeCell ref="B43:L44"/>
    <mergeCell ref="C32:G32"/>
    <mergeCell ref="B48:G48"/>
    <mergeCell ref="C53:E53"/>
  </mergeCells>
  <pageMargins left="0.39370078740157483" right="0.39370078740157483" top="0.39370078740157483" bottom="0.39370078740157483" header="0.31496062992125984" footer="0.31496062992125984"/>
  <pageSetup scale="82" orientation="portrait" verticalDpi="1200" r:id="rId1"/>
  <headerFooter>
    <oddFooter>&amp;L&amp;F [&amp;A]&amp;R&amp;P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84C19-3861-4C8D-99DA-A5165B2F532D}">
  <dimension ref="A1:R70"/>
  <sheetViews>
    <sheetView zoomScaleNormal="100" workbookViewId="0"/>
  </sheetViews>
  <sheetFormatPr defaultRowHeight="15.6" x14ac:dyDescent="0.3"/>
  <cols>
    <col min="1" max="1" width="8.88671875" style="2" customWidth="1"/>
    <col min="2" max="2" width="12.77734375" style="2" customWidth="1"/>
    <col min="3" max="3" width="18.6640625" style="2" customWidth="1"/>
    <col min="4" max="4" width="22.44140625" style="2" customWidth="1"/>
    <col min="5" max="5" width="12.77734375" style="2" customWidth="1"/>
    <col min="6" max="6" width="9.21875" style="2" customWidth="1"/>
    <col min="7" max="7" width="10.44140625" style="2" customWidth="1"/>
    <col min="8" max="8" width="16.5546875" style="2" customWidth="1"/>
    <col min="9" max="16384" width="8.88671875" style="2"/>
  </cols>
  <sheetData>
    <row r="1" spans="1:18" ht="17.399999999999999" x14ac:dyDescent="0.3">
      <c r="A1" s="3" t="s">
        <v>83</v>
      </c>
      <c r="B1" s="5"/>
      <c r="C1" s="23" t="s">
        <v>34</v>
      </c>
      <c r="D1" s="5"/>
      <c r="E1" s="5"/>
      <c r="F1" s="5"/>
      <c r="G1" s="5"/>
      <c r="H1" s="5"/>
      <c r="I1" s="5"/>
      <c r="J1" s="5"/>
      <c r="K1" s="5"/>
      <c r="L1" s="4"/>
    </row>
    <row r="2" spans="1:18" x14ac:dyDescent="0.3">
      <c r="A2" s="5"/>
      <c r="B2" s="5"/>
      <c r="C2" s="5"/>
      <c r="D2" s="5"/>
      <c r="E2" s="5"/>
      <c r="F2" s="5"/>
      <c r="G2" s="5"/>
      <c r="H2" s="5"/>
      <c r="I2" s="5"/>
      <c r="J2" s="5"/>
      <c r="K2" s="5"/>
      <c r="L2" s="4"/>
    </row>
    <row r="3" spans="1:18" x14ac:dyDescent="0.3">
      <c r="A3" s="5" t="s">
        <v>84</v>
      </c>
      <c r="B3" s="5"/>
      <c r="C3" s="5"/>
      <c r="D3" s="5"/>
      <c r="E3" s="5"/>
      <c r="F3" s="5"/>
      <c r="G3" s="5"/>
      <c r="H3" s="5"/>
      <c r="I3" s="5"/>
      <c r="J3" s="5"/>
      <c r="K3" s="5"/>
      <c r="L3" s="4"/>
    </row>
    <row r="4" spans="1:18" x14ac:dyDescent="0.3">
      <c r="A4" s="23"/>
      <c r="B4" s="23"/>
      <c r="C4" s="173"/>
      <c r="D4" s="173"/>
      <c r="E4" s="173"/>
      <c r="F4" s="23"/>
      <c r="G4" s="23"/>
      <c r="H4" s="23"/>
      <c r="I4" s="23"/>
      <c r="J4" s="23"/>
      <c r="K4" s="23"/>
      <c r="L4" s="23"/>
    </row>
    <row r="5" spans="1:18" ht="31.2" x14ac:dyDescent="0.3">
      <c r="A5" s="23"/>
      <c r="B5" s="19" t="s">
        <v>85</v>
      </c>
      <c r="C5" s="19" t="s">
        <v>6</v>
      </c>
      <c r="D5" s="19" t="s">
        <v>86</v>
      </c>
      <c r="E5" s="19" t="s">
        <v>87</v>
      </c>
      <c r="F5" s="23"/>
      <c r="G5" s="23"/>
      <c r="H5" s="23"/>
      <c r="I5" s="23"/>
      <c r="J5" s="23"/>
      <c r="K5" s="23"/>
      <c r="L5" s="23"/>
    </row>
    <row r="6" spans="1:18" x14ac:dyDescent="0.3">
      <c r="A6" s="23"/>
      <c r="B6" s="53">
        <v>2014</v>
      </c>
      <c r="C6" s="54">
        <v>4526480</v>
      </c>
      <c r="D6" s="54">
        <v>5850000</v>
      </c>
      <c r="E6" s="54">
        <v>172580</v>
      </c>
      <c r="F6" s="23"/>
      <c r="G6" s="23"/>
      <c r="H6" s="23"/>
      <c r="I6" s="23"/>
      <c r="J6" s="23"/>
      <c r="K6" s="23"/>
      <c r="L6" s="23"/>
    </row>
    <row r="7" spans="1:18" x14ac:dyDescent="0.3">
      <c r="A7" s="23"/>
      <c r="B7" s="53">
        <v>2015</v>
      </c>
      <c r="C7" s="54">
        <v>4830080</v>
      </c>
      <c r="D7" s="54">
        <v>6166130</v>
      </c>
      <c r="E7" s="54">
        <v>186220</v>
      </c>
      <c r="F7" s="23"/>
      <c r="G7" s="23"/>
      <c r="H7" s="23"/>
      <c r="I7" s="23"/>
      <c r="J7" s="23"/>
      <c r="K7" s="23"/>
      <c r="L7" s="23"/>
    </row>
    <row r="8" spans="1:18" x14ac:dyDescent="0.3">
      <c r="A8" s="23"/>
      <c r="B8" s="53">
        <v>2016</v>
      </c>
      <c r="C8" s="54">
        <v>5279580</v>
      </c>
      <c r="D8" s="54">
        <v>6451780</v>
      </c>
      <c r="E8" s="54">
        <v>200650</v>
      </c>
      <c r="F8" s="23"/>
      <c r="G8" s="23"/>
      <c r="H8" s="23"/>
      <c r="I8" s="23"/>
      <c r="J8" s="23"/>
      <c r="K8" s="23"/>
      <c r="L8" s="23"/>
    </row>
    <row r="9" spans="1:18" x14ac:dyDescent="0.3">
      <c r="A9" s="23"/>
      <c r="B9" s="53">
        <v>2017</v>
      </c>
      <c r="C9" s="54">
        <v>5542320</v>
      </c>
      <c r="D9" s="54">
        <v>6658360</v>
      </c>
      <c r="E9" s="54">
        <v>214400</v>
      </c>
      <c r="F9" s="23"/>
      <c r="G9" s="23"/>
      <c r="H9" s="23"/>
      <c r="I9" s="23"/>
      <c r="J9" s="23"/>
      <c r="K9" s="23"/>
      <c r="L9" s="23"/>
    </row>
    <row r="10" spans="1:18" x14ac:dyDescent="0.3">
      <c r="A10" s="23"/>
      <c r="B10" s="53">
        <v>2018</v>
      </c>
      <c r="C10" s="54">
        <v>6139740</v>
      </c>
      <c r="D10" s="54">
        <v>6901520</v>
      </c>
      <c r="E10" s="54">
        <v>231200</v>
      </c>
      <c r="F10" s="23"/>
      <c r="G10" s="23"/>
      <c r="H10" s="23"/>
      <c r="I10" s="23"/>
      <c r="J10" s="23"/>
      <c r="K10" s="23"/>
      <c r="L10" s="23"/>
    </row>
    <row r="11" spans="1:18" x14ac:dyDescent="0.3">
      <c r="A11" s="23"/>
      <c r="B11" s="53">
        <v>2019</v>
      </c>
      <c r="C11" s="54">
        <v>6873650</v>
      </c>
      <c r="D11" s="54">
        <v>7231270</v>
      </c>
      <c r="E11" s="54">
        <v>253090</v>
      </c>
      <c r="F11" s="23"/>
      <c r="G11" s="23"/>
      <c r="H11" s="23"/>
      <c r="I11" s="23"/>
      <c r="J11" s="23"/>
      <c r="K11" s="23"/>
      <c r="L11" s="23"/>
    </row>
    <row r="12" spans="1:18" x14ac:dyDescent="0.3">
      <c r="A12" s="23"/>
      <c r="B12" s="23"/>
      <c r="C12" s="23"/>
      <c r="D12" s="23"/>
      <c r="E12" s="23"/>
      <c r="F12" s="23"/>
      <c r="G12" s="23"/>
      <c r="H12" s="23"/>
      <c r="I12" s="23"/>
      <c r="J12" s="23"/>
      <c r="K12" s="23"/>
      <c r="L12" s="23"/>
    </row>
    <row r="13" spans="1:18" x14ac:dyDescent="0.3">
      <c r="A13" s="23" t="s">
        <v>88</v>
      </c>
      <c r="B13" s="23"/>
      <c r="C13" s="23"/>
      <c r="D13" s="23"/>
      <c r="E13" s="23"/>
      <c r="F13" s="23"/>
      <c r="G13" s="23"/>
      <c r="H13" s="23"/>
      <c r="I13" s="23"/>
      <c r="J13" s="23"/>
      <c r="K13" s="23"/>
      <c r="L13" s="23"/>
    </row>
    <row r="14" spans="1:18" x14ac:dyDescent="0.3">
      <c r="A14" s="23"/>
      <c r="B14" s="23"/>
      <c r="C14" s="23"/>
      <c r="D14" s="23"/>
      <c r="E14" s="23"/>
      <c r="F14" s="23"/>
      <c r="G14" s="23"/>
      <c r="H14" s="23"/>
      <c r="I14" s="23"/>
      <c r="J14" s="23"/>
      <c r="K14" s="23"/>
      <c r="L14" s="23"/>
    </row>
    <row r="15" spans="1:18" x14ac:dyDescent="0.3">
      <c r="A15" s="10"/>
      <c r="B15" s="10"/>
      <c r="C15" s="10"/>
      <c r="D15" s="10"/>
      <c r="E15" s="10"/>
      <c r="F15" s="10"/>
      <c r="G15" s="10"/>
      <c r="H15" s="10"/>
      <c r="I15" s="10"/>
      <c r="J15" s="10"/>
      <c r="K15" s="10"/>
      <c r="L15" s="10"/>
    </row>
    <row r="16" spans="1:18" x14ac:dyDescent="0.3">
      <c r="A16" s="7" t="s">
        <v>14</v>
      </c>
      <c r="B16" s="5" t="s">
        <v>89</v>
      </c>
      <c r="C16" s="5"/>
      <c r="D16" s="5"/>
      <c r="E16" s="5"/>
      <c r="F16" s="5"/>
      <c r="G16" s="5"/>
      <c r="H16" s="5"/>
      <c r="I16" s="5"/>
      <c r="J16" s="5"/>
      <c r="K16" s="5"/>
      <c r="L16" s="5"/>
      <c r="M16" s="12"/>
      <c r="N16" s="12"/>
      <c r="O16" s="12"/>
      <c r="P16" s="12"/>
      <c r="Q16" s="12"/>
      <c r="R16" s="12"/>
    </row>
    <row r="17" spans="1:14" x14ac:dyDescent="0.3">
      <c r="A17" s="4"/>
      <c r="B17" s="4"/>
      <c r="C17" s="4"/>
      <c r="D17" s="4"/>
      <c r="E17" s="4"/>
      <c r="F17" s="4"/>
      <c r="G17" s="5"/>
      <c r="H17" s="5"/>
      <c r="I17" s="5"/>
      <c r="J17" s="5"/>
      <c r="K17" s="5"/>
      <c r="L17" s="5"/>
    </row>
    <row r="18" spans="1:14" x14ac:dyDescent="0.3">
      <c r="A18" s="10"/>
      <c r="B18" s="10"/>
      <c r="C18" s="10"/>
      <c r="D18" s="10"/>
      <c r="E18" s="10"/>
      <c r="F18" s="10"/>
      <c r="G18" s="10"/>
      <c r="H18" s="10"/>
      <c r="I18" s="10"/>
      <c r="J18" s="10"/>
      <c r="K18" s="10"/>
      <c r="L18" s="10"/>
      <c r="M18" s="10"/>
    </row>
    <row r="19" spans="1:14" x14ac:dyDescent="0.3">
      <c r="A19" s="10" t="s">
        <v>10</v>
      </c>
      <c r="B19" s="10"/>
      <c r="C19" s="10"/>
      <c r="D19" s="10"/>
      <c r="E19" s="10"/>
      <c r="F19" s="10"/>
      <c r="G19" s="10"/>
      <c r="H19" s="10"/>
      <c r="I19" s="10"/>
      <c r="J19" s="10"/>
      <c r="K19" s="10"/>
      <c r="L19" s="10"/>
      <c r="M19" s="10"/>
      <c r="N19" s="12"/>
    </row>
    <row r="20" spans="1:14" ht="46.8" x14ac:dyDescent="0.3">
      <c r="B20" s="146" t="s">
        <v>85</v>
      </c>
      <c r="C20" s="146" t="s">
        <v>355</v>
      </c>
      <c r="D20" s="146" t="s">
        <v>356</v>
      </c>
      <c r="G20" s="98"/>
      <c r="H20" s="98"/>
      <c r="M20" s="12"/>
      <c r="N20" s="12"/>
    </row>
    <row r="21" spans="1:14" x14ac:dyDescent="0.3">
      <c r="B21" s="147">
        <f t="shared" ref="B21:B26" si="0">B6</f>
        <v>2014</v>
      </c>
      <c r="C21" s="148">
        <f t="shared" ref="C21:C26" si="1">E6/D6</f>
        <v>2.9500854700854701E-2</v>
      </c>
      <c r="D21" s="103"/>
      <c r="G21" s="98"/>
      <c r="H21" s="98"/>
      <c r="M21" s="12"/>
      <c r="N21" s="12"/>
    </row>
    <row r="22" spans="1:14" x14ac:dyDescent="0.3">
      <c r="B22" s="147">
        <f t="shared" si="0"/>
        <v>2015</v>
      </c>
      <c r="C22" s="148">
        <f t="shared" si="1"/>
        <v>3.0200466094616883E-2</v>
      </c>
      <c r="D22" s="148">
        <f t="shared" ref="D22:D26" si="2">C22/C21-1</f>
        <v>2.3714953375296943E-2</v>
      </c>
      <c r="G22" s="98"/>
      <c r="H22" s="98"/>
      <c r="M22" s="12"/>
      <c r="N22" s="12"/>
    </row>
    <row r="23" spans="1:14" x14ac:dyDescent="0.3">
      <c r="B23" s="147">
        <f t="shared" si="0"/>
        <v>2016</v>
      </c>
      <c r="C23" s="148">
        <f t="shared" si="1"/>
        <v>3.1099944511437154E-2</v>
      </c>
      <c r="D23" s="148">
        <f t="shared" si="2"/>
        <v>2.9783593869122438E-2</v>
      </c>
      <c r="G23" s="98"/>
      <c r="H23" s="98"/>
      <c r="M23" s="12"/>
      <c r="N23" s="12"/>
    </row>
    <row r="24" spans="1:14" x14ac:dyDescent="0.3">
      <c r="B24" s="147">
        <f t="shared" si="0"/>
        <v>2017</v>
      </c>
      <c r="C24" s="148">
        <f t="shared" si="1"/>
        <v>3.2200121351203599E-2</v>
      </c>
      <c r="D24" s="148">
        <f t="shared" si="2"/>
        <v>3.5375524202682973E-2</v>
      </c>
      <c r="G24" s="98"/>
      <c r="H24" s="98"/>
      <c r="M24" s="12"/>
      <c r="N24" s="12"/>
    </row>
    <row r="25" spans="1:14" x14ac:dyDescent="0.3">
      <c r="B25" s="147">
        <f t="shared" si="0"/>
        <v>2018</v>
      </c>
      <c r="C25" s="148">
        <f t="shared" si="1"/>
        <v>3.3499866696032179E-2</v>
      </c>
      <c r="D25" s="148">
        <f t="shared" si="2"/>
        <v>4.0364610140824819E-2</v>
      </c>
      <c r="G25" s="98"/>
      <c r="H25" s="98"/>
      <c r="M25" s="12"/>
      <c r="N25" s="12"/>
    </row>
    <row r="26" spans="1:14" x14ac:dyDescent="0.3">
      <c r="B26" s="147">
        <f t="shared" si="0"/>
        <v>2019</v>
      </c>
      <c r="C26" s="148">
        <f t="shared" si="1"/>
        <v>3.4999384617086626E-2</v>
      </c>
      <c r="D26" s="148">
        <f t="shared" si="2"/>
        <v>4.4761907104306609E-2</v>
      </c>
      <c r="G26" s="98"/>
      <c r="H26" s="98"/>
    </row>
    <row r="27" spans="1:14" x14ac:dyDescent="0.3">
      <c r="B27" s="147"/>
      <c r="C27"/>
      <c r="D27"/>
      <c r="E27" s="148"/>
      <c r="F27" s="148"/>
      <c r="G27" s="98"/>
      <c r="H27" s="98"/>
    </row>
    <row r="28" spans="1:14" x14ac:dyDescent="0.3">
      <c r="B28" s="143" t="s">
        <v>357</v>
      </c>
      <c r="C28" s="129"/>
      <c r="D28" s="171">
        <f>AVERAGE(D22:D26)</f>
        <v>3.4800117738446754E-2</v>
      </c>
      <c r="E28" s="172" t="s">
        <v>369</v>
      </c>
      <c r="F28" s="148"/>
      <c r="G28" s="98"/>
      <c r="H28" s="98"/>
    </row>
    <row r="29" spans="1:14" x14ac:dyDescent="0.3">
      <c r="B29" s="143" t="s">
        <v>358</v>
      </c>
      <c r="C29" s="129"/>
      <c r="D29" s="171">
        <f>AVERAGE(D24:D26)</f>
        <v>4.0167347149271469E-2</v>
      </c>
      <c r="E29" s="148"/>
      <c r="F29" s="148"/>
      <c r="G29" s="98"/>
      <c r="H29" s="98"/>
    </row>
    <row r="30" spans="1:14" x14ac:dyDescent="0.3">
      <c r="B30" s="147"/>
      <c r="C30" s="148"/>
      <c r="D30" s="148"/>
      <c r="E30" s="148"/>
      <c r="F30" s="148"/>
      <c r="G30" s="98"/>
      <c r="H30" s="98"/>
    </row>
    <row r="31" spans="1:14" x14ac:dyDescent="0.3">
      <c r="A31" s="6" t="s">
        <v>33</v>
      </c>
      <c r="B31" s="4"/>
      <c r="C31" s="4"/>
      <c r="D31" s="4"/>
      <c r="E31" s="4"/>
      <c r="F31" s="4"/>
      <c r="G31" s="4"/>
      <c r="H31" s="4"/>
      <c r="I31" s="4"/>
      <c r="J31" s="4"/>
      <c r="K31" s="4"/>
      <c r="L31" s="4"/>
    </row>
    <row r="33" spans="1:12" x14ac:dyDescent="0.3">
      <c r="A33" s="6" t="s">
        <v>47</v>
      </c>
      <c r="B33" s="4"/>
      <c r="C33" s="4"/>
      <c r="D33" s="4"/>
      <c r="E33" s="4"/>
      <c r="F33" s="4"/>
      <c r="G33" s="4"/>
      <c r="H33" s="4"/>
      <c r="I33" s="4"/>
      <c r="J33" s="4"/>
      <c r="K33" s="4"/>
      <c r="L33" s="4"/>
    </row>
    <row r="35" spans="1:12" x14ac:dyDescent="0.3">
      <c r="A35" s="5" t="s">
        <v>90</v>
      </c>
      <c r="B35" s="4"/>
      <c r="C35" s="4"/>
      <c r="D35" s="4"/>
      <c r="E35" s="4"/>
      <c r="F35" s="4"/>
      <c r="G35" s="4"/>
      <c r="H35" s="4"/>
      <c r="I35" s="4"/>
      <c r="J35" s="4"/>
      <c r="K35" s="4"/>
      <c r="L35" s="4"/>
    </row>
    <row r="36" spans="1:12" x14ac:dyDescent="0.3">
      <c r="A36" s="42" t="s">
        <v>63</v>
      </c>
      <c r="B36" s="5" t="s">
        <v>91</v>
      </c>
      <c r="C36" s="55"/>
      <c r="D36" s="55"/>
      <c r="E36" s="55"/>
      <c r="F36" s="55"/>
      <c r="G36" s="55"/>
      <c r="H36" s="4"/>
      <c r="I36" s="4"/>
      <c r="J36" s="4"/>
      <c r="K36" s="4"/>
      <c r="L36" s="4"/>
    </row>
    <row r="37" spans="1:12" x14ac:dyDescent="0.3">
      <c r="A37" s="42" t="s">
        <v>63</v>
      </c>
      <c r="B37" s="5" t="s">
        <v>92</v>
      </c>
      <c r="C37" s="55"/>
      <c r="D37" s="55"/>
      <c r="E37" s="55"/>
      <c r="F37" s="55"/>
      <c r="G37" s="55"/>
      <c r="H37" s="4"/>
      <c r="I37" s="4"/>
      <c r="J37" s="4"/>
      <c r="K37" s="4"/>
      <c r="L37" s="4"/>
    </row>
    <row r="38" spans="1:12" x14ac:dyDescent="0.3">
      <c r="A38" s="42" t="s">
        <v>63</v>
      </c>
      <c r="B38" s="5" t="s">
        <v>93</v>
      </c>
      <c r="C38" s="55"/>
      <c r="D38" s="55"/>
      <c r="E38" s="55"/>
      <c r="F38" s="55"/>
      <c r="G38" s="55"/>
      <c r="H38" s="4"/>
      <c r="I38" s="4"/>
      <c r="J38" s="4"/>
      <c r="K38" s="4"/>
      <c r="L38" s="4"/>
    </row>
    <row r="39" spans="1:12" x14ac:dyDescent="0.3">
      <c r="A39" s="5"/>
      <c r="B39" s="4"/>
      <c r="C39" s="4"/>
      <c r="D39" s="4"/>
      <c r="E39" s="4"/>
      <c r="F39" s="4"/>
      <c r="G39" s="4"/>
      <c r="H39" s="4"/>
      <c r="I39" s="4"/>
      <c r="J39" s="4"/>
      <c r="K39" s="4"/>
      <c r="L39" s="4"/>
    </row>
    <row r="40" spans="1:12" x14ac:dyDescent="0.3">
      <c r="A40" s="10"/>
      <c r="B40" s="10"/>
      <c r="C40" s="10"/>
      <c r="D40" s="10"/>
      <c r="E40" s="10"/>
      <c r="F40" s="10"/>
      <c r="G40" s="10"/>
      <c r="H40" s="10"/>
      <c r="I40" s="10"/>
      <c r="J40" s="10"/>
      <c r="K40" s="10"/>
      <c r="L40" s="10"/>
    </row>
    <row r="41" spans="1:12" x14ac:dyDescent="0.3">
      <c r="A41" s="7" t="s">
        <v>11</v>
      </c>
      <c r="B41" s="5" t="s">
        <v>94</v>
      </c>
      <c r="C41" s="5"/>
      <c r="D41" s="5"/>
      <c r="E41" s="5"/>
      <c r="F41" s="5"/>
      <c r="G41" s="5"/>
      <c r="H41" s="5"/>
      <c r="I41" s="5"/>
      <c r="J41" s="5"/>
      <c r="K41" s="5"/>
      <c r="L41" s="5"/>
    </row>
    <row r="42" spans="1:12" x14ac:dyDescent="0.3">
      <c r="A42" s="4"/>
      <c r="B42" s="4"/>
      <c r="C42" s="4"/>
      <c r="D42" s="4"/>
      <c r="E42" s="4"/>
      <c r="F42" s="4"/>
      <c r="G42" s="5"/>
      <c r="H42" s="5"/>
      <c r="I42" s="5"/>
      <c r="J42" s="5"/>
      <c r="K42" s="5"/>
      <c r="L42" s="5"/>
    </row>
    <row r="43" spans="1:12" x14ac:dyDescent="0.3">
      <c r="A43" s="10"/>
      <c r="E43" s="152"/>
      <c r="F43" s="10"/>
      <c r="G43" s="10"/>
      <c r="H43" s="10"/>
      <c r="I43" s="10"/>
      <c r="J43" s="10"/>
      <c r="K43" s="10"/>
      <c r="L43" s="10"/>
    </row>
    <row r="44" spans="1:12" x14ac:dyDescent="0.3">
      <c r="A44" s="10" t="s">
        <v>10</v>
      </c>
      <c r="E44" s="152"/>
      <c r="F44" s="10"/>
      <c r="G44" s="10"/>
      <c r="H44" s="10"/>
      <c r="I44" s="10"/>
      <c r="J44" s="10"/>
      <c r="K44" s="10"/>
      <c r="L44" s="10"/>
    </row>
    <row r="45" spans="1:12" x14ac:dyDescent="0.3">
      <c r="B45" s="168" t="s">
        <v>368</v>
      </c>
      <c r="C45" s="129"/>
      <c r="E45" s="169">
        <v>0.04</v>
      </c>
    </row>
    <row r="46" spans="1:12" x14ac:dyDescent="0.3">
      <c r="B46" s="127"/>
      <c r="C46" s="127"/>
      <c r="D46" s="127"/>
      <c r="E46" s="127"/>
    </row>
    <row r="47" spans="1:12" x14ac:dyDescent="0.3">
      <c r="B47" s="103" t="s">
        <v>359</v>
      </c>
      <c r="C47" s="103"/>
      <c r="D47" s="103"/>
      <c r="E47" s="154">
        <v>44287</v>
      </c>
      <c r="F47" s="170" t="s">
        <v>360</v>
      </c>
      <c r="G47" s="103"/>
      <c r="H47" s="103"/>
    </row>
    <row r="48" spans="1:12" x14ac:dyDescent="0.3">
      <c r="B48" s="103" t="s">
        <v>361</v>
      </c>
      <c r="C48" s="103"/>
      <c r="D48" s="103"/>
      <c r="E48" s="154">
        <f>DATE(YEAR(E47)+1,MONTH(E47),DAY(E47))</f>
        <v>44652</v>
      </c>
      <c r="F48" s="155"/>
      <c r="G48" s="104"/>
      <c r="H48" s="104"/>
    </row>
    <row r="49" spans="2:9" x14ac:dyDescent="0.3">
      <c r="B49" s="103"/>
      <c r="C49" s="103"/>
      <c r="D49" s="103"/>
      <c r="E49" s="103"/>
      <c r="F49" s="103"/>
      <c r="G49" s="103"/>
      <c r="H49" s="155"/>
    </row>
    <row r="50" spans="2:9" x14ac:dyDescent="0.3">
      <c r="B50" s="103"/>
      <c r="C50" s="157" t="s">
        <v>362</v>
      </c>
      <c r="D50" s="157"/>
      <c r="E50" s="103"/>
      <c r="F50" s="103"/>
      <c r="G50" s="158"/>
      <c r="H50" s="103"/>
    </row>
    <row r="51" spans="2:9" ht="46.8" x14ac:dyDescent="0.3">
      <c r="B51" s="146" t="s">
        <v>85</v>
      </c>
      <c r="C51" s="146" t="s">
        <v>280</v>
      </c>
      <c r="D51" s="146" t="s">
        <v>363</v>
      </c>
      <c r="E51" s="146" t="s">
        <v>364</v>
      </c>
      <c r="F51" s="146" t="s">
        <v>365</v>
      </c>
      <c r="G51" s="146" t="s">
        <v>366</v>
      </c>
      <c r="H51" s="146" t="s">
        <v>355</v>
      </c>
    </row>
    <row r="52" spans="2:9" x14ac:dyDescent="0.3">
      <c r="B52" s="147">
        <f>B24</f>
        <v>2017</v>
      </c>
      <c r="C52" s="159">
        <f t="shared" ref="C52:C54" si="3">DATE(B52,7,1)</f>
        <v>42917</v>
      </c>
      <c r="D52" s="159">
        <f t="shared" ref="D52" si="4">D53</f>
        <v>44652</v>
      </c>
      <c r="E52" s="147">
        <f>(12*YEAR(D52)+MONTH(D52))-(12*YEAR(C52)+MONTH(C52))</f>
        <v>57</v>
      </c>
      <c r="F52" s="160">
        <f>(1+E45)^(E52/12)</f>
        <v>1.2047816985217086</v>
      </c>
      <c r="G52" s="161">
        <f>F52*E9</f>
        <v>258305.19616305432</v>
      </c>
      <c r="H52" s="148">
        <f>G52/D9</f>
        <v>3.8794116894108208E-2</v>
      </c>
    </row>
    <row r="53" spans="2:9" x14ac:dyDescent="0.3">
      <c r="B53" s="147">
        <f>B25</f>
        <v>2018</v>
      </c>
      <c r="C53" s="159">
        <f t="shared" si="3"/>
        <v>43282</v>
      </c>
      <c r="D53" s="159">
        <f>D54</f>
        <v>44652</v>
      </c>
      <c r="E53" s="147">
        <f>(12*YEAR(D53)+MONTH(D53))-(12*YEAR(C53)+MONTH(C53))</f>
        <v>45</v>
      </c>
      <c r="F53" s="160">
        <f>(1+E45)^(E53/12)</f>
        <v>1.1584439408862581</v>
      </c>
      <c r="G53" s="161">
        <f>F53*E10</f>
        <v>267832.23913290288</v>
      </c>
      <c r="H53" s="148">
        <f>G53/D10</f>
        <v>3.8807717594515831E-2</v>
      </c>
    </row>
    <row r="54" spans="2:9" x14ac:dyDescent="0.3">
      <c r="B54" s="162">
        <f>B26</f>
        <v>2019</v>
      </c>
      <c r="C54" s="163">
        <f t="shared" si="3"/>
        <v>43647</v>
      </c>
      <c r="D54" s="163">
        <f>DATE(YEAR(E47)+1,MONTH(E47),DAY(E47))</f>
        <v>44652</v>
      </c>
      <c r="E54" s="162">
        <f>(12*YEAR(D54)+MONTH(D54))-(12*YEAR(C54)+MONTH(C54))</f>
        <v>33</v>
      </c>
      <c r="F54" s="164">
        <f>(1+E45)^(E54/12)</f>
        <v>1.1138884046983251</v>
      </c>
      <c r="G54" s="165">
        <f>F54*E11</f>
        <v>281914.01634509908</v>
      </c>
      <c r="H54" s="166">
        <f>G54/D11</f>
        <v>3.898540869654972E-2</v>
      </c>
    </row>
    <row r="55" spans="2:9" x14ac:dyDescent="0.3">
      <c r="B55" s="103"/>
      <c r="C55" s="103"/>
      <c r="D55" s="103"/>
      <c r="E55" s="103"/>
      <c r="F55" s="103"/>
      <c r="G55" s="103" t="s">
        <v>367</v>
      </c>
      <c r="H55" s="167">
        <f>AVERAGE(H52:H54)</f>
        <v>3.8862414395057922E-2</v>
      </c>
    </row>
    <row r="59" spans="2:9" x14ac:dyDescent="0.3">
      <c r="B59" s="98"/>
      <c r="C59" s="98"/>
      <c r="D59" s="98"/>
      <c r="E59" s="98"/>
      <c r="F59" s="98"/>
      <c r="G59" s="98"/>
      <c r="H59" s="98"/>
      <c r="I59" s="98"/>
    </row>
    <row r="60" spans="2:9" x14ac:dyDescent="0.3">
      <c r="I60" s="98"/>
    </row>
    <row r="61" spans="2:9" x14ac:dyDescent="0.3">
      <c r="I61" s="98"/>
    </row>
    <row r="62" spans="2:9" x14ac:dyDescent="0.3">
      <c r="I62" s="98"/>
    </row>
    <row r="63" spans="2:9" x14ac:dyDescent="0.3">
      <c r="I63" s="98"/>
    </row>
    <row r="64" spans="2:9" x14ac:dyDescent="0.3">
      <c r="I64" s="98"/>
    </row>
    <row r="65" spans="2:9" x14ac:dyDescent="0.3">
      <c r="I65" s="98"/>
    </row>
    <row r="66" spans="2:9" x14ac:dyDescent="0.3">
      <c r="I66" s="98"/>
    </row>
    <row r="67" spans="2:9" x14ac:dyDescent="0.3">
      <c r="I67" s="98"/>
    </row>
    <row r="68" spans="2:9" x14ac:dyDescent="0.3">
      <c r="I68" s="98"/>
    </row>
    <row r="69" spans="2:9" x14ac:dyDescent="0.3">
      <c r="B69" s="103"/>
      <c r="C69" s="103"/>
      <c r="D69" s="103"/>
      <c r="E69" s="103"/>
      <c r="F69" s="103"/>
      <c r="G69" s="103"/>
      <c r="H69" s="167"/>
      <c r="I69" s="98"/>
    </row>
    <row r="70" spans="2:9" x14ac:dyDescent="0.3">
      <c r="B70" s="98"/>
      <c r="C70" s="98"/>
      <c r="D70" s="98"/>
      <c r="E70" s="98"/>
      <c r="F70" s="98"/>
      <c r="G70" s="98"/>
      <c r="H70" s="98"/>
      <c r="I70" s="98"/>
    </row>
  </sheetData>
  <pageMargins left="0.39370078740157483" right="0.39370078740157483" top="0.39370078740157483" bottom="0.39370078740157483" header="0.31496062992125984" footer="0.31496062992125984"/>
  <pageSetup scale="76" orientation="portrait" verticalDpi="1200" r:id="rId1"/>
  <headerFooter>
    <oddFooter>&amp;L&amp;F [&amp;A]&amp;R&amp;P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E20FF-C742-435E-9824-AD8ECDA1FA79}">
  <dimension ref="A1:R133"/>
  <sheetViews>
    <sheetView zoomScaleNormal="100" workbookViewId="0"/>
  </sheetViews>
  <sheetFormatPr defaultRowHeight="15.6" x14ac:dyDescent="0.3"/>
  <cols>
    <col min="1" max="1" width="8.88671875" style="2" customWidth="1"/>
    <col min="2" max="8" width="11.77734375" style="2" customWidth="1"/>
    <col min="9" max="9" width="11.44140625" style="2" customWidth="1"/>
    <col min="10" max="16384" width="8.88671875" style="2"/>
  </cols>
  <sheetData>
    <row r="1" spans="1:12" ht="17.399999999999999" x14ac:dyDescent="0.3">
      <c r="A1" s="3" t="s">
        <v>95</v>
      </c>
      <c r="B1" s="5"/>
      <c r="C1" s="23" t="s">
        <v>96</v>
      </c>
      <c r="D1" s="5"/>
      <c r="E1" s="5"/>
      <c r="F1" s="5"/>
      <c r="G1" s="5"/>
      <c r="H1" s="5"/>
      <c r="I1" s="5"/>
      <c r="J1" s="5"/>
      <c r="K1" s="5"/>
      <c r="L1" s="4"/>
    </row>
    <row r="2" spans="1:12" x14ac:dyDescent="0.3">
      <c r="A2" s="5"/>
      <c r="B2" s="5"/>
      <c r="C2" s="5"/>
      <c r="D2" s="5"/>
      <c r="E2" s="5"/>
      <c r="F2" s="5"/>
      <c r="G2" s="5"/>
      <c r="H2" s="5"/>
      <c r="I2" s="5"/>
      <c r="J2" s="5"/>
      <c r="K2" s="5"/>
      <c r="L2" s="4"/>
    </row>
    <row r="3" spans="1:12" x14ac:dyDescent="0.3">
      <c r="A3" s="5" t="s">
        <v>4</v>
      </c>
      <c r="B3" s="5"/>
      <c r="C3" s="5"/>
      <c r="D3" s="5"/>
      <c r="E3" s="5"/>
      <c r="F3" s="5"/>
      <c r="G3" s="5"/>
      <c r="H3" s="5"/>
      <c r="I3" s="5"/>
      <c r="J3" s="5"/>
      <c r="K3" s="5"/>
      <c r="L3" s="4"/>
    </row>
    <row r="4" spans="1:12" x14ac:dyDescent="0.3">
      <c r="A4" s="23"/>
      <c r="B4" s="23"/>
      <c r="C4" s="23"/>
      <c r="D4" s="23"/>
      <c r="E4" s="23"/>
      <c r="F4" s="23"/>
      <c r="G4" s="23"/>
      <c r="H4" s="23"/>
      <c r="I4" s="23"/>
      <c r="J4" s="23"/>
      <c r="K4" s="23"/>
      <c r="L4" s="23"/>
    </row>
    <row r="5" spans="1:12" x14ac:dyDescent="0.3">
      <c r="A5" s="23"/>
      <c r="B5" s="57" t="s">
        <v>5</v>
      </c>
      <c r="C5" s="368" t="s">
        <v>97</v>
      </c>
      <c r="D5" s="369"/>
      <c r="E5" s="369"/>
      <c r="F5" s="369"/>
      <c r="G5" s="369"/>
      <c r="H5" s="369"/>
      <c r="I5" s="23"/>
      <c r="J5" s="23"/>
      <c r="K5" s="23"/>
      <c r="L5" s="23"/>
    </row>
    <row r="6" spans="1:12" x14ac:dyDescent="0.3">
      <c r="A6" s="23"/>
      <c r="B6" s="58" t="s">
        <v>7</v>
      </c>
      <c r="C6" s="59">
        <v>12</v>
      </c>
      <c r="D6" s="60">
        <v>24</v>
      </c>
      <c r="E6" s="60">
        <v>36</v>
      </c>
      <c r="F6" s="60">
        <v>48</v>
      </c>
      <c r="G6" s="60">
        <v>60</v>
      </c>
      <c r="H6" s="60">
        <v>72</v>
      </c>
      <c r="I6" s="23"/>
      <c r="J6" s="23"/>
      <c r="K6" s="23"/>
      <c r="L6" s="23"/>
    </row>
    <row r="7" spans="1:12" x14ac:dyDescent="0.3">
      <c r="A7" s="23"/>
      <c r="B7" s="61">
        <v>2014</v>
      </c>
      <c r="C7" s="54">
        <v>375550</v>
      </c>
      <c r="D7" s="54">
        <v>784660</v>
      </c>
      <c r="E7" s="54">
        <v>1201110</v>
      </c>
      <c r="F7" s="54">
        <v>1448160</v>
      </c>
      <c r="G7" s="54">
        <v>1779630</v>
      </c>
      <c r="H7" s="54">
        <v>2052790</v>
      </c>
      <c r="I7" s="23"/>
      <c r="J7" s="23"/>
      <c r="K7" s="23"/>
      <c r="L7" s="23"/>
    </row>
    <row r="8" spans="1:12" x14ac:dyDescent="0.3">
      <c r="A8" s="23"/>
      <c r="B8" s="53">
        <v>2015</v>
      </c>
      <c r="C8" s="54">
        <v>364560</v>
      </c>
      <c r="D8" s="54">
        <v>783060</v>
      </c>
      <c r="E8" s="54">
        <v>1208490</v>
      </c>
      <c r="F8" s="54">
        <v>1461210</v>
      </c>
      <c r="G8" s="54">
        <v>1786040</v>
      </c>
      <c r="H8" s="53"/>
      <c r="I8" s="23"/>
      <c r="J8" s="23"/>
      <c r="K8" s="23"/>
      <c r="L8" s="23"/>
    </row>
    <row r="9" spans="1:12" x14ac:dyDescent="0.3">
      <c r="A9" s="23"/>
      <c r="B9" s="53">
        <v>2016</v>
      </c>
      <c r="C9" s="54">
        <v>322630</v>
      </c>
      <c r="D9" s="54">
        <v>685250</v>
      </c>
      <c r="E9" s="54">
        <v>1041620</v>
      </c>
      <c r="F9" s="54">
        <v>1268040</v>
      </c>
      <c r="G9" s="53"/>
      <c r="H9" s="53"/>
      <c r="I9" s="23"/>
      <c r="J9" s="23"/>
      <c r="K9" s="23"/>
      <c r="L9" s="23"/>
    </row>
    <row r="10" spans="1:12" x14ac:dyDescent="0.3">
      <c r="A10" s="23"/>
      <c r="B10" s="53">
        <v>2017</v>
      </c>
      <c r="C10" s="54">
        <v>321440</v>
      </c>
      <c r="D10" s="54">
        <v>697160</v>
      </c>
      <c r="E10" s="54">
        <v>1032020</v>
      </c>
      <c r="F10" s="53"/>
      <c r="G10" s="53"/>
      <c r="H10" s="53"/>
      <c r="I10" s="23"/>
      <c r="J10" s="23"/>
      <c r="K10" s="23"/>
      <c r="L10" s="23"/>
    </row>
    <row r="11" spans="1:12" x14ac:dyDescent="0.3">
      <c r="A11" s="23"/>
      <c r="B11" s="53">
        <v>2018</v>
      </c>
      <c r="C11" s="54">
        <v>264920</v>
      </c>
      <c r="D11" s="54">
        <v>586100</v>
      </c>
      <c r="E11" s="53"/>
      <c r="F11" s="53"/>
      <c r="G11" s="53"/>
      <c r="H11" s="53"/>
      <c r="I11" s="23"/>
      <c r="J11" s="23"/>
      <c r="K11" s="23"/>
      <c r="L11" s="23"/>
    </row>
    <row r="12" spans="1:12" x14ac:dyDescent="0.3">
      <c r="A12" s="23"/>
      <c r="B12" s="53">
        <v>2019</v>
      </c>
      <c r="C12" s="54">
        <v>345800</v>
      </c>
      <c r="D12" s="53"/>
      <c r="E12" s="53"/>
      <c r="F12" s="53"/>
      <c r="G12" s="53"/>
      <c r="H12" s="53"/>
      <c r="I12" s="23"/>
      <c r="J12" s="23"/>
      <c r="K12" s="23"/>
      <c r="L12" s="23"/>
    </row>
    <row r="13" spans="1:12" x14ac:dyDescent="0.3">
      <c r="A13" s="23"/>
      <c r="B13" s="23"/>
      <c r="C13" s="23"/>
      <c r="D13" s="23"/>
      <c r="E13" s="23"/>
      <c r="F13" s="23"/>
      <c r="G13" s="23"/>
      <c r="H13" s="23"/>
      <c r="I13" s="23"/>
      <c r="J13" s="23"/>
      <c r="K13" s="23"/>
      <c r="L13" s="23"/>
    </row>
    <row r="14" spans="1:12" x14ac:dyDescent="0.3">
      <c r="A14" s="23"/>
      <c r="B14" s="57" t="s">
        <v>5</v>
      </c>
      <c r="C14" s="369" t="s">
        <v>98</v>
      </c>
      <c r="D14" s="369"/>
      <c r="E14" s="369"/>
      <c r="F14" s="369"/>
      <c r="G14" s="369"/>
      <c r="H14" s="369"/>
      <c r="I14" s="23"/>
      <c r="J14" s="23"/>
      <c r="K14" s="23"/>
      <c r="L14" s="23"/>
    </row>
    <row r="15" spans="1:12" x14ac:dyDescent="0.3">
      <c r="A15" s="23"/>
      <c r="B15" s="58" t="s">
        <v>7</v>
      </c>
      <c r="C15" s="60">
        <v>12</v>
      </c>
      <c r="D15" s="60">
        <v>24</v>
      </c>
      <c r="E15" s="60">
        <v>36</v>
      </c>
      <c r="F15" s="60">
        <v>48</v>
      </c>
      <c r="G15" s="60">
        <v>60</v>
      </c>
      <c r="H15" s="60">
        <v>72</v>
      </c>
      <c r="I15" s="23"/>
      <c r="J15" s="23"/>
      <c r="K15" s="23"/>
      <c r="L15" s="23"/>
    </row>
    <row r="16" spans="1:12" x14ac:dyDescent="0.3">
      <c r="A16" s="23"/>
      <c r="B16" s="53">
        <v>2014</v>
      </c>
      <c r="C16" s="53">
        <v>583</v>
      </c>
      <c r="D16" s="53">
        <v>713</v>
      </c>
      <c r="E16" s="53">
        <v>754</v>
      </c>
      <c r="F16" s="53">
        <v>772</v>
      </c>
      <c r="G16" s="53">
        <v>792</v>
      </c>
      <c r="H16" s="53">
        <v>813</v>
      </c>
      <c r="I16" s="23"/>
      <c r="J16" s="23"/>
      <c r="K16" s="23"/>
      <c r="L16" s="23"/>
    </row>
    <row r="17" spans="1:18" x14ac:dyDescent="0.3">
      <c r="A17" s="23"/>
      <c r="B17" s="53">
        <v>2015</v>
      </c>
      <c r="C17" s="53">
        <v>539</v>
      </c>
      <c r="D17" s="53">
        <v>665</v>
      </c>
      <c r="E17" s="53">
        <v>709</v>
      </c>
      <c r="F17" s="53">
        <v>728</v>
      </c>
      <c r="G17" s="53">
        <v>757</v>
      </c>
      <c r="H17" s="53"/>
      <c r="I17" s="23"/>
      <c r="J17" s="23"/>
      <c r="K17" s="23"/>
      <c r="L17" s="23"/>
    </row>
    <row r="18" spans="1:18" x14ac:dyDescent="0.3">
      <c r="A18" s="23"/>
      <c r="B18" s="53">
        <v>2016</v>
      </c>
      <c r="C18" s="53">
        <v>450</v>
      </c>
      <c r="D18" s="53">
        <v>549</v>
      </c>
      <c r="E18" s="53">
        <v>582</v>
      </c>
      <c r="F18" s="53">
        <v>596</v>
      </c>
      <c r="G18" s="53"/>
      <c r="H18" s="53"/>
      <c r="I18" s="23"/>
      <c r="J18" s="23"/>
      <c r="K18" s="23"/>
      <c r="L18" s="23"/>
    </row>
    <row r="19" spans="1:18" x14ac:dyDescent="0.3">
      <c r="A19" s="23"/>
      <c r="B19" s="53">
        <v>2017</v>
      </c>
      <c r="C19" s="53">
        <v>427</v>
      </c>
      <c r="D19" s="53">
        <v>522</v>
      </c>
      <c r="E19" s="53">
        <v>544</v>
      </c>
      <c r="F19" s="53"/>
      <c r="G19" s="53"/>
      <c r="H19" s="53"/>
      <c r="I19" s="23"/>
      <c r="J19" s="23"/>
      <c r="K19" s="23"/>
      <c r="L19" s="23"/>
    </row>
    <row r="20" spans="1:18" x14ac:dyDescent="0.3">
      <c r="A20" s="23"/>
      <c r="B20" s="53">
        <v>2018</v>
      </c>
      <c r="C20" s="53">
        <v>332</v>
      </c>
      <c r="D20" s="53">
        <v>414</v>
      </c>
      <c r="E20" s="53"/>
      <c r="F20" s="53"/>
      <c r="G20" s="53"/>
      <c r="H20" s="53"/>
      <c r="I20" s="23"/>
      <c r="J20" s="23"/>
      <c r="K20" s="23"/>
      <c r="L20" s="23"/>
    </row>
    <row r="21" spans="1:18" x14ac:dyDescent="0.3">
      <c r="A21" s="23"/>
      <c r="B21" s="53">
        <v>2019</v>
      </c>
      <c r="C21" s="53">
        <v>405</v>
      </c>
      <c r="D21" s="53"/>
      <c r="E21" s="53"/>
      <c r="F21" s="53"/>
      <c r="G21" s="53"/>
      <c r="H21" s="53"/>
      <c r="I21" s="23"/>
      <c r="J21" s="23"/>
      <c r="K21" s="23"/>
      <c r="L21" s="23"/>
    </row>
    <row r="22" spans="1:18" x14ac:dyDescent="0.3">
      <c r="A22" s="23"/>
      <c r="B22" s="23"/>
      <c r="C22" s="23"/>
      <c r="D22" s="23"/>
      <c r="E22" s="23"/>
      <c r="F22" s="23"/>
      <c r="G22" s="23"/>
      <c r="H22" s="23"/>
      <c r="I22" s="23"/>
      <c r="J22" s="23"/>
      <c r="K22" s="23"/>
      <c r="L22" s="23"/>
    </row>
    <row r="24" spans="1:18" x14ac:dyDescent="0.3">
      <c r="A24" s="7" t="s">
        <v>14</v>
      </c>
      <c r="B24" s="5" t="s">
        <v>99</v>
      </c>
      <c r="C24" s="5"/>
      <c r="D24" s="5"/>
      <c r="E24" s="5"/>
      <c r="F24" s="5"/>
      <c r="G24" s="5"/>
      <c r="H24" s="5"/>
      <c r="I24" s="5"/>
      <c r="J24" s="5"/>
      <c r="K24" s="5"/>
      <c r="L24" s="5"/>
      <c r="M24" s="12"/>
      <c r="N24" s="12"/>
      <c r="O24" s="12"/>
      <c r="P24" s="12"/>
      <c r="Q24" s="12"/>
      <c r="R24" s="12"/>
    </row>
    <row r="25" spans="1:18" x14ac:dyDescent="0.3">
      <c r="A25" s="4"/>
      <c r="B25" s="4"/>
      <c r="C25" s="4"/>
      <c r="D25" s="4"/>
      <c r="E25" s="4"/>
      <c r="F25" s="4"/>
      <c r="G25" s="5"/>
      <c r="H25" s="5"/>
      <c r="I25" s="5"/>
      <c r="J25" s="5"/>
      <c r="K25" s="5"/>
      <c r="L25" s="5"/>
    </row>
    <row r="26" spans="1:18" x14ac:dyDescent="0.3">
      <c r="A26" s="10"/>
      <c r="B26" s="10"/>
      <c r="C26" s="10"/>
      <c r="D26" s="10"/>
      <c r="E26" s="10"/>
      <c r="F26" s="10"/>
      <c r="G26" s="10"/>
      <c r="H26" s="10"/>
      <c r="I26" s="10"/>
      <c r="J26" s="10"/>
      <c r="K26" s="10"/>
      <c r="L26" s="10"/>
      <c r="M26" s="10"/>
    </row>
    <row r="27" spans="1:18" x14ac:dyDescent="0.3">
      <c r="A27" s="10" t="s">
        <v>10</v>
      </c>
      <c r="B27" s="10"/>
      <c r="C27" s="10"/>
      <c r="D27" s="10"/>
      <c r="E27" s="10"/>
      <c r="F27" s="10"/>
      <c r="G27" s="10"/>
      <c r="H27" s="10"/>
      <c r="I27" s="10"/>
      <c r="J27" s="10"/>
      <c r="K27" s="10"/>
      <c r="L27" s="10"/>
      <c r="M27" s="10"/>
      <c r="N27" s="12"/>
    </row>
    <row r="28" spans="1:18" x14ac:dyDescent="0.3">
      <c r="A28" s="10"/>
      <c r="B28" s="138" t="s">
        <v>5</v>
      </c>
      <c r="C28" s="363" t="s">
        <v>370</v>
      </c>
      <c r="D28" s="364"/>
      <c r="E28" s="364"/>
      <c r="F28" s="364"/>
      <c r="G28" s="364"/>
      <c r="H28" s="364"/>
      <c r="I28" s="103"/>
      <c r="J28" s="103"/>
      <c r="K28" s="10"/>
      <c r="L28" s="10"/>
      <c r="M28" s="10"/>
      <c r="N28" s="12"/>
    </row>
    <row r="29" spans="1:18" x14ac:dyDescent="0.3">
      <c r="A29" s="10"/>
      <c r="B29" s="130" t="s">
        <v>7</v>
      </c>
      <c r="C29" s="256">
        <v>12</v>
      </c>
      <c r="D29" s="133">
        <f>C29+12</f>
        <v>24</v>
      </c>
      <c r="E29" s="133">
        <f t="shared" ref="E29:G29" si="0">D29+12</f>
        <v>36</v>
      </c>
      <c r="F29" s="133">
        <f t="shared" si="0"/>
        <v>48</v>
      </c>
      <c r="G29" s="133">
        <f t="shared" si="0"/>
        <v>60</v>
      </c>
      <c r="H29" s="133">
        <f>G29+12</f>
        <v>72</v>
      </c>
      <c r="I29" s="103"/>
      <c r="J29" s="103"/>
      <c r="K29" s="10"/>
      <c r="L29" s="10"/>
      <c r="M29" s="10"/>
      <c r="N29" s="12"/>
    </row>
    <row r="30" spans="1:18" x14ac:dyDescent="0.3">
      <c r="A30" s="10"/>
      <c r="B30" s="130">
        <v>2014</v>
      </c>
      <c r="C30" s="175">
        <f t="shared" ref="C30:H30" si="1">C7/C16</f>
        <v>644.16809605488845</v>
      </c>
      <c r="D30" s="175">
        <f t="shared" si="1"/>
        <v>1100.5049088359046</v>
      </c>
      <c r="E30" s="175">
        <f t="shared" si="1"/>
        <v>1592.9840848806366</v>
      </c>
      <c r="F30" s="175">
        <f t="shared" si="1"/>
        <v>1875.8549222797928</v>
      </c>
      <c r="G30" s="175">
        <f t="shared" si="1"/>
        <v>2247.007575757576</v>
      </c>
      <c r="H30" s="175">
        <f t="shared" si="1"/>
        <v>2524.9569495694959</v>
      </c>
      <c r="I30" s="103"/>
      <c r="J30" s="103"/>
      <c r="K30" s="10"/>
      <c r="L30" s="10"/>
      <c r="M30" s="10"/>
      <c r="N30" s="12"/>
    </row>
    <row r="31" spans="1:18" x14ac:dyDescent="0.3">
      <c r="A31" s="10"/>
      <c r="B31" s="133">
        <f>B30+1</f>
        <v>2015</v>
      </c>
      <c r="C31" s="175">
        <f>C8/C17</f>
        <v>676.36363636363637</v>
      </c>
      <c r="D31" s="175">
        <f>D8/D17</f>
        <v>1177.5338345864661</v>
      </c>
      <c r="E31" s="175">
        <f>E8/E17</f>
        <v>1704.4992947813823</v>
      </c>
      <c r="F31" s="175">
        <f>F8/F17</f>
        <v>2007.1565934065934</v>
      </c>
      <c r="G31" s="175">
        <f>G8/G17</f>
        <v>2359.3659180977543</v>
      </c>
      <c r="H31" s="175"/>
      <c r="I31" s="103"/>
      <c r="J31" s="103"/>
      <c r="K31" s="10"/>
      <c r="L31" s="10"/>
      <c r="M31" s="10"/>
      <c r="N31" s="12"/>
    </row>
    <row r="32" spans="1:18" x14ac:dyDescent="0.3">
      <c r="A32" s="10"/>
      <c r="B32" s="133">
        <f t="shared" ref="B32:B35" si="2">B31+1</f>
        <v>2016</v>
      </c>
      <c r="C32" s="175">
        <f>C9/C18</f>
        <v>716.95555555555552</v>
      </c>
      <c r="D32" s="175">
        <f>D9/D18</f>
        <v>1248.1785063752277</v>
      </c>
      <c r="E32" s="175">
        <f>E9/E18</f>
        <v>1789.725085910653</v>
      </c>
      <c r="F32" s="175">
        <f>F9/F18</f>
        <v>2127.5838926174497</v>
      </c>
      <c r="G32" s="175"/>
      <c r="H32" s="175"/>
      <c r="I32" s="103"/>
      <c r="J32" s="103"/>
      <c r="K32" s="10"/>
      <c r="L32" s="10"/>
      <c r="M32" s="10"/>
      <c r="N32" s="12"/>
    </row>
    <row r="33" spans="1:14" x14ac:dyDescent="0.3">
      <c r="A33" s="10"/>
      <c r="B33" s="133">
        <f t="shared" si="2"/>
        <v>2017</v>
      </c>
      <c r="C33" s="175">
        <f>C10/C19</f>
        <v>752.78688524590166</v>
      </c>
      <c r="D33" s="175">
        <f>D10/D19</f>
        <v>1335.5555555555557</v>
      </c>
      <c r="E33" s="175">
        <f>E10/E19</f>
        <v>1897.0955882352941</v>
      </c>
      <c r="F33" s="175"/>
      <c r="G33" s="175"/>
      <c r="H33" s="175"/>
      <c r="I33" s="103"/>
      <c r="J33" s="103"/>
      <c r="K33" s="10"/>
      <c r="L33" s="10"/>
      <c r="M33" s="10"/>
      <c r="N33" s="12"/>
    </row>
    <row r="34" spans="1:14" x14ac:dyDescent="0.3">
      <c r="A34" s="10"/>
      <c r="B34" s="133">
        <f t="shared" si="2"/>
        <v>2018</v>
      </c>
      <c r="C34" s="175">
        <f>C11/C20</f>
        <v>797.95180722891564</v>
      </c>
      <c r="D34" s="175">
        <f>D11/D20</f>
        <v>1415.7004830917874</v>
      </c>
      <c r="E34" s="175"/>
      <c r="F34" s="175"/>
      <c r="G34" s="175"/>
      <c r="H34" s="175"/>
      <c r="I34" s="103"/>
      <c r="J34" s="103"/>
      <c r="K34" s="10"/>
      <c r="L34" s="10"/>
      <c r="M34" s="10"/>
      <c r="N34" s="12"/>
    </row>
    <row r="35" spans="1:14" x14ac:dyDescent="0.3">
      <c r="A35" s="10"/>
      <c r="B35" s="133">
        <f t="shared" si="2"/>
        <v>2019</v>
      </c>
      <c r="C35" s="175">
        <f>C12/C21</f>
        <v>853.82716049382714</v>
      </c>
      <c r="D35" s="175"/>
      <c r="E35" s="175"/>
      <c r="F35" s="175"/>
      <c r="G35" s="175"/>
      <c r="H35" s="175"/>
      <c r="I35" s="103"/>
      <c r="J35" s="103"/>
      <c r="K35" s="10"/>
      <c r="L35" s="10"/>
      <c r="M35" s="10"/>
      <c r="N35" s="12"/>
    </row>
    <row r="36" spans="1:14" x14ac:dyDescent="0.3">
      <c r="A36" s="10"/>
      <c r="B36" s="98"/>
      <c r="C36" s="101"/>
      <c r="D36" s="101"/>
      <c r="E36" s="101"/>
      <c r="F36" s="101"/>
      <c r="G36" s="101"/>
      <c r="H36" s="101"/>
      <c r="I36" s="103"/>
      <c r="J36" s="103"/>
      <c r="K36" s="10"/>
      <c r="L36" s="10"/>
      <c r="M36" s="10"/>
      <c r="N36" s="12"/>
    </row>
    <row r="37" spans="1:14" x14ac:dyDescent="0.3">
      <c r="A37" s="10"/>
      <c r="B37" s="138" t="s">
        <v>5</v>
      </c>
      <c r="C37" s="363" t="s">
        <v>371</v>
      </c>
      <c r="D37" s="364"/>
      <c r="E37" s="364"/>
      <c r="F37" s="364"/>
      <c r="G37" s="364"/>
      <c r="H37" s="364"/>
      <c r="I37" s="103"/>
      <c r="J37" s="103"/>
      <c r="K37" s="10"/>
      <c r="L37" s="10"/>
      <c r="M37" s="10"/>
      <c r="N37" s="12"/>
    </row>
    <row r="38" spans="1:14" x14ac:dyDescent="0.3">
      <c r="A38" s="10"/>
      <c r="B38" s="130" t="s">
        <v>7</v>
      </c>
      <c r="C38" s="256">
        <v>12</v>
      </c>
      <c r="D38" s="133">
        <f>C38+12</f>
        <v>24</v>
      </c>
      <c r="E38" s="133">
        <f t="shared" ref="E38:G38" si="3">D38+12</f>
        <v>36</v>
      </c>
      <c r="F38" s="133">
        <f t="shared" si="3"/>
        <v>48</v>
      </c>
      <c r="G38" s="133">
        <f t="shared" si="3"/>
        <v>60</v>
      </c>
      <c r="H38" s="133">
        <f>G38+12</f>
        <v>72</v>
      </c>
      <c r="I38" s="103"/>
      <c r="J38" s="103"/>
      <c r="K38" s="10"/>
      <c r="L38" s="10"/>
      <c r="M38" s="10"/>
      <c r="N38" s="12"/>
    </row>
    <row r="39" spans="1:14" x14ac:dyDescent="0.3">
      <c r="A39" s="10"/>
      <c r="B39" s="130">
        <v>2014</v>
      </c>
      <c r="C39" s="176">
        <f>D30/C30</f>
        <v>1.7084126264181401</v>
      </c>
      <c r="D39" s="176">
        <f t="shared" ref="D39:F39" si="4">E30/D30</f>
        <v>1.4475029344173194</v>
      </c>
      <c r="E39" s="176">
        <f t="shared" si="4"/>
        <v>1.1775729212136805</v>
      </c>
      <c r="F39" s="176">
        <f t="shared" si="4"/>
        <v>1.1978578668688877</v>
      </c>
      <c r="G39" s="176">
        <f>H30/G30</f>
        <v>1.123697568628895</v>
      </c>
      <c r="H39" s="176"/>
      <c r="I39" s="103"/>
      <c r="J39" s="103"/>
      <c r="K39" s="10"/>
      <c r="L39" s="10"/>
      <c r="M39" s="10"/>
      <c r="N39" s="12"/>
    </row>
    <row r="40" spans="1:14" x14ac:dyDescent="0.3">
      <c r="A40" s="10"/>
      <c r="B40" s="133">
        <f>B39+1</f>
        <v>2015</v>
      </c>
      <c r="C40" s="176">
        <f t="shared" ref="C40:F43" si="5">D31/C31</f>
        <v>1.7409774436090224</v>
      </c>
      <c r="D40" s="176">
        <f t="shared" si="5"/>
        <v>1.4475161941991921</v>
      </c>
      <c r="E40" s="176">
        <f t="shared" si="5"/>
        <v>1.1775637570234545</v>
      </c>
      <c r="F40" s="176">
        <f t="shared" si="5"/>
        <v>1.1754767544536138</v>
      </c>
      <c r="G40" s="176"/>
      <c r="H40" s="176"/>
      <c r="I40" s="103"/>
      <c r="J40" s="103"/>
      <c r="K40" s="10"/>
      <c r="L40" s="10"/>
      <c r="M40" s="10"/>
      <c r="N40" s="12"/>
    </row>
    <row r="41" spans="1:14" x14ac:dyDescent="0.3">
      <c r="A41" s="10"/>
      <c r="B41" s="133">
        <f t="shared" ref="B41:B43" si="6">B40+1</f>
        <v>2016</v>
      </c>
      <c r="C41" s="176">
        <f t="shared" si="5"/>
        <v>1.740942652167661</v>
      </c>
      <c r="D41" s="176">
        <f t="shared" si="5"/>
        <v>1.4338694960451637</v>
      </c>
      <c r="E41" s="176">
        <f t="shared" si="5"/>
        <v>1.1887769296896715</v>
      </c>
      <c r="F41" s="176"/>
      <c r="G41" s="176"/>
      <c r="H41" s="176"/>
      <c r="I41" s="103"/>
      <c r="J41" s="103"/>
      <c r="K41" s="10"/>
      <c r="L41" s="10"/>
      <c r="M41" s="10"/>
      <c r="N41" s="12"/>
    </row>
    <row r="42" spans="1:14" x14ac:dyDescent="0.3">
      <c r="A42" s="10"/>
      <c r="B42" s="133">
        <f t="shared" si="6"/>
        <v>2017</v>
      </c>
      <c r="C42" s="176">
        <f t="shared" si="5"/>
        <v>1.7741482771970578</v>
      </c>
      <c r="D42" s="176">
        <f t="shared" si="5"/>
        <v>1.4204542673974747</v>
      </c>
      <c r="E42" s="176"/>
      <c r="F42" s="176"/>
      <c r="G42" s="176"/>
      <c r="H42" s="176"/>
      <c r="I42" s="103"/>
      <c r="J42" s="103"/>
      <c r="K42" s="10"/>
      <c r="L42" s="10"/>
      <c r="M42" s="10"/>
      <c r="N42" s="12"/>
    </row>
    <row r="43" spans="1:14" x14ac:dyDescent="0.3">
      <c r="A43" s="10"/>
      <c r="B43" s="133">
        <f t="shared" si="6"/>
        <v>2018</v>
      </c>
      <c r="C43" s="176">
        <f t="shared" si="5"/>
        <v>1.7741679012021494</v>
      </c>
      <c r="D43" s="176"/>
      <c r="E43" s="176"/>
      <c r="F43" s="176"/>
      <c r="G43" s="176"/>
      <c r="H43" s="176"/>
      <c r="I43" s="103"/>
      <c r="J43" s="103"/>
      <c r="K43" s="10"/>
      <c r="L43" s="10"/>
      <c r="M43" s="10"/>
      <c r="N43" s="12"/>
    </row>
    <row r="44" spans="1:14" x14ac:dyDescent="0.3">
      <c r="A44" s="10"/>
      <c r="B44" s="98" t="s">
        <v>372</v>
      </c>
      <c r="C44" s="98"/>
      <c r="D44" s="98"/>
      <c r="E44" s="98"/>
      <c r="F44" s="98"/>
      <c r="G44" s="98"/>
      <c r="H44" s="98"/>
      <c r="I44" s="103"/>
      <c r="J44" s="103"/>
      <c r="K44" s="10"/>
      <c r="L44" s="10"/>
      <c r="M44" s="10"/>
      <c r="N44" s="12"/>
    </row>
    <row r="45" spans="1:14" x14ac:dyDescent="0.3">
      <c r="A45" s="10"/>
      <c r="B45" s="177" t="s">
        <v>373</v>
      </c>
      <c r="C45" s="177">
        <f>IF(COUNT(C39:C43)=0,1,AVERAGE(C39:C43))</f>
        <v>1.7477297801188061</v>
      </c>
      <c r="D45" s="177">
        <f t="shared" ref="D45:G45" si="7">IF(COUNT(D39:D43)=0,1,AVERAGE(D39:D43))</f>
        <v>1.4373357230147876</v>
      </c>
      <c r="E45" s="177">
        <f t="shared" si="7"/>
        <v>1.1813045359756023</v>
      </c>
      <c r="F45" s="177">
        <f t="shared" si="7"/>
        <v>1.1866673106612509</v>
      </c>
      <c r="G45" s="177">
        <f t="shared" si="7"/>
        <v>1.123697568628895</v>
      </c>
      <c r="H45" s="177">
        <v>1</v>
      </c>
      <c r="I45" s="103"/>
      <c r="J45" s="103"/>
      <c r="K45" s="10"/>
      <c r="L45" s="10"/>
      <c r="M45" s="10"/>
      <c r="N45" s="12"/>
    </row>
    <row r="46" spans="1:14" hidden="1" x14ac:dyDescent="0.3">
      <c r="A46" s="10"/>
      <c r="B46" s="177" t="s">
        <v>374</v>
      </c>
      <c r="C46" s="177">
        <f>SUM(D30:D34)/SUM(C30:C34)</f>
        <v>1.7494643098424951</v>
      </c>
      <c r="D46" s="177">
        <f>SUM(E30:E33)/SUM(D30:D33)</f>
        <v>1.4365755730333092</v>
      </c>
      <c r="E46" s="177">
        <f>SUM(F30:F32)/SUM(E30:E32)</f>
        <v>1.1815115203121949</v>
      </c>
      <c r="F46" s="177">
        <f>SUM(G30:G31)/SUM(F30:F31)</f>
        <v>1.1862889088138791</v>
      </c>
      <c r="G46" s="177">
        <f>G45</f>
        <v>1.123697568628895</v>
      </c>
      <c r="H46" s="177">
        <v>1</v>
      </c>
      <c r="I46" s="103"/>
      <c r="J46" s="103"/>
      <c r="K46" s="10"/>
      <c r="L46" s="10"/>
      <c r="M46" s="10"/>
      <c r="N46" s="12"/>
    </row>
    <row r="47" spans="1:14" x14ac:dyDescent="0.3">
      <c r="A47" s="10"/>
      <c r="B47" s="137" t="s">
        <v>375</v>
      </c>
      <c r="C47" s="176">
        <f>C45</f>
        <v>1.7477297801188061</v>
      </c>
      <c r="D47" s="176">
        <f t="shared" ref="D47:G47" si="8">D45</f>
        <v>1.4373357230147876</v>
      </c>
      <c r="E47" s="176">
        <f t="shared" si="8"/>
        <v>1.1813045359756023</v>
      </c>
      <c r="F47" s="176">
        <f t="shared" si="8"/>
        <v>1.1866673106612509</v>
      </c>
      <c r="G47" s="176">
        <f t="shared" si="8"/>
        <v>1.123697568628895</v>
      </c>
      <c r="H47" s="176">
        <f>H46</f>
        <v>1</v>
      </c>
      <c r="I47" s="103"/>
      <c r="J47" s="103"/>
      <c r="K47" s="10"/>
      <c r="L47" s="10"/>
      <c r="M47" s="10"/>
      <c r="N47" s="12"/>
    </row>
    <row r="48" spans="1:14" x14ac:dyDescent="0.3">
      <c r="B48" s="137" t="s">
        <v>376</v>
      </c>
      <c r="C48" s="136">
        <f>D48*C47</f>
        <v>3.9570614773962136</v>
      </c>
      <c r="D48" s="136">
        <f>E48*D47</f>
        <v>2.2641151523590923</v>
      </c>
      <c r="E48" s="136">
        <f>F48*E47</f>
        <v>1.5752166429219114</v>
      </c>
      <c r="F48" s="136">
        <f>G48*F47</f>
        <v>1.3334551717614371</v>
      </c>
      <c r="G48" s="136">
        <f>H48*G47</f>
        <v>1.123697568628895</v>
      </c>
      <c r="H48" s="181">
        <v>1</v>
      </c>
      <c r="I48" s="98"/>
      <c r="J48" s="98"/>
      <c r="M48" s="12"/>
      <c r="N48" s="12"/>
    </row>
    <row r="49" spans="1:14" x14ac:dyDescent="0.3">
      <c r="B49" s="257"/>
      <c r="C49" s="255"/>
      <c r="D49" s="98"/>
      <c r="E49" s="98"/>
      <c r="F49" s="98"/>
      <c r="G49" s="98"/>
      <c r="H49" s="98"/>
      <c r="I49" s="98"/>
      <c r="J49" s="98"/>
      <c r="M49" s="12"/>
      <c r="N49" s="12"/>
    </row>
    <row r="50" spans="1:14" x14ac:dyDescent="0.3">
      <c r="B50" s="138" t="s">
        <v>5</v>
      </c>
      <c r="C50" s="138" t="s">
        <v>0</v>
      </c>
      <c r="D50" s="138" t="s">
        <v>376</v>
      </c>
      <c r="E50" s="138" t="s">
        <v>102</v>
      </c>
      <c r="F50" s="255"/>
      <c r="G50" s="255"/>
      <c r="H50" s="255"/>
      <c r="I50" s="98"/>
      <c r="J50" s="98"/>
      <c r="M50" s="12"/>
      <c r="N50" s="12"/>
    </row>
    <row r="51" spans="1:14" x14ac:dyDescent="0.3">
      <c r="B51" s="130" t="s">
        <v>7</v>
      </c>
      <c r="C51" s="130" t="s">
        <v>377</v>
      </c>
      <c r="D51" s="130" t="s">
        <v>378</v>
      </c>
      <c r="E51" s="130" t="s">
        <v>377</v>
      </c>
      <c r="F51" s="255"/>
      <c r="G51" s="255"/>
      <c r="H51" s="255"/>
      <c r="I51" s="98"/>
      <c r="J51" s="98"/>
      <c r="M51" s="12"/>
      <c r="N51" s="12"/>
    </row>
    <row r="52" spans="1:14" x14ac:dyDescent="0.3">
      <c r="B52" s="130">
        <v>2014</v>
      </c>
      <c r="C52" s="175">
        <f>H30</f>
        <v>2524.9569495694959</v>
      </c>
      <c r="D52" s="136">
        <f>H48</f>
        <v>1</v>
      </c>
      <c r="E52" s="175">
        <f>C52*D52</f>
        <v>2524.9569495694959</v>
      </c>
      <c r="F52" s="255"/>
      <c r="G52" s="178"/>
      <c r="H52" s="255"/>
      <c r="I52" s="98"/>
      <c r="J52" s="98"/>
      <c r="M52" s="12"/>
      <c r="N52" s="12"/>
    </row>
    <row r="53" spans="1:14" x14ac:dyDescent="0.3">
      <c r="B53" s="133">
        <f>B52+1</f>
        <v>2015</v>
      </c>
      <c r="C53" s="175">
        <f>G31</f>
        <v>2359.3659180977543</v>
      </c>
      <c r="D53" s="136">
        <f>G48</f>
        <v>1.123697568628895</v>
      </c>
      <c r="E53" s="175">
        <f t="shared" ref="E53:E57" si="9">C53*D53</f>
        <v>2651.2137456723271</v>
      </c>
      <c r="F53" s="255"/>
      <c r="G53" s="255"/>
      <c r="H53" s="255"/>
      <c r="I53" s="98"/>
      <c r="J53" s="98"/>
      <c r="M53" s="12"/>
      <c r="N53" s="12"/>
    </row>
    <row r="54" spans="1:14" x14ac:dyDescent="0.3">
      <c r="B54" s="133">
        <f t="shared" ref="B54:B57" si="10">B53+1</f>
        <v>2016</v>
      </c>
      <c r="C54" s="175">
        <f>F32</f>
        <v>2127.5838926174497</v>
      </c>
      <c r="D54" s="136">
        <f>F48</f>
        <v>1.3334551717614371</v>
      </c>
      <c r="E54" s="175">
        <f t="shared" si="9"/>
        <v>2837.0377449670682</v>
      </c>
      <c r="F54" s="255"/>
      <c r="G54" s="255"/>
      <c r="H54" s="255"/>
      <c r="I54" s="98"/>
      <c r="J54" s="98"/>
      <c r="M54" s="12"/>
      <c r="N54" s="12"/>
    </row>
    <row r="55" spans="1:14" x14ac:dyDescent="0.3">
      <c r="B55" s="133">
        <f t="shared" si="10"/>
        <v>2017</v>
      </c>
      <c r="C55" s="175">
        <f>E33</f>
        <v>1897.0955882352941</v>
      </c>
      <c r="D55" s="136">
        <f>E48</f>
        <v>1.5752166429219114</v>
      </c>
      <c r="E55" s="175">
        <f t="shared" si="9"/>
        <v>2988.3365438019687</v>
      </c>
      <c r="F55" s="100"/>
      <c r="G55" s="100"/>
      <c r="H55" s="100"/>
      <c r="I55" s="98"/>
      <c r="J55" s="98"/>
      <c r="M55" s="12"/>
      <c r="N55" s="12"/>
    </row>
    <row r="56" spans="1:14" x14ac:dyDescent="0.3">
      <c r="B56" s="133">
        <f t="shared" si="10"/>
        <v>2018</v>
      </c>
      <c r="C56" s="175">
        <f>D34</f>
        <v>1415.7004830917874</v>
      </c>
      <c r="D56" s="136">
        <f>D48</f>
        <v>2.2641151523590923</v>
      </c>
      <c r="E56" s="175">
        <f t="shared" si="9"/>
        <v>3205.3089149702027</v>
      </c>
      <c r="F56" s="100"/>
      <c r="G56" s="100"/>
      <c r="H56" s="100"/>
      <c r="I56" s="98"/>
      <c r="J56" s="98"/>
      <c r="M56" s="12"/>
      <c r="N56" s="12"/>
    </row>
    <row r="57" spans="1:14" x14ac:dyDescent="0.3">
      <c r="B57" s="133">
        <f t="shared" si="10"/>
        <v>2019</v>
      </c>
      <c r="C57" s="175">
        <f>C35</f>
        <v>853.82716049382714</v>
      </c>
      <c r="D57" s="136">
        <f>C48</f>
        <v>3.9570614773962136</v>
      </c>
      <c r="E57" s="175">
        <f t="shared" si="9"/>
        <v>3378.6465651447174</v>
      </c>
      <c r="F57" s="100"/>
      <c r="G57" s="100"/>
      <c r="H57" s="100"/>
      <c r="I57" s="98"/>
      <c r="J57" s="98"/>
      <c r="M57" s="12"/>
      <c r="N57" s="12"/>
    </row>
    <row r="58" spans="1:14" x14ac:dyDescent="0.3">
      <c r="B58" s="179"/>
      <c r="C58" s="180"/>
      <c r="D58" s="144"/>
      <c r="E58" s="180"/>
      <c r="F58" s="100"/>
      <c r="G58" s="100"/>
      <c r="H58" s="100"/>
      <c r="I58" s="98"/>
      <c r="J58" s="98"/>
      <c r="M58" s="12"/>
      <c r="N58" s="12"/>
    </row>
    <row r="59" spans="1:14" x14ac:dyDescent="0.3">
      <c r="A59" s="6" t="s">
        <v>33</v>
      </c>
      <c r="B59" s="4"/>
      <c r="C59" s="4"/>
      <c r="D59" s="4"/>
      <c r="E59" s="4"/>
      <c r="F59" s="4"/>
      <c r="G59" s="4"/>
      <c r="H59" s="4"/>
      <c r="I59" s="4"/>
      <c r="J59" s="4"/>
      <c r="K59" s="4"/>
      <c r="L59" s="4"/>
      <c r="M59" s="12"/>
      <c r="N59" s="12"/>
    </row>
    <row r="61" spans="1:14" x14ac:dyDescent="0.3">
      <c r="A61" s="7" t="s">
        <v>9</v>
      </c>
      <c r="B61" s="5" t="s">
        <v>100</v>
      </c>
      <c r="C61" s="5"/>
      <c r="D61" s="5"/>
      <c r="E61" s="5"/>
      <c r="F61" s="5"/>
      <c r="G61" s="5"/>
      <c r="H61" s="5"/>
      <c r="I61" s="5"/>
      <c r="J61" s="5"/>
      <c r="K61" s="5"/>
      <c r="L61" s="5"/>
    </row>
    <row r="62" spans="1:14" x14ac:dyDescent="0.3">
      <c r="A62" s="4"/>
      <c r="B62" s="4"/>
      <c r="C62" s="4"/>
      <c r="D62" s="4"/>
      <c r="E62" s="4"/>
      <c r="F62" s="4"/>
      <c r="G62" s="5"/>
      <c r="H62" s="5"/>
      <c r="I62" s="5"/>
      <c r="J62" s="5"/>
      <c r="K62" s="5"/>
      <c r="L62" s="5"/>
    </row>
    <row r="63" spans="1:14" x14ac:dyDescent="0.3">
      <c r="A63" s="10"/>
      <c r="B63" s="10"/>
      <c r="C63" s="10"/>
      <c r="D63" s="10"/>
      <c r="E63" s="10"/>
      <c r="F63" s="10"/>
      <c r="G63" s="10"/>
      <c r="H63" s="10"/>
      <c r="I63" s="10"/>
      <c r="J63" s="10"/>
      <c r="K63" s="10"/>
      <c r="L63" s="10"/>
    </row>
    <row r="64" spans="1:14" x14ac:dyDescent="0.3">
      <c r="A64" s="10" t="s">
        <v>10</v>
      </c>
      <c r="B64" s="10"/>
      <c r="C64" s="10"/>
      <c r="D64" s="10"/>
      <c r="E64" s="10"/>
      <c r="F64" s="10"/>
      <c r="G64" s="10"/>
      <c r="H64" s="10"/>
      <c r="I64" s="10"/>
      <c r="J64" s="10"/>
      <c r="K64" s="10"/>
      <c r="L64" s="10"/>
    </row>
    <row r="65" spans="1:13" x14ac:dyDescent="0.3">
      <c r="A65" s="10"/>
      <c r="B65" s="179" t="s">
        <v>5</v>
      </c>
      <c r="C65" s="179" t="s">
        <v>379</v>
      </c>
      <c r="D65" s="143"/>
      <c r="E65" s="129"/>
      <c r="F65" s="152"/>
      <c r="G65" s="10"/>
      <c r="H65" s="10"/>
      <c r="I65" s="10"/>
      <c r="J65" s="10"/>
      <c r="K65" s="10"/>
      <c r="L65" s="10"/>
    </row>
    <row r="66" spans="1:13" x14ac:dyDescent="0.3">
      <c r="A66" s="10"/>
      <c r="B66" s="109" t="s">
        <v>7</v>
      </c>
      <c r="C66" s="109" t="s">
        <v>380</v>
      </c>
      <c r="D66" s="143"/>
      <c r="E66" s="129"/>
      <c r="F66" s="152"/>
      <c r="G66" s="10"/>
      <c r="H66" s="10"/>
      <c r="I66" s="10"/>
      <c r="J66" s="10"/>
      <c r="K66" s="10"/>
      <c r="L66" s="10"/>
    </row>
    <row r="67" spans="1:13" x14ac:dyDescent="0.3">
      <c r="A67" s="10"/>
      <c r="B67" s="179">
        <v>2014</v>
      </c>
      <c r="C67" s="179"/>
      <c r="D67" s="143"/>
      <c r="E67" s="129"/>
      <c r="F67" s="152"/>
      <c r="G67" s="10"/>
      <c r="H67" s="10"/>
      <c r="I67" s="10"/>
      <c r="J67" s="10"/>
      <c r="K67" s="10"/>
      <c r="L67" s="10"/>
    </row>
    <row r="68" spans="1:13" x14ac:dyDescent="0.3">
      <c r="B68" s="179">
        <f>B67+1</f>
        <v>2015</v>
      </c>
      <c r="C68" s="184">
        <f>E53/E52-1</f>
        <v>5.000354407007146E-2</v>
      </c>
      <c r="D68" s="129"/>
      <c r="E68" s="143"/>
      <c r="F68" s="143"/>
      <c r="M68" s="10"/>
    </row>
    <row r="69" spans="1:13" x14ac:dyDescent="0.3">
      <c r="B69" s="179">
        <f t="shared" ref="B69:B72" si="11">B68+1</f>
        <v>2016</v>
      </c>
      <c r="C69" s="184">
        <f>E54/E53-1</f>
        <v>7.0090161382901917E-2</v>
      </c>
      <c r="D69" s="129"/>
      <c r="E69" s="143"/>
      <c r="F69" s="143"/>
      <c r="M69" s="10"/>
    </row>
    <row r="70" spans="1:13" x14ac:dyDescent="0.3">
      <c r="B70" s="179">
        <f t="shared" si="11"/>
        <v>2017</v>
      </c>
      <c r="C70" s="184">
        <f>E55/E54-1</f>
        <v>5.3329850511613985E-2</v>
      </c>
      <c r="D70" s="129"/>
      <c r="E70" s="143"/>
      <c r="F70" s="143"/>
      <c r="M70" s="10"/>
    </row>
    <row r="71" spans="1:13" x14ac:dyDescent="0.3">
      <c r="B71" s="179">
        <f t="shared" si="11"/>
        <v>2018</v>
      </c>
      <c r="C71" s="184">
        <f>E56/E55-1</f>
        <v>7.2606404261344348E-2</v>
      </c>
      <c r="D71" s="129"/>
      <c r="E71" s="143"/>
      <c r="F71" s="143"/>
    </row>
    <row r="72" spans="1:13" x14ac:dyDescent="0.3">
      <c r="B72" s="109">
        <f t="shared" si="11"/>
        <v>2019</v>
      </c>
      <c r="C72" s="185">
        <f>E57/E56-1</f>
        <v>5.4078297840483236E-2</v>
      </c>
      <c r="D72" s="129"/>
      <c r="E72" s="143"/>
      <c r="F72" s="143"/>
    </row>
    <row r="73" spans="1:13" x14ac:dyDescent="0.3">
      <c r="B73" s="153" t="s">
        <v>381</v>
      </c>
      <c r="C73" s="171">
        <f>AVERAGE(C68:C72)</f>
        <v>6.0021651613282989E-2</v>
      </c>
      <c r="D73" s="129"/>
      <c r="E73" s="128"/>
      <c r="F73" s="143"/>
    </row>
    <row r="74" spans="1:13" x14ac:dyDescent="0.3">
      <c r="B74" s="153"/>
      <c r="C74" s="184"/>
      <c r="D74" s="143"/>
      <c r="E74" s="129"/>
      <c r="F74" s="143"/>
    </row>
    <row r="75" spans="1:13" x14ac:dyDescent="0.3">
      <c r="B75" s="143" t="s">
        <v>382</v>
      </c>
      <c r="C75" s="143"/>
      <c r="D75" s="143"/>
      <c r="E75" s="169">
        <v>0.06</v>
      </c>
      <c r="F75" s="143"/>
    </row>
    <row r="76" spans="1:13" x14ac:dyDescent="0.3">
      <c r="B76" s="2" t="s">
        <v>387</v>
      </c>
      <c r="C76" s="143"/>
      <c r="D76" s="143"/>
      <c r="E76" s="169"/>
      <c r="F76" s="143"/>
    </row>
    <row r="77" spans="1:13" x14ac:dyDescent="0.3">
      <c r="B77" s="127"/>
      <c r="C77" s="127"/>
      <c r="D77" s="127"/>
      <c r="E77" s="127"/>
      <c r="F77" s="127"/>
    </row>
    <row r="78" spans="1:13" x14ac:dyDescent="0.3">
      <c r="A78" s="5" t="s">
        <v>101</v>
      </c>
      <c r="B78" s="5"/>
      <c r="C78" s="5"/>
      <c r="D78" s="5"/>
      <c r="E78" s="5"/>
      <c r="F78" s="5"/>
      <c r="G78" s="5"/>
      <c r="H78" s="5"/>
      <c r="I78" s="5"/>
      <c r="J78" s="5"/>
      <c r="K78" s="5"/>
      <c r="L78" s="4"/>
    </row>
    <row r="79" spans="1:13" x14ac:dyDescent="0.3">
      <c r="A79" s="5"/>
      <c r="B79" s="5"/>
      <c r="C79" s="5"/>
      <c r="D79" s="5"/>
      <c r="E79" s="5"/>
      <c r="F79" s="5"/>
      <c r="G79" s="5"/>
      <c r="H79" s="5"/>
      <c r="I79" s="5"/>
      <c r="J79" s="5"/>
      <c r="K79" s="5"/>
      <c r="L79" s="4"/>
    </row>
    <row r="80" spans="1:13" x14ac:dyDescent="0.3">
      <c r="A80" s="5"/>
      <c r="B80" s="57" t="s">
        <v>5</v>
      </c>
      <c r="C80" s="57" t="s">
        <v>102</v>
      </c>
      <c r="D80" s="5"/>
      <c r="E80" s="5"/>
      <c r="F80" s="5"/>
      <c r="G80" s="5"/>
      <c r="H80" s="5"/>
      <c r="I80" s="5"/>
      <c r="J80" s="5"/>
      <c r="K80" s="5"/>
      <c r="L80" s="4"/>
    </row>
    <row r="81" spans="1:12" x14ac:dyDescent="0.3">
      <c r="A81" s="5"/>
      <c r="B81" s="58" t="s">
        <v>7</v>
      </c>
      <c r="C81" s="58" t="s">
        <v>103</v>
      </c>
      <c r="D81" s="5"/>
      <c r="E81" s="5"/>
      <c r="F81" s="5"/>
      <c r="G81" s="5"/>
      <c r="H81" s="5"/>
      <c r="I81" s="5"/>
      <c r="J81" s="5"/>
      <c r="K81" s="5"/>
      <c r="L81" s="4"/>
    </row>
    <row r="82" spans="1:12" x14ac:dyDescent="0.3">
      <c r="A82" s="5"/>
      <c r="B82" s="53">
        <v>2014</v>
      </c>
      <c r="C82" s="53">
        <v>813</v>
      </c>
      <c r="D82" s="5"/>
      <c r="E82" s="5"/>
      <c r="F82" s="5"/>
      <c r="G82" s="5"/>
      <c r="H82" s="5"/>
      <c r="I82" s="5"/>
      <c r="J82" s="5"/>
      <c r="K82" s="5"/>
      <c r="L82" s="4"/>
    </row>
    <row r="83" spans="1:12" x14ac:dyDescent="0.3">
      <c r="A83" s="5"/>
      <c r="B83" s="53">
        <v>2015</v>
      </c>
      <c r="C83" s="53">
        <v>798</v>
      </c>
      <c r="D83" s="5"/>
      <c r="E83" s="5"/>
      <c r="F83" s="5"/>
      <c r="G83" s="5"/>
      <c r="H83" s="5"/>
      <c r="I83" s="5"/>
      <c r="J83" s="5"/>
      <c r="K83" s="5"/>
      <c r="L83" s="4"/>
    </row>
    <row r="84" spans="1:12" x14ac:dyDescent="0.3">
      <c r="A84" s="5"/>
      <c r="B84" s="53">
        <v>2016</v>
      </c>
      <c r="C84" s="53">
        <v>649</v>
      </c>
      <c r="D84" s="5"/>
      <c r="E84" s="5"/>
      <c r="F84" s="5"/>
      <c r="G84" s="5"/>
      <c r="H84" s="5"/>
      <c r="I84" s="5"/>
      <c r="J84" s="5"/>
      <c r="K84" s="5"/>
      <c r="L84" s="4"/>
    </row>
    <row r="85" spans="1:12" x14ac:dyDescent="0.3">
      <c r="A85" s="5"/>
      <c r="B85" s="53">
        <v>2017</v>
      </c>
      <c r="C85" s="53">
        <v>606</v>
      </c>
      <c r="D85" s="5"/>
      <c r="E85" s="5"/>
      <c r="F85" s="5"/>
      <c r="G85" s="5"/>
      <c r="H85" s="5"/>
      <c r="I85" s="5"/>
      <c r="J85" s="5"/>
      <c r="K85" s="5"/>
      <c r="L85" s="4"/>
    </row>
    <row r="86" spans="1:12" x14ac:dyDescent="0.3">
      <c r="A86" s="5"/>
      <c r="B86" s="53">
        <v>2018</v>
      </c>
      <c r="C86" s="53">
        <v>488</v>
      </c>
      <c r="D86" s="5"/>
      <c r="E86" s="5"/>
      <c r="F86" s="5"/>
      <c r="G86" s="5"/>
      <c r="H86" s="5"/>
      <c r="I86" s="5"/>
      <c r="J86" s="5"/>
      <c r="K86" s="5"/>
      <c r="L86" s="4"/>
    </row>
    <row r="87" spans="1:12" x14ac:dyDescent="0.3">
      <c r="A87" s="23"/>
      <c r="B87" s="53">
        <v>2019</v>
      </c>
      <c r="C87" s="53">
        <v>586</v>
      </c>
      <c r="D87" s="23"/>
      <c r="E87" s="23"/>
      <c r="F87" s="23"/>
      <c r="G87" s="23"/>
      <c r="H87" s="23"/>
      <c r="I87" s="23"/>
      <c r="J87" s="23"/>
      <c r="K87" s="23"/>
      <c r="L87" s="23"/>
    </row>
    <row r="88" spans="1:12" x14ac:dyDescent="0.3">
      <c r="A88" s="23"/>
      <c r="B88" s="62"/>
      <c r="C88" s="62"/>
      <c r="D88" s="23"/>
      <c r="E88" s="23"/>
      <c r="F88" s="23"/>
      <c r="G88" s="23"/>
      <c r="H88" s="23"/>
      <c r="I88" s="23"/>
      <c r="J88" s="23"/>
      <c r="K88" s="23"/>
      <c r="L88" s="23"/>
    </row>
    <row r="90" spans="1:12" x14ac:dyDescent="0.3">
      <c r="A90" s="7" t="s">
        <v>11</v>
      </c>
      <c r="B90" s="5" t="s">
        <v>104</v>
      </c>
      <c r="C90" s="5"/>
      <c r="D90" s="5"/>
      <c r="E90" s="5"/>
      <c r="F90" s="5"/>
      <c r="G90" s="5"/>
      <c r="H90" s="5"/>
      <c r="I90" s="5"/>
      <c r="J90" s="5"/>
      <c r="K90" s="5"/>
      <c r="L90" s="5"/>
    </row>
    <row r="91" spans="1:12" x14ac:dyDescent="0.3">
      <c r="A91" s="4"/>
      <c r="B91" s="4"/>
      <c r="C91" s="4"/>
      <c r="D91" s="4"/>
      <c r="E91" s="4"/>
      <c r="F91" s="4"/>
      <c r="G91" s="5"/>
      <c r="H91" s="5"/>
      <c r="I91" s="5"/>
      <c r="J91" s="5"/>
      <c r="K91" s="5"/>
      <c r="L91" s="5"/>
    </row>
    <row r="92" spans="1:12" x14ac:dyDescent="0.3">
      <c r="A92" s="10"/>
      <c r="B92" s="10"/>
      <c r="C92" s="10"/>
      <c r="D92" s="10"/>
      <c r="E92" s="10"/>
      <c r="F92" s="10"/>
      <c r="G92" s="10"/>
      <c r="H92" s="10"/>
      <c r="I92" s="10"/>
      <c r="J92" s="10"/>
      <c r="K92" s="10"/>
      <c r="L92" s="10"/>
    </row>
    <row r="93" spans="1:12" x14ac:dyDescent="0.3">
      <c r="A93" s="10" t="s">
        <v>10</v>
      </c>
      <c r="B93" s="10"/>
      <c r="C93" s="10"/>
      <c r="D93" s="10"/>
      <c r="E93" s="10"/>
      <c r="F93" s="10"/>
      <c r="G93" s="10"/>
      <c r="H93" s="10"/>
      <c r="I93" s="10"/>
      <c r="J93" s="10"/>
      <c r="K93" s="10"/>
      <c r="L93" s="10"/>
    </row>
    <row r="94" spans="1:12" x14ac:dyDescent="0.3">
      <c r="A94" s="10"/>
      <c r="B94" s="258" t="s">
        <v>5</v>
      </c>
      <c r="C94" s="366" t="s">
        <v>383</v>
      </c>
      <c r="D94" s="367"/>
      <c r="E94" s="367"/>
      <c r="F94" s="367"/>
      <c r="G94" s="367"/>
      <c r="H94" s="367"/>
      <c r="I94" s="138" t="s">
        <v>102</v>
      </c>
      <c r="J94" s="103"/>
      <c r="K94" s="10"/>
      <c r="L94" s="10"/>
    </row>
    <row r="95" spans="1:12" x14ac:dyDescent="0.3">
      <c r="A95" s="10"/>
      <c r="B95" s="186" t="s">
        <v>7</v>
      </c>
      <c r="C95" s="259">
        <v>12</v>
      </c>
      <c r="D95" s="188">
        <f>C95+12</f>
        <v>24</v>
      </c>
      <c r="E95" s="188">
        <f t="shared" ref="E95:H95" si="12">D95+12</f>
        <v>36</v>
      </c>
      <c r="F95" s="188">
        <f t="shared" si="12"/>
        <v>48</v>
      </c>
      <c r="G95" s="188">
        <f t="shared" si="12"/>
        <v>60</v>
      </c>
      <c r="H95" s="188">
        <f t="shared" si="12"/>
        <v>72</v>
      </c>
      <c r="I95" s="130" t="s">
        <v>103</v>
      </c>
      <c r="J95" s="103"/>
      <c r="K95" s="10"/>
      <c r="L95" s="10"/>
    </row>
    <row r="96" spans="1:12" x14ac:dyDescent="0.3">
      <c r="A96" s="10"/>
      <c r="B96" s="186">
        <v>2014</v>
      </c>
      <c r="C96" s="187">
        <f t="shared" ref="C96:C101" si="13">C16</f>
        <v>583</v>
      </c>
      <c r="D96" s="187">
        <f>D16-C16</f>
        <v>130</v>
      </c>
      <c r="E96" s="187">
        <f>E16-D16</f>
        <v>41</v>
      </c>
      <c r="F96" s="187">
        <f>F16-E16</f>
        <v>18</v>
      </c>
      <c r="G96" s="187">
        <f>G16-F16</f>
        <v>20</v>
      </c>
      <c r="H96" s="187">
        <f>H16-G16</f>
        <v>21</v>
      </c>
      <c r="I96" s="131">
        <f t="shared" ref="I96:I101" si="14">C82</f>
        <v>813</v>
      </c>
      <c r="J96" s="103"/>
      <c r="K96" s="10"/>
      <c r="L96" s="10"/>
    </row>
    <row r="97" spans="1:12" x14ac:dyDescent="0.3">
      <c r="A97" s="10"/>
      <c r="B97" s="188">
        <f>B96+1</f>
        <v>2015</v>
      </c>
      <c r="C97" s="187">
        <f t="shared" si="13"/>
        <v>539</v>
      </c>
      <c r="D97" s="187">
        <f>D17-C17</f>
        <v>126</v>
      </c>
      <c r="E97" s="187">
        <f>E17-D17</f>
        <v>44</v>
      </c>
      <c r="F97" s="187">
        <f>F17-E17</f>
        <v>19</v>
      </c>
      <c r="G97" s="187">
        <f>G17-F17</f>
        <v>29</v>
      </c>
      <c r="H97" s="187"/>
      <c r="I97" s="131">
        <f t="shared" si="14"/>
        <v>798</v>
      </c>
      <c r="J97" s="103"/>
      <c r="K97" s="10"/>
      <c r="L97" s="10"/>
    </row>
    <row r="98" spans="1:12" x14ac:dyDescent="0.3">
      <c r="A98" s="10"/>
      <c r="B98" s="188">
        <f t="shared" ref="B98:B101" si="15">B97+1</f>
        <v>2016</v>
      </c>
      <c r="C98" s="187">
        <f t="shared" si="13"/>
        <v>450</v>
      </c>
      <c r="D98" s="187">
        <f>D18-C18</f>
        <v>99</v>
      </c>
      <c r="E98" s="187">
        <f>E18-D18</f>
        <v>33</v>
      </c>
      <c r="F98" s="187">
        <f>F18-E18</f>
        <v>14</v>
      </c>
      <c r="G98" s="187"/>
      <c r="H98" s="187"/>
      <c r="I98" s="131">
        <f t="shared" si="14"/>
        <v>649</v>
      </c>
      <c r="J98" s="103"/>
      <c r="K98" s="10"/>
      <c r="L98" s="10"/>
    </row>
    <row r="99" spans="1:12" x14ac:dyDescent="0.3">
      <c r="A99" s="10"/>
      <c r="B99" s="188">
        <f t="shared" si="15"/>
        <v>2017</v>
      </c>
      <c r="C99" s="187">
        <f t="shared" si="13"/>
        <v>427</v>
      </c>
      <c r="D99" s="187">
        <f>D19-C19</f>
        <v>95</v>
      </c>
      <c r="E99" s="187">
        <f>E19-D19</f>
        <v>22</v>
      </c>
      <c r="F99" s="187"/>
      <c r="G99" s="187"/>
      <c r="H99" s="187"/>
      <c r="I99" s="131">
        <f t="shared" si="14"/>
        <v>606</v>
      </c>
      <c r="J99" s="103"/>
      <c r="K99" s="10"/>
      <c r="L99" s="10"/>
    </row>
    <row r="100" spans="1:12" x14ac:dyDescent="0.3">
      <c r="A100" s="10"/>
      <c r="B100" s="188">
        <f t="shared" si="15"/>
        <v>2018</v>
      </c>
      <c r="C100" s="187">
        <f t="shared" si="13"/>
        <v>332</v>
      </c>
      <c r="D100" s="187">
        <f>D20-C20</f>
        <v>82</v>
      </c>
      <c r="E100" s="187"/>
      <c r="F100" s="187"/>
      <c r="G100" s="187"/>
      <c r="H100" s="187"/>
      <c r="I100" s="131">
        <f t="shared" si="14"/>
        <v>488</v>
      </c>
      <c r="J100" s="103"/>
      <c r="K100" s="10"/>
      <c r="L100" s="10"/>
    </row>
    <row r="101" spans="1:12" x14ac:dyDescent="0.3">
      <c r="A101" s="10"/>
      <c r="B101" s="188">
        <f t="shared" si="15"/>
        <v>2019</v>
      </c>
      <c r="C101" s="187">
        <f t="shared" si="13"/>
        <v>405</v>
      </c>
      <c r="D101" s="187"/>
      <c r="E101" s="187"/>
      <c r="F101" s="187"/>
      <c r="G101" s="187"/>
      <c r="H101" s="187"/>
      <c r="I101" s="131">
        <f t="shared" si="14"/>
        <v>586</v>
      </c>
      <c r="J101" s="103"/>
      <c r="K101" s="10"/>
      <c r="L101" s="10"/>
    </row>
    <row r="102" spans="1:12" x14ac:dyDescent="0.3">
      <c r="A102" s="10"/>
      <c r="B102" s="98"/>
      <c r="C102" s="98"/>
      <c r="D102" s="98"/>
      <c r="E102" s="98"/>
      <c r="F102" s="98"/>
      <c r="G102" s="98"/>
      <c r="H102" s="98"/>
      <c r="I102" s="98"/>
      <c r="J102" s="103"/>
      <c r="K102" s="10"/>
      <c r="L102" s="10"/>
    </row>
    <row r="103" spans="1:12" x14ac:dyDescent="0.3">
      <c r="A103" s="10"/>
      <c r="B103" s="258" t="s">
        <v>5</v>
      </c>
      <c r="C103" s="366" t="s">
        <v>384</v>
      </c>
      <c r="D103" s="367"/>
      <c r="E103" s="367"/>
      <c r="F103" s="367"/>
      <c r="G103" s="367"/>
      <c r="H103" s="367"/>
      <c r="I103" s="98"/>
      <c r="J103" s="103"/>
      <c r="K103" s="10"/>
      <c r="L103" s="10"/>
    </row>
    <row r="104" spans="1:12" x14ac:dyDescent="0.3">
      <c r="A104" s="10"/>
      <c r="B104" s="186" t="s">
        <v>7</v>
      </c>
      <c r="C104" s="259">
        <v>12</v>
      </c>
      <c r="D104" s="188">
        <f>C104+12</f>
        <v>24</v>
      </c>
      <c r="E104" s="188">
        <f t="shared" ref="E104:H104" si="16">D104+12</f>
        <v>36</v>
      </c>
      <c r="F104" s="188">
        <f t="shared" si="16"/>
        <v>48</v>
      </c>
      <c r="G104" s="188">
        <f t="shared" si="16"/>
        <v>60</v>
      </c>
      <c r="H104" s="188">
        <f t="shared" si="16"/>
        <v>72</v>
      </c>
      <c r="I104" s="98"/>
      <c r="J104" s="103"/>
      <c r="K104" s="10"/>
      <c r="L104" s="10"/>
    </row>
    <row r="105" spans="1:12" x14ac:dyDescent="0.3">
      <c r="A105" s="10"/>
      <c r="B105" s="186">
        <v>2014</v>
      </c>
      <c r="C105" s="189">
        <f>C96/I96</f>
        <v>0.71709717097170966</v>
      </c>
      <c r="D105" s="189">
        <f>D96/(I96-C96)</f>
        <v>0.56521739130434778</v>
      </c>
      <c r="E105" s="189">
        <f>E96/(I96-SUM(C96:D96))</f>
        <v>0.41</v>
      </c>
      <c r="F105" s="189">
        <f>F96/(I96-SUM(C96:E96))</f>
        <v>0.30508474576271188</v>
      </c>
      <c r="G105" s="189">
        <f>G96/(I96-SUM(C96:F96))</f>
        <v>0.48780487804878048</v>
      </c>
      <c r="H105" s="189">
        <f>H96/(I96-SUM(C96:G96))</f>
        <v>1</v>
      </c>
      <c r="I105" s="98"/>
      <c r="J105" s="103"/>
      <c r="K105" s="10"/>
      <c r="L105" s="10"/>
    </row>
    <row r="106" spans="1:12" x14ac:dyDescent="0.3">
      <c r="A106" s="10"/>
      <c r="B106" s="188">
        <f>B105+1</f>
        <v>2015</v>
      </c>
      <c r="C106" s="189">
        <f t="shared" ref="C106:C110" si="17">C97/I97</f>
        <v>0.67543859649122806</v>
      </c>
      <c r="D106" s="189">
        <f>D97/(I97-C97)</f>
        <v>0.48648648648648651</v>
      </c>
      <c r="E106" s="189">
        <f>E97/(I97-SUM(C97:D97))</f>
        <v>0.33082706766917291</v>
      </c>
      <c r="F106" s="189">
        <f>F97/(I97-SUM(C97:E97))</f>
        <v>0.21348314606741572</v>
      </c>
      <c r="G106" s="189">
        <f>G97/(I97-SUM(C97:F97))</f>
        <v>0.41428571428571431</v>
      </c>
      <c r="H106" s="187"/>
      <c r="I106" s="98"/>
      <c r="J106" s="103"/>
      <c r="K106" s="10"/>
      <c r="L106" s="10"/>
    </row>
    <row r="107" spans="1:12" x14ac:dyDescent="0.3">
      <c r="A107" s="10"/>
      <c r="B107" s="188">
        <f t="shared" ref="B107:B110" si="18">B106+1</f>
        <v>2016</v>
      </c>
      <c r="C107" s="189">
        <f t="shared" si="17"/>
        <v>0.69337442218798151</v>
      </c>
      <c r="D107" s="189">
        <f>D98/(I98-C98)</f>
        <v>0.49748743718592964</v>
      </c>
      <c r="E107" s="189">
        <f>E98/(I98-SUM(C98:D98))</f>
        <v>0.33</v>
      </c>
      <c r="F107" s="189">
        <f>F98/(I98-SUM(C98:E98))</f>
        <v>0.20895522388059701</v>
      </c>
      <c r="G107" s="187"/>
      <c r="H107" s="187"/>
      <c r="I107" s="98"/>
      <c r="J107" s="103"/>
      <c r="K107" s="10"/>
      <c r="L107" s="10"/>
    </row>
    <row r="108" spans="1:12" x14ac:dyDescent="0.3">
      <c r="A108" s="10"/>
      <c r="B108" s="188">
        <f t="shared" si="18"/>
        <v>2017</v>
      </c>
      <c r="C108" s="189">
        <f t="shared" si="17"/>
        <v>0.70462046204620465</v>
      </c>
      <c r="D108" s="189">
        <f>D99/(I99-C99)</f>
        <v>0.53072625698324027</v>
      </c>
      <c r="E108" s="189">
        <f>E99/(I99-SUM(C99:D99))</f>
        <v>0.26190476190476192</v>
      </c>
      <c r="F108" s="187"/>
      <c r="G108" s="187"/>
      <c r="H108" s="187"/>
      <c r="I108" s="98"/>
      <c r="J108" s="103"/>
      <c r="K108" s="10"/>
      <c r="L108" s="10"/>
    </row>
    <row r="109" spans="1:12" x14ac:dyDescent="0.3">
      <c r="A109" s="10"/>
      <c r="B109" s="188">
        <f t="shared" si="18"/>
        <v>2018</v>
      </c>
      <c r="C109" s="189">
        <f t="shared" si="17"/>
        <v>0.68032786885245899</v>
      </c>
      <c r="D109" s="189">
        <f>D100/(I100-C100)</f>
        <v>0.52564102564102566</v>
      </c>
      <c r="E109" s="187"/>
      <c r="F109" s="187"/>
      <c r="G109" s="187"/>
      <c r="H109" s="187"/>
      <c r="I109" s="98"/>
      <c r="J109" s="103"/>
      <c r="K109" s="10"/>
      <c r="L109" s="10"/>
    </row>
    <row r="110" spans="1:12" x14ac:dyDescent="0.3">
      <c r="A110" s="10"/>
      <c r="B110" s="188">
        <f t="shared" si="18"/>
        <v>2019</v>
      </c>
      <c r="C110" s="189">
        <f t="shared" si="17"/>
        <v>0.69112627986348119</v>
      </c>
      <c r="D110" s="187"/>
      <c r="E110" s="187"/>
      <c r="F110" s="187"/>
      <c r="G110" s="187"/>
      <c r="H110" s="187"/>
      <c r="I110" s="98"/>
      <c r="J110" s="103"/>
      <c r="K110" s="10"/>
      <c r="L110" s="10"/>
    </row>
    <row r="111" spans="1:12" x14ac:dyDescent="0.3">
      <c r="A111" s="10"/>
      <c r="B111" s="137" t="s">
        <v>381</v>
      </c>
      <c r="C111" s="137"/>
      <c r="D111" s="137"/>
      <c r="E111" s="176">
        <f>AVERAGE(E105:E108)</f>
        <v>0.33318295739348369</v>
      </c>
      <c r="F111" s="176">
        <f>AVERAGE(F105:F108)</f>
        <v>0.24250770523690823</v>
      </c>
      <c r="G111" s="176">
        <f t="shared" ref="G111:H111" si="19">AVERAGE(G105:G108)</f>
        <v>0.45104529616724742</v>
      </c>
      <c r="H111" s="176">
        <f t="shared" si="19"/>
        <v>1</v>
      </c>
      <c r="I111" s="98"/>
      <c r="J111" s="103"/>
      <c r="K111" s="10"/>
      <c r="L111" s="10"/>
    </row>
    <row r="113" spans="1:13" x14ac:dyDescent="0.3">
      <c r="A113" s="5" t="s">
        <v>90</v>
      </c>
      <c r="B113" s="5"/>
      <c r="C113" s="5"/>
      <c r="D113" s="5"/>
      <c r="E113" s="5"/>
      <c r="F113" s="5"/>
      <c r="G113" s="5"/>
      <c r="H113" s="5"/>
      <c r="I113" s="5"/>
      <c r="J113" s="5"/>
      <c r="K113" s="5"/>
      <c r="L113" s="4"/>
    </row>
    <row r="114" spans="1:13" x14ac:dyDescent="0.3">
      <c r="A114" s="5"/>
      <c r="B114" s="5"/>
      <c r="C114" s="5"/>
      <c r="D114" s="5"/>
      <c r="E114" s="5"/>
      <c r="F114" s="5"/>
      <c r="G114" s="5"/>
      <c r="H114" s="5"/>
      <c r="I114" s="5"/>
      <c r="J114" s="5"/>
      <c r="K114" s="5"/>
      <c r="L114" s="4"/>
    </row>
    <row r="115" spans="1:13" ht="33" customHeight="1" x14ac:dyDescent="0.3">
      <c r="A115" s="5"/>
      <c r="B115" s="370" t="s">
        <v>105</v>
      </c>
      <c r="C115" s="370"/>
      <c r="D115" s="370"/>
      <c r="E115" s="370"/>
      <c r="F115" s="370"/>
      <c r="G115" s="370"/>
      <c r="H115" s="5"/>
      <c r="I115" s="5"/>
      <c r="J115" s="5"/>
      <c r="K115" s="5"/>
      <c r="L115" s="4"/>
    </row>
    <row r="116" spans="1:13" x14ac:dyDescent="0.3">
      <c r="A116" s="5"/>
      <c r="B116" s="60">
        <v>12</v>
      </c>
      <c r="C116" s="60">
        <v>24</v>
      </c>
      <c r="D116" s="60">
        <v>36</v>
      </c>
      <c r="E116" s="60">
        <v>48</v>
      </c>
      <c r="F116" s="60">
        <v>60</v>
      </c>
      <c r="G116" s="60">
        <v>72</v>
      </c>
      <c r="H116" s="5"/>
      <c r="I116" s="5"/>
      <c r="J116" s="5"/>
      <c r="K116" s="5"/>
      <c r="L116" s="4"/>
    </row>
    <row r="117" spans="1:13" x14ac:dyDescent="0.3">
      <c r="A117" s="5"/>
      <c r="B117" s="53">
        <v>851</v>
      </c>
      <c r="C117" s="54">
        <v>4273</v>
      </c>
      <c r="D117" s="54">
        <v>11153</v>
      </c>
      <c r="E117" s="54">
        <v>13605</v>
      </c>
      <c r="F117" s="54">
        <v>12107</v>
      </c>
      <c r="G117" s="54">
        <v>8704</v>
      </c>
      <c r="H117" s="5"/>
      <c r="I117" s="5"/>
      <c r="J117" s="5"/>
      <c r="K117" s="5"/>
      <c r="L117" s="4"/>
    </row>
    <row r="118" spans="1:13" x14ac:dyDescent="0.3">
      <c r="A118" s="5"/>
      <c r="B118" s="5"/>
      <c r="C118" s="5"/>
      <c r="D118" s="5"/>
      <c r="E118" s="5"/>
      <c r="F118" s="5"/>
      <c r="G118" s="5"/>
      <c r="H118" s="5"/>
      <c r="I118" s="5"/>
      <c r="J118" s="5"/>
      <c r="K118" s="5"/>
      <c r="L118" s="4"/>
    </row>
    <row r="120" spans="1:13" x14ac:dyDescent="0.3">
      <c r="A120" s="7" t="s">
        <v>12</v>
      </c>
      <c r="B120" s="5" t="s">
        <v>106</v>
      </c>
      <c r="C120" s="5"/>
      <c r="D120" s="5"/>
      <c r="E120" s="5"/>
      <c r="F120" s="5"/>
      <c r="G120" s="5"/>
      <c r="H120" s="5"/>
      <c r="I120" s="5"/>
      <c r="J120" s="5"/>
      <c r="K120" s="5"/>
      <c r="L120" s="5"/>
    </row>
    <row r="121" spans="1:13" x14ac:dyDescent="0.3">
      <c r="A121" s="4"/>
      <c r="B121" s="4"/>
      <c r="C121" s="4"/>
      <c r="D121" s="4"/>
      <c r="E121" s="4"/>
      <c r="F121" s="4"/>
      <c r="G121" s="5"/>
      <c r="H121" s="5"/>
      <c r="I121" s="5"/>
      <c r="J121" s="5"/>
      <c r="K121" s="5"/>
      <c r="L121" s="5"/>
    </row>
    <row r="122" spans="1:13" x14ac:dyDescent="0.3">
      <c r="A122" s="10"/>
      <c r="B122" s="10"/>
      <c r="C122" s="10"/>
      <c r="D122" s="10"/>
      <c r="E122" s="10"/>
      <c r="F122" s="10"/>
      <c r="G122" s="10"/>
      <c r="H122" s="10"/>
      <c r="I122" s="10"/>
      <c r="J122" s="10"/>
      <c r="K122" s="10"/>
      <c r="L122" s="10"/>
    </row>
    <row r="123" spans="1:13" x14ac:dyDescent="0.3">
      <c r="A123" s="10" t="s">
        <v>10</v>
      </c>
      <c r="B123" s="10"/>
      <c r="C123" s="10"/>
      <c r="D123" s="10"/>
      <c r="E123" s="10"/>
      <c r="F123" s="10"/>
      <c r="G123" s="10"/>
      <c r="H123" s="10"/>
      <c r="I123" s="10"/>
      <c r="J123" s="10"/>
      <c r="K123" s="10"/>
      <c r="L123" s="10"/>
    </row>
    <row r="124" spans="1:13" x14ac:dyDescent="0.3">
      <c r="A124" s="10"/>
      <c r="B124" s="258" t="s">
        <v>5</v>
      </c>
      <c r="C124" s="366" t="s">
        <v>383</v>
      </c>
      <c r="D124" s="367"/>
      <c r="E124" s="367"/>
      <c r="F124" s="367"/>
      <c r="G124" s="367"/>
      <c r="H124" s="367"/>
      <c r="I124" s="138" t="s">
        <v>102</v>
      </c>
      <c r="J124" s="103"/>
      <c r="K124" s="10"/>
      <c r="L124" s="10"/>
    </row>
    <row r="125" spans="1:13" x14ac:dyDescent="0.3">
      <c r="A125" s="10"/>
      <c r="B125" s="186" t="s">
        <v>7</v>
      </c>
      <c r="C125" s="259">
        <v>12</v>
      </c>
      <c r="D125" s="188">
        <f>C125+12</f>
        <v>24</v>
      </c>
      <c r="E125" s="188">
        <f t="shared" ref="E125:H125" si="20">D125+12</f>
        <v>36</v>
      </c>
      <c r="F125" s="188">
        <f t="shared" si="20"/>
        <v>48</v>
      </c>
      <c r="G125" s="188">
        <f t="shared" si="20"/>
        <v>60</v>
      </c>
      <c r="H125" s="188">
        <f t="shared" si="20"/>
        <v>72</v>
      </c>
      <c r="I125" s="130" t="s">
        <v>103</v>
      </c>
      <c r="J125" s="103"/>
      <c r="K125" s="10"/>
      <c r="L125" s="10"/>
    </row>
    <row r="126" spans="1:13" x14ac:dyDescent="0.3">
      <c r="B126" s="188">
        <v>2018</v>
      </c>
      <c r="C126" s="187">
        <f>C100</f>
        <v>332</v>
      </c>
      <c r="D126" s="187">
        <f>D100</f>
        <v>82</v>
      </c>
      <c r="E126" s="191">
        <f>E111*(I126-SUM(C126:D126))</f>
        <v>24.655538847117793</v>
      </c>
      <c r="F126" s="191">
        <f>F111*(I126-SUM(C126:E126))</f>
        <v>11.96641204033723</v>
      </c>
      <c r="G126" s="191">
        <f>G111*(I126-SUM(C126:F126))</f>
        <v>16.859193232121779</v>
      </c>
      <c r="H126" s="191">
        <f>H111*(I126-SUM(C126:G126))</f>
        <v>20.518855880423246</v>
      </c>
      <c r="I126" s="131">
        <f>I100</f>
        <v>488</v>
      </c>
      <c r="J126" s="98"/>
    </row>
    <row r="127" spans="1:13" x14ac:dyDescent="0.3">
      <c r="B127" s="98"/>
      <c r="C127" s="103"/>
      <c r="D127" s="103"/>
      <c r="E127" s="103"/>
      <c r="F127" s="103"/>
      <c r="G127" s="103"/>
      <c r="H127" s="103"/>
      <c r="I127" s="98"/>
      <c r="J127" s="98"/>
    </row>
    <row r="128" spans="1:13" x14ac:dyDescent="0.3">
      <c r="B128" s="258" t="s">
        <v>5</v>
      </c>
      <c r="C128" s="366" t="s">
        <v>385</v>
      </c>
      <c r="D128" s="367"/>
      <c r="E128" s="367"/>
      <c r="F128" s="367"/>
      <c r="G128" s="367"/>
      <c r="H128" s="367"/>
      <c r="I128" s="98"/>
      <c r="J128" s="98"/>
      <c r="M128" s="10"/>
    </row>
    <row r="129" spans="2:13" x14ac:dyDescent="0.3">
      <c r="B129" s="186" t="s">
        <v>7</v>
      </c>
      <c r="C129" s="259">
        <v>12</v>
      </c>
      <c r="D129" s="188">
        <f>C129+12</f>
        <v>24</v>
      </c>
      <c r="E129" s="188">
        <f t="shared" ref="E129:H129" si="21">D129+12</f>
        <v>36</v>
      </c>
      <c r="F129" s="188">
        <f t="shared" si="21"/>
        <v>48</v>
      </c>
      <c r="G129" s="188">
        <f t="shared" si="21"/>
        <v>60</v>
      </c>
      <c r="H129" s="188">
        <f t="shared" si="21"/>
        <v>72</v>
      </c>
      <c r="I129" s="98"/>
      <c r="J129" s="98"/>
      <c r="M129" s="10"/>
    </row>
    <row r="130" spans="2:13" x14ac:dyDescent="0.3">
      <c r="B130" s="188">
        <v>2018</v>
      </c>
      <c r="C130" s="187"/>
      <c r="D130" s="187"/>
      <c r="E130" s="191">
        <f>D117/(1+E75)</f>
        <v>10521.698113207547</v>
      </c>
      <c r="F130" s="191">
        <f>E117/(1+E75)</f>
        <v>12834.905660377357</v>
      </c>
      <c r="G130" s="191">
        <f>F117/(1+E75)</f>
        <v>11421.698113207547</v>
      </c>
      <c r="H130" s="191">
        <f>G117/(1+E75)</f>
        <v>8211.3207547169804</v>
      </c>
      <c r="I130" s="98"/>
      <c r="J130" s="98"/>
    </row>
    <row r="131" spans="2:13" x14ac:dyDescent="0.3">
      <c r="B131" s="98"/>
      <c r="C131" s="103"/>
      <c r="D131" s="103"/>
      <c r="E131" s="152"/>
      <c r="F131" s="152"/>
      <c r="G131" s="152"/>
      <c r="H131" s="152"/>
      <c r="I131" s="179" t="s">
        <v>323</v>
      </c>
      <c r="J131" s="98"/>
    </row>
    <row r="132" spans="2:13" x14ac:dyDescent="0.3">
      <c r="B132" s="98" t="s">
        <v>386</v>
      </c>
      <c r="C132" s="103"/>
      <c r="D132" s="103"/>
      <c r="E132" s="190">
        <f>E126*E130</f>
        <v>259418.13656783465</v>
      </c>
      <c r="F132" s="190">
        <f t="shared" ref="F132:H132" si="22">F126*F130</f>
        <v>153587.76963093207</v>
      </c>
      <c r="G132" s="190">
        <f t="shared" si="22"/>
        <v>192560.61552952678</v>
      </c>
      <c r="H132" s="190">
        <f t="shared" si="22"/>
        <v>168486.90715396596</v>
      </c>
      <c r="I132" s="190">
        <f>SUM(E132:H132)</f>
        <v>774053.42888225941</v>
      </c>
      <c r="J132" s="98"/>
    </row>
    <row r="133" spans="2:13" x14ac:dyDescent="0.3">
      <c r="B133" s="98"/>
      <c r="C133" s="98"/>
      <c r="D133" s="98"/>
      <c r="E133" s="143"/>
      <c r="F133" s="143"/>
      <c r="G133" s="143"/>
      <c r="H133" s="143"/>
      <c r="I133" s="143"/>
      <c r="J133" s="98"/>
    </row>
  </sheetData>
  <mergeCells count="9">
    <mergeCell ref="C124:H124"/>
    <mergeCell ref="C128:H128"/>
    <mergeCell ref="C5:H5"/>
    <mergeCell ref="C14:H14"/>
    <mergeCell ref="B115:G115"/>
    <mergeCell ref="C28:H28"/>
    <mergeCell ref="C37:H37"/>
    <mergeCell ref="C94:H94"/>
    <mergeCell ref="C103:H103"/>
  </mergeCells>
  <pageMargins left="0.39370078740157483" right="0.39370078740157483" top="0.39370078740157483" bottom="0.39370078740157483" header="0.31496062992125984" footer="0.31496062992125984"/>
  <pageSetup scale="78" orientation="portrait" verticalDpi="1200" r:id="rId1"/>
  <headerFooter>
    <oddFooter>&amp;L&amp;F [&amp;A]&amp;R&amp;P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F4776-C17F-4B77-BB29-1EE25CE132A7}">
  <dimension ref="A1:L4"/>
  <sheetViews>
    <sheetView zoomScaleNormal="100" workbookViewId="0"/>
  </sheetViews>
  <sheetFormatPr defaultRowHeight="15.6" x14ac:dyDescent="0.3"/>
  <cols>
    <col min="1" max="6" width="8.88671875" style="2" customWidth="1"/>
    <col min="7" max="7" width="8.88671875" style="2"/>
    <col min="8" max="8" width="8.88671875" style="2" customWidth="1"/>
    <col min="9" max="16384" width="8.88671875" style="2"/>
  </cols>
  <sheetData>
    <row r="1" spans="1:12" ht="17.399999999999999" x14ac:dyDescent="0.3">
      <c r="A1" s="3" t="s">
        <v>107</v>
      </c>
      <c r="B1" s="5"/>
      <c r="C1" s="23" t="s">
        <v>34</v>
      </c>
      <c r="D1" s="5"/>
      <c r="E1" s="5"/>
      <c r="F1" s="5"/>
      <c r="G1" s="5"/>
      <c r="H1" s="5"/>
      <c r="I1" s="5"/>
      <c r="J1" s="5"/>
      <c r="K1" s="5"/>
      <c r="L1" s="4"/>
    </row>
    <row r="2" spans="1:12" x14ac:dyDescent="0.3">
      <c r="A2" s="5"/>
      <c r="B2" s="5"/>
      <c r="C2" s="5"/>
      <c r="D2" s="5"/>
      <c r="E2" s="5"/>
      <c r="F2" s="5"/>
      <c r="G2" s="5"/>
      <c r="H2" s="5"/>
      <c r="I2" s="5"/>
      <c r="J2" s="5"/>
      <c r="K2" s="5"/>
      <c r="L2" s="4"/>
    </row>
    <row r="3" spans="1:12" ht="16.2" x14ac:dyDescent="0.35">
      <c r="A3" s="63" t="s">
        <v>108</v>
      </c>
      <c r="B3" s="5"/>
      <c r="C3" s="5"/>
      <c r="D3" s="5"/>
      <c r="E3" s="5"/>
      <c r="F3" s="5"/>
      <c r="G3" s="5"/>
      <c r="H3" s="5"/>
      <c r="I3" s="5"/>
      <c r="J3" s="5"/>
      <c r="K3" s="5"/>
      <c r="L3" s="4"/>
    </row>
    <row r="4" spans="1:12" x14ac:dyDescent="0.3">
      <c r="A4" s="23"/>
      <c r="B4" s="23"/>
      <c r="C4" s="23"/>
      <c r="D4" s="23"/>
      <c r="E4" s="23"/>
      <c r="F4" s="23"/>
      <c r="G4" s="23"/>
      <c r="H4" s="23"/>
      <c r="I4" s="23"/>
      <c r="J4" s="23"/>
      <c r="K4" s="23"/>
      <c r="L4" s="23"/>
    </row>
  </sheetData>
  <pageMargins left="0.39370078740157483" right="0.39370078740157483" top="0.39370078740157483" bottom="0.39370078740157483" header="0.31496062992125984" footer="0.31496062992125984"/>
  <pageSetup scale="92"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5AC61-83DD-4755-BD93-4915D4F99C0E}">
  <dimension ref="A1:R54"/>
  <sheetViews>
    <sheetView zoomScaleNormal="100" workbookViewId="0"/>
  </sheetViews>
  <sheetFormatPr defaultRowHeight="15.6" x14ac:dyDescent="0.3"/>
  <cols>
    <col min="1" max="1" width="8.88671875" style="2" customWidth="1"/>
    <col min="2" max="2" width="17.77734375" style="2" customWidth="1"/>
    <col min="3" max="3" width="19.33203125" style="2" customWidth="1"/>
    <col min="4" max="5" width="15.77734375" style="2" customWidth="1"/>
    <col min="6" max="7" width="11.77734375" style="2" customWidth="1"/>
    <col min="8" max="8" width="8.88671875" style="2" customWidth="1"/>
    <col min="9" max="16384" width="8.88671875" style="2"/>
  </cols>
  <sheetData>
    <row r="1" spans="1:12" ht="17.399999999999999" x14ac:dyDescent="0.3">
      <c r="A1" s="3" t="s">
        <v>109</v>
      </c>
      <c r="B1" s="5"/>
      <c r="C1" s="23" t="s">
        <v>68</v>
      </c>
      <c r="D1" s="5"/>
      <c r="E1" s="5"/>
      <c r="F1" s="5"/>
      <c r="G1" s="5"/>
      <c r="H1" s="5"/>
      <c r="I1" s="5"/>
      <c r="J1" s="5"/>
      <c r="K1" s="5"/>
      <c r="L1" s="4"/>
    </row>
    <row r="2" spans="1:12" x14ac:dyDescent="0.3">
      <c r="A2" s="5"/>
      <c r="B2" s="5"/>
      <c r="C2" s="5"/>
      <c r="D2" s="5"/>
      <c r="E2" s="5"/>
      <c r="F2" s="5"/>
      <c r="G2" s="5"/>
      <c r="H2" s="5"/>
      <c r="I2" s="5"/>
      <c r="J2" s="5"/>
      <c r="K2" s="5"/>
      <c r="L2" s="4"/>
    </row>
    <row r="4" spans="1:12" x14ac:dyDescent="0.3">
      <c r="A4" s="6" t="s">
        <v>51</v>
      </c>
      <c r="B4" s="4"/>
      <c r="C4" s="4"/>
      <c r="D4" s="4"/>
      <c r="E4" s="4"/>
      <c r="F4" s="4"/>
      <c r="G4" s="4"/>
      <c r="H4" s="4"/>
      <c r="I4" s="4"/>
      <c r="J4" s="4"/>
      <c r="K4" s="4"/>
      <c r="L4" s="4"/>
    </row>
    <row r="5" spans="1:12" x14ac:dyDescent="0.3">
      <c r="A5" s="10"/>
      <c r="B5" s="10"/>
      <c r="C5" s="10"/>
      <c r="D5" s="10"/>
      <c r="E5" s="10"/>
      <c r="F5" s="10"/>
      <c r="G5" s="10"/>
      <c r="H5" s="10"/>
      <c r="I5" s="10"/>
      <c r="J5" s="10"/>
      <c r="K5" s="10"/>
      <c r="L5" s="10"/>
    </row>
    <row r="6" spans="1:12" x14ac:dyDescent="0.3">
      <c r="A6" s="6" t="s">
        <v>33</v>
      </c>
      <c r="B6" s="4"/>
      <c r="C6" s="4"/>
      <c r="D6" s="4"/>
      <c r="E6" s="4"/>
      <c r="F6" s="4"/>
      <c r="G6" s="4"/>
      <c r="H6" s="4"/>
      <c r="I6" s="4"/>
      <c r="J6" s="4"/>
      <c r="K6" s="4"/>
      <c r="L6" s="4"/>
    </row>
    <row r="7" spans="1:12" x14ac:dyDescent="0.3">
      <c r="A7" s="10"/>
      <c r="B7" s="10"/>
      <c r="C7" s="10"/>
      <c r="D7" s="10"/>
      <c r="E7" s="10"/>
      <c r="F7" s="10"/>
      <c r="G7" s="10"/>
      <c r="H7" s="10"/>
      <c r="I7" s="10"/>
      <c r="J7" s="10"/>
      <c r="K7" s="10"/>
      <c r="L7" s="10"/>
    </row>
    <row r="8" spans="1:12" x14ac:dyDescent="0.3">
      <c r="A8" s="6" t="s">
        <v>47</v>
      </c>
      <c r="B8" s="4"/>
      <c r="C8" s="4"/>
      <c r="D8" s="4"/>
      <c r="E8" s="4"/>
      <c r="F8" s="4"/>
      <c r="G8" s="4"/>
      <c r="H8" s="4"/>
      <c r="I8" s="4"/>
      <c r="J8" s="4"/>
      <c r="K8" s="4"/>
      <c r="L8" s="4"/>
    </row>
    <row r="9" spans="1:12" x14ac:dyDescent="0.3">
      <c r="A9" s="10"/>
      <c r="B9" s="10"/>
      <c r="C9" s="10"/>
      <c r="D9" s="10"/>
      <c r="E9" s="10"/>
      <c r="F9" s="10"/>
      <c r="G9" s="10"/>
      <c r="H9" s="10"/>
      <c r="I9" s="10"/>
      <c r="J9" s="10"/>
      <c r="K9" s="10"/>
      <c r="L9" s="10"/>
    </row>
    <row r="10" spans="1:12" x14ac:dyDescent="0.3">
      <c r="A10" s="357" t="s">
        <v>110</v>
      </c>
      <c r="B10" s="358"/>
      <c r="C10" s="358"/>
      <c r="D10" s="358"/>
      <c r="E10" s="358"/>
      <c r="F10" s="358"/>
      <c r="G10" s="358"/>
      <c r="H10" s="358"/>
      <c r="I10" s="358"/>
      <c r="J10" s="358"/>
      <c r="K10" s="358"/>
      <c r="L10" s="358"/>
    </row>
    <row r="11" spans="1:12" x14ac:dyDescent="0.3">
      <c r="A11" s="358"/>
      <c r="B11" s="358"/>
      <c r="C11" s="358"/>
      <c r="D11" s="358"/>
      <c r="E11" s="358"/>
      <c r="F11" s="358"/>
      <c r="G11" s="358"/>
      <c r="H11" s="358"/>
      <c r="I11" s="358"/>
      <c r="J11" s="358"/>
      <c r="K11" s="358"/>
      <c r="L11" s="358"/>
    </row>
    <row r="12" spans="1:12" x14ac:dyDescent="0.3">
      <c r="A12" s="5"/>
      <c r="B12" s="5"/>
      <c r="C12" s="5"/>
      <c r="D12" s="5"/>
      <c r="E12" s="5"/>
      <c r="F12" s="5"/>
      <c r="G12" s="5"/>
      <c r="H12" s="5"/>
      <c r="I12" s="5"/>
      <c r="J12" s="5"/>
      <c r="K12" s="5"/>
      <c r="L12" s="4"/>
    </row>
    <row r="13" spans="1:12" ht="31.2" customHeight="1" x14ac:dyDescent="0.3">
      <c r="A13" s="5"/>
      <c r="B13" s="360" t="s">
        <v>111</v>
      </c>
      <c r="C13" s="360"/>
      <c r="D13" s="370" t="s">
        <v>112</v>
      </c>
      <c r="E13" s="370"/>
      <c r="F13" s="370" t="s">
        <v>113</v>
      </c>
      <c r="G13" s="370"/>
      <c r="H13" s="5"/>
      <c r="I13" s="5"/>
      <c r="J13" s="5"/>
      <c r="K13" s="5"/>
      <c r="L13" s="4"/>
    </row>
    <row r="14" spans="1:12" ht="15.6" customHeight="1" x14ac:dyDescent="0.3">
      <c r="A14" s="5"/>
      <c r="B14" s="372" t="s">
        <v>114</v>
      </c>
      <c r="C14" s="372"/>
      <c r="D14" s="373">
        <v>1305</v>
      </c>
      <c r="E14" s="373"/>
      <c r="F14" s="371">
        <v>0.82</v>
      </c>
      <c r="G14" s="371"/>
      <c r="H14" s="5"/>
      <c r="I14" s="5"/>
      <c r="J14" s="5"/>
      <c r="K14" s="5"/>
      <c r="L14" s="4"/>
    </row>
    <row r="15" spans="1:12" x14ac:dyDescent="0.3">
      <c r="A15" s="5"/>
      <c r="B15" s="372" t="s">
        <v>115</v>
      </c>
      <c r="C15" s="372"/>
      <c r="D15" s="373">
        <v>1539</v>
      </c>
      <c r="E15" s="373"/>
      <c r="F15" s="371">
        <v>0.56000000000000005</v>
      </c>
      <c r="G15" s="371"/>
      <c r="H15" s="5"/>
      <c r="I15" s="5"/>
      <c r="J15" s="5"/>
      <c r="K15" s="5"/>
      <c r="L15" s="4"/>
    </row>
    <row r="16" spans="1:12" x14ac:dyDescent="0.3">
      <c r="A16" s="5"/>
      <c r="B16" s="372" t="s">
        <v>116</v>
      </c>
      <c r="C16" s="372"/>
      <c r="D16" s="373">
        <v>1244</v>
      </c>
      <c r="E16" s="373"/>
      <c r="F16" s="371">
        <v>0.79</v>
      </c>
      <c r="G16" s="371"/>
      <c r="H16" s="5"/>
      <c r="I16" s="5"/>
      <c r="J16" s="5"/>
      <c r="K16" s="5"/>
      <c r="L16" s="4"/>
    </row>
    <row r="17" spans="1:18" x14ac:dyDescent="0.3">
      <c r="A17" s="5"/>
      <c r="B17" s="5"/>
      <c r="C17" s="5"/>
      <c r="D17" s="5"/>
      <c r="E17" s="5"/>
      <c r="F17" s="5"/>
      <c r="G17" s="5"/>
      <c r="H17" s="5"/>
      <c r="I17" s="5"/>
      <c r="J17" s="5"/>
      <c r="K17" s="5"/>
      <c r="L17" s="4"/>
    </row>
    <row r="18" spans="1:18" x14ac:dyDescent="0.3">
      <c r="A18" s="5"/>
      <c r="B18" s="42" t="s">
        <v>63</v>
      </c>
      <c r="C18" s="5" t="s">
        <v>117</v>
      </c>
      <c r="D18" s="5"/>
      <c r="E18" s="5"/>
      <c r="F18" s="5"/>
      <c r="G18" s="5"/>
      <c r="H18" s="5"/>
      <c r="I18" s="5"/>
      <c r="J18" s="5"/>
      <c r="K18" s="5"/>
      <c r="L18" s="4"/>
    </row>
    <row r="19" spans="1:18" x14ac:dyDescent="0.3">
      <c r="A19" s="5"/>
      <c r="B19" s="42" t="s">
        <v>63</v>
      </c>
      <c r="C19" s="5" t="s">
        <v>118</v>
      </c>
      <c r="D19" s="5"/>
      <c r="E19" s="5"/>
      <c r="F19" s="5"/>
      <c r="G19" s="5"/>
      <c r="H19" s="5"/>
      <c r="I19" s="5"/>
      <c r="J19" s="5"/>
      <c r="K19" s="5"/>
      <c r="L19" s="4"/>
    </row>
    <row r="20" spans="1:18" x14ac:dyDescent="0.3">
      <c r="A20" s="5"/>
      <c r="B20" s="42" t="s">
        <v>63</v>
      </c>
      <c r="C20" s="5" t="s">
        <v>119</v>
      </c>
      <c r="D20" s="5"/>
      <c r="E20" s="5"/>
      <c r="F20" s="5"/>
      <c r="G20" s="5"/>
      <c r="H20" s="5"/>
      <c r="I20" s="5"/>
      <c r="J20" s="5"/>
      <c r="K20" s="5"/>
      <c r="L20" s="4"/>
    </row>
    <row r="21" spans="1:18" x14ac:dyDescent="0.3">
      <c r="A21" s="5"/>
      <c r="B21" s="42" t="s">
        <v>63</v>
      </c>
      <c r="C21" s="5" t="s">
        <v>120</v>
      </c>
      <c r="D21" s="5"/>
      <c r="E21" s="5"/>
      <c r="F21" s="5"/>
      <c r="G21" s="5"/>
      <c r="H21" s="5"/>
      <c r="I21" s="5"/>
      <c r="J21" s="5"/>
      <c r="K21" s="5"/>
      <c r="L21" s="4"/>
    </row>
    <row r="22" spans="1:18" x14ac:dyDescent="0.3">
      <c r="A22" s="5"/>
      <c r="B22" s="42" t="s">
        <v>63</v>
      </c>
      <c r="C22" s="5" t="s">
        <v>121</v>
      </c>
      <c r="D22" s="5"/>
      <c r="E22" s="5"/>
      <c r="F22" s="5"/>
      <c r="G22" s="5"/>
      <c r="H22" s="5"/>
      <c r="I22" s="5"/>
      <c r="J22" s="5"/>
      <c r="K22" s="5"/>
      <c r="L22" s="4"/>
    </row>
    <row r="23" spans="1:18" x14ac:dyDescent="0.3">
      <c r="A23" s="5"/>
      <c r="B23" s="42" t="s">
        <v>63</v>
      </c>
      <c r="C23" s="5" t="s">
        <v>122</v>
      </c>
      <c r="D23" s="5"/>
      <c r="E23" s="5"/>
      <c r="F23" s="5"/>
      <c r="G23" s="5"/>
      <c r="H23" s="5"/>
      <c r="I23" s="5"/>
      <c r="J23" s="5"/>
      <c r="K23" s="5"/>
      <c r="L23" s="4"/>
    </row>
    <row r="24" spans="1:18" x14ac:dyDescent="0.3">
      <c r="A24" s="23"/>
      <c r="B24" s="23"/>
      <c r="C24" s="23"/>
      <c r="D24" s="23"/>
      <c r="E24" s="23"/>
      <c r="F24" s="23"/>
      <c r="G24" s="23"/>
      <c r="H24" s="23"/>
      <c r="I24" s="23"/>
      <c r="J24" s="23"/>
      <c r="K24" s="23"/>
      <c r="L24" s="23"/>
    </row>
    <row r="25" spans="1:18" x14ac:dyDescent="0.3">
      <c r="A25" s="10"/>
      <c r="B25" s="10"/>
      <c r="C25" s="10"/>
      <c r="D25" s="10"/>
      <c r="E25" s="10"/>
      <c r="F25" s="10"/>
      <c r="G25" s="10"/>
      <c r="H25" s="10"/>
      <c r="I25" s="10"/>
      <c r="J25" s="10"/>
      <c r="K25" s="10"/>
      <c r="L25" s="10"/>
    </row>
    <row r="26" spans="1:18" x14ac:dyDescent="0.3">
      <c r="A26" s="7" t="s">
        <v>11</v>
      </c>
      <c r="B26" s="5" t="s">
        <v>123</v>
      </c>
      <c r="C26" s="5"/>
      <c r="D26" s="5"/>
      <c r="E26" s="5"/>
      <c r="F26" s="5"/>
      <c r="G26" s="5"/>
      <c r="H26" s="5"/>
      <c r="I26" s="5"/>
      <c r="J26" s="5"/>
      <c r="K26" s="5"/>
      <c r="L26" s="5"/>
      <c r="M26" s="12"/>
      <c r="N26" s="12"/>
      <c r="O26" s="12"/>
      <c r="P26" s="12"/>
      <c r="Q26" s="12"/>
      <c r="R26" s="12"/>
    </row>
    <row r="27" spans="1:18" x14ac:dyDescent="0.3">
      <c r="A27" s="4"/>
      <c r="B27" s="4"/>
      <c r="C27" s="4"/>
      <c r="D27" s="4"/>
      <c r="E27" s="4"/>
      <c r="F27" s="4"/>
      <c r="G27" s="5"/>
      <c r="H27" s="5"/>
      <c r="I27" s="5"/>
      <c r="J27" s="5"/>
      <c r="K27" s="5"/>
      <c r="L27" s="5"/>
    </row>
    <row r="28" spans="1:18" x14ac:dyDescent="0.3">
      <c r="A28" s="10"/>
      <c r="B28" s="10"/>
      <c r="C28" s="10"/>
      <c r="D28" s="10"/>
      <c r="E28" s="10"/>
      <c r="F28" s="10"/>
      <c r="G28" s="10"/>
      <c r="H28" s="10"/>
      <c r="I28" s="10"/>
      <c r="J28" s="10"/>
      <c r="K28" s="10"/>
      <c r="L28" s="10"/>
      <c r="M28" s="10"/>
    </row>
    <row r="29" spans="1:18" x14ac:dyDescent="0.3">
      <c r="A29" s="10" t="s">
        <v>10</v>
      </c>
      <c r="B29" s="10"/>
      <c r="C29" s="10"/>
      <c r="D29" s="10"/>
      <c r="E29" s="10"/>
      <c r="F29" s="10"/>
      <c r="G29" s="10"/>
      <c r="H29" s="10"/>
      <c r="I29" s="10"/>
      <c r="J29" s="10"/>
      <c r="K29" s="10"/>
      <c r="L29" s="10"/>
      <c r="M29" s="10"/>
      <c r="N29" s="12"/>
    </row>
    <row r="30" spans="1:18" x14ac:dyDescent="0.3">
      <c r="B30" s="98"/>
      <c r="C30" s="98"/>
      <c r="D30" s="98"/>
      <c r="E30" s="98"/>
      <c r="F30" s="98"/>
      <c r="G30" s="100"/>
      <c r="H30" s="100"/>
      <c r="I30" s="98"/>
      <c r="J30" s="100"/>
      <c r="K30" s="98"/>
      <c r="M30" s="12"/>
      <c r="N30" s="12"/>
    </row>
    <row r="31" spans="1:18" ht="46.8" x14ac:dyDescent="0.3">
      <c r="B31" s="162" t="s">
        <v>388</v>
      </c>
      <c r="C31" s="146" t="s">
        <v>389</v>
      </c>
      <c r="D31" s="146" t="s">
        <v>390</v>
      </c>
      <c r="E31" s="10"/>
      <c r="G31" s="129"/>
      <c r="H31" s="129"/>
      <c r="I31" s="98"/>
      <c r="J31" s="100"/>
      <c r="K31" s="98"/>
      <c r="M31" s="12"/>
      <c r="N31" s="12"/>
    </row>
    <row r="32" spans="1:18" x14ac:dyDescent="0.3">
      <c r="B32" s="202" t="s">
        <v>391</v>
      </c>
      <c r="C32" s="205">
        <f>ROUND(E37*D14,1)</f>
        <v>870</v>
      </c>
      <c r="D32" s="206">
        <f>ROUND(C32*F14,1)</f>
        <v>713.4</v>
      </c>
      <c r="E32" s="10"/>
      <c r="G32" s="129"/>
      <c r="H32" s="129"/>
      <c r="I32" s="98"/>
      <c r="J32" s="100"/>
      <c r="K32" s="98"/>
    </row>
    <row r="33" spans="1:11" x14ac:dyDescent="0.3">
      <c r="B33" s="202" t="s">
        <v>115</v>
      </c>
      <c r="C33" s="206">
        <f>ROUND(E37*D15,1)</f>
        <v>1026</v>
      </c>
      <c r="D33" s="206">
        <f>ROUND(C33*F15,1)</f>
        <v>574.6</v>
      </c>
      <c r="E33" s="10"/>
      <c r="G33" s="129"/>
      <c r="H33" s="129"/>
      <c r="I33" s="98"/>
      <c r="J33" s="100"/>
      <c r="K33" s="98"/>
    </row>
    <row r="34" spans="1:11" x14ac:dyDescent="0.3">
      <c r="B34" s="208" t="s">
        <v>392</v>
      </c>
      <c r="C34" s="209">
        <f>ROUND(E37*D16,1)</f>
        <v>829.3</v>
      </c>
      <c r="D34" s="209">
        <f>ROUND(C34*F16,1)</f>
        <v>655.1</v>
      </c>
      <c r="E34" s="10"/>
      <c r="G34" s="129"/>
      <c r="H34" s="129"/>
      <c r="I34" s="98"/>
      <c r="J34" s="100"/>
      <c r="K34" s="98"/>
    </row>
    <row r="35" spans="1:11" x14ac:dyDescent="0.3">
      <c r="B35" s="202" t="s">
        <v>393</v>
      </c>
      <c r="C35" s="203">
        <f>ROUND(SUM(C32:C34),0)</f>
        <v>2725</v>
      </c>
      <c r="D35" s="203">
        <f>ROUND(SUM(D32:D34),0)</f>
        <v>1943</v>
      </c>
      <c r="E35" s="10"/>
      <c r="G35" s="129"/>
      <c r="H35" s="129"/>
      <c r="I35" s="98"/>
      <c r="J35" s="100"/>
      <c r="K35" s="98"/>
    </row>
    <row r="36" spans="1:11" x14ac:dyDescent="0.3">
      <c r="A36" s="127"/>
      <c r="B36" s="207"/>
      <c r="C36" s="207"/>
      <c r="D36" s="152"/>
      <c r="E36" s="152"/>
      <c r="F36" s="143"/>
      <c r="G36" s="143"/>
      <c r="H36" s="143"/>
      <c r="I36" s="98"/>
      <c r="J36" s="100"/>
      <c r="K36" s="98"/>
    </row>
    <row r="37" spans="1:11" x14ac:dyDescent="0.3">
      <c r="A37" s="127"/>
      <c r="B37" s="143" t="s">
        <v>398</v>
      </c>
      <c r="C37" s="143"/>
      <c r="D37" s="143"/>
      <c r="E37" s="194">
        <f>8/12</f>
        <v>0.66666666666666663</v>
      </c>
      <c r="F37" s="98"/>
      <c r="H37" s="100"/>
      <c r="I37" s="100"/>
      <c r="J37" s="100"/>
      <c r="K37" s="98"/>
    </row>
    <row r="38" spans="1:11" x14ac:dyDescent="0.3">
      <c r="A38" s="127"/>
      <c r="B38" s="143"/>
      <c r="C38" s="143"/>
      <c r="D38" s="143"/>
      <c r="E38" s="143"/>
      <c r="F38" s="143"/>
      <c r="G38" s="98"/>
      <c r="H38" s="100"/>
      <c r="I38" s="100"/>
      <c r="J38" s="100"/>
      <c r="K38" s="98"/>
    </row>
    <row r="39" spans="1:11" x14ac:dyDescent="0.3">
      <c r="A39" s="127"/>
      <c r="B39" s="195" t="s">
        <v>396</v>
      </c>
      <c r="C39" s="195"/>
      <c r="D39" s="195"/>
      <c r="E39" s="210">
        <f>D35*0.129</f>
        <v>250.64700000000002</v>
      </c>
      <c r="F39" s="196"/>
      <c r="G39" s="100"/>
      <c r="I39" s="100"/>
      <c r="J39" s="98"/>
      <c r="K39" s="98"/>
    </row>
    <row r="40" spans="1:11" x14ac:dyDescent="0.3">
      <c r="A40" s="127"/>
      <c r="B40" s="143" t="s">
        <v>397</v>
      </c>
      <c r="C40" s="143"/>
      <c r="D40" s="143"/>
      <c r="E40" s="210">
        <f>E39</f>
        <v>250.64700000000002</v>
      </c>
      <c r="F40" s="143"/>
      <c r="G40" s="100"/>
      <c r="I40" s="100"/>
      <c r="J40" s="98"/>
      <c r="K40" s="98"/>
    </row>
    <row r="41" spans="1:11" x14ac:dyDescent="0.3">
      <c r="A41" s="127"/>
      <c r="B41" s="143"/>
      <c r="C41" s="143"/>
      <c r="D41" s="143"/>
      <c r="E41" s="143"/>
      <c r="F41" s="143"/>
      <c r="G41" s="117"/>
      <c r="H41" s="100"/>
      <c r="I41" s="100"/>
      <c r="J41" s="100"/>
      <c r="K41" s="98"/>
    </row>
    <row r="42" spans="1:11" ht="31.2" x14ac:dyDescent="0.3">
      <c r="A42" s="127"/>
      <c r="B42" s="143"/>
      <c r="C42" s="129"/>
      <c r="D42" s="146" t="s">
        <v>394</v>
      </c>
      <c r="E42" s="146" t="s">
        <v>395</v>
      </c>
      <c r="F42" s="143"/>
      <c r="G42" s="98"/>
      <c r="H42" s="100"/>
      <c r="I42" s="100"/>
      <c r="J42" s="100"/>
      <c r="K42" s="98"/>
    </row>
    <row r="43" spans="1:11" x14ac:dyDescent="0.3">
      <c r="A43" s="127"/>
      <c r="B43" s="197" t="s">
        <v>399</v>
      </c>
      <c r="C43" s="129"/>
      <c r="D43" s="211">
        <f>C35</f>
        <v>2725</v>
      </c>
      <c r="E43" s="212">
        <f>D43*(1-0.25)</f>
        <v>2043.75</v>
      </c>
      <c r="F43" s="143"/>
      <c r="G43" s="98"/>
      <c r="H43" s="100"/>
      <c r="I43" s="100"/>
      <c r="J43" s="100"/>
      <c r="K43" s="98"/>
    </row>
    <row r="44" spans="1:11" x14ac:dyDescent="0.3">
      <c r="B44" s="199" t="s">
        <v>400</v>
      </c>
      <c r="C44" s="100"/>
      <c r="D44" s="213">
        <f>D35</f>
        <v>1943</v>
      </c>
      <c r="E44" s="214">
        <f>D44*(1-0.25)</f>
        <v>1457.25</v>
      </c>
      <c r="F44" s="98"/>
      <c r="G44" s="98"/>
      <c r="H44" s="100"/>
      <c r="I44" s="100"/>
      <c r="J44" s="100"/>
      <c r="K44" s="98"/>
    </row>
    <row r="45" spans="1:11" x14ac:dyDescent="0.3">
      <c r="B45" s="199" t="s">
        <v>401</v>
      </c>
      <c r="C45" s="100"/>
      <c r="D45" s="213">
        <f>E39</f>
        <v>250.64700000000002</v>
      </c>
      <c r="E45" s="213">
        <f>D45</f>
        <v>250.64700000000002</v>
      </c>
      <c r="F45" s="98"/>
      <c r="G45" s="98"/>
      <c r="H45" s="100"/>
      <c r="I45" s="100"/>
      <c r="J45" s="100"/>
      <c r="K45" s="98"/>
    </row>
    <row r="46" spans="1:11" x14ac:dyDescent="0.3">
      <c r="B46" s="199" t="s">
        <v>402</v>
      </c>
      <c r="C46" s="100"/>
      <c r="D46" s="215"/>
      <c r="E46" s="215">
        <f>SUM(E44:E45)</f>
        <v>1707.8969999999999</v>
      </c>
      <c r="F46" s="98"/>
      <c r="G46" s="98"/>
      <c r="H46" s="100"/>
      <c r="I46" s="100"/>
      <c r="J46" s="100"/>
      <c r="K46" s="98"/>
    </row>
    <row r="47" spans="1:11" x14ac:dyDescent="0.3">
      <c r="B47" s="199"/>
      <c r="C47" s="98"/>
      <c r="D47" s="215"/>
      <c r="E47" s="215"/>
      <c r="F47" s="192"/>
      <c r="G47" s="192"/>
      <c r="H47" s="100"/>
      <c r="I47" s="100"/>
      <c r="J47" s="100"/>
      <c r="K47" s="98"/>
    </row>
    <row r="48" spans="1:11" x14ac:dyDescent="0.3">
      <c r="B48" s="98" t="s">
        <v>403</v>
      </c>
      <c r="C48" s="98"/>
      <c r="D48" s="216"/>
      <c r="E48" s="215">
        <f>D43*0.16*0.3</f>
        <v>130.79999999999998</v>
      </c>
      <c r="F48" s="99"/>
      <c r="G48" s="192"/>
      <c r="H48" s="100"/>
      <c r="I48" s="100"/>
      <c r="J48" s="100"/>
      <c r="K48" s="98"/>
    </row>
    <row r="49" spans="2:11" x14ac:dyDescent="0.3">
      <c r="B49" s="98"/>
      <c r="C49" s="98"/>
      <c r="D49" s="216"/>
      <c r="E49" s="215"/>
      <c r="F49" s="99"/>
      <c r="G49" s="201"/>
      <c r="H49" s="100"/>
      <c r="I49" s="100"/>
      <c r="J49" s="100"/>
      <c r="K49" s="98"/>
    </row>
    <row r="50" spans="2:11" x14ac:dyDescent="0.3">
      <c r="B50" s="98" t="s">
        <v>404</v>
      </c>
      <c r="C50" s="98"/>
      <c r="D50" s="216"/>
      <c r="E50" s="215">
        <f>D43*0.032</f>
        <v>87.2</v>
      </c>
      <c r="F50" s="99"/>
      <c r="G50" s="98"/>
      <c r="H50" s="100"/>
      <c r="I50" s="100"/>
      <c r="J50" s="100"/>
      <c r="K50" s="98"/>
    </row>
    <row r="51" spans="2:11" x14ac:dyDescent="0.3">
      <c r="B51" s="98"/>
      <c r="C51" s="98"/>
      <c r="D51" s="216"/>
      <c r="E51" s="215"/>
      <c r="F51" s="99"/>
      <c r="G51" s="98"/>
      <c r="H51" s="100"/>
      <c r="I51" s="100"/>
      <c r="J51" s="100"/>
      <c r="K51" s="98"/>
    </row>
    <row r="52" spans="2:11" x14ac:dyDescent="0.3">
      <c r="B52" s="98" t="s">
        <v>405</v>
      </c>
      <c r="C52" s="98"/>
      <c r="D52" s="216"/>
      <c r="E52" s="215">
        <f>SUM(E46,E48,E50)</f>
        <v>1925.8969999999999</v>
      </c>
      <c r="F52" s="98"/>
      <c r="G52" s="98"/>
      <c r="H52" s="100"/>
      <c r="I52" s="100"/>
      <c r="J52" s="100"/>
      <c r="K52" s="98"/>
    </row>
    <row r="53" spans="2:11" x14ac:dyDescent="0.3">
      <c r="B53" s="98" t="s">
        <v>406</v>
      </c>
      <c r="C53" s="98"/>
      <c r="D53" s="216"/>
      <c r="E53" s="215">
        <f>ROUND(E43-E52,0)</f>
        <v>118</v>
      </c>
      <c r="F53" s="98"/>
      <c r="G53" s="98"/>
      <c r="H53" s="100"/>
      <c r="I53" s="100"/>
      <c r="J53" s="100"/>
      <c r="K53" s="98"/>
    </row>
    <row r="54" spans="2:11" x14ac:dyDescent="0.3">
      <c r="B54" s="98"/>
      <c r="C54" s="98"/>
      <c r="D54" s="98"/>
      <c r="E54" s="98"/>
      <c r="F54" s="98"/>
      <c r="G54" s="98"/>
      <c r="H54" s="98"/>
      <c r="I54" s="98"/>
      <c r="J54" s="98"/>
      <c r="K54" s="98"/>
    </row>
  </sheetData>
  <mergeCells count="13">
    <mergeCell ref="F13:G13"/>
    <mergeCell ref="F14:G14"/>
    <mergeCell ref="F15:G15"/>
    <mergeCell ref="F16:G16"/>
    <mergeCell ref="A10:L11"/>
    <mergeCell ref="B13:C13"/>
    <mergeCell ref="B15:C15"/>
    <mergeCell ref="B14:C14"/>
    <mergeCell ref="B16:C16"/>
    <mergeCell ref="D13:E13"/>
    <mergeCell ref="D14:E14"/>
    <mergeCell ref="D15:E15"/>
    <mergeCell ref="D16:E16"/>
  </mergeCells>
  <pageMargins left="0.39370078740157483" right="0.39370078740157483" top="0.39370078740157483" bottom="0.39370078740157483" header="0.31496062992125984" footer="0.31496062992125984"/>
  <pageSetup scale="88" orientation="portrait" verticalDpi="1200" r:id="rId1"/>
  <headerFooter>
    <oddFooter>&amp;L&amp;F [&amp;A]&amp;R&amp;P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452D0-AF69-469E-9541-F85A01F53BA2}">
  <dimension ref="A1:AB82"/>
  <sheetViews>
    <sheetView zoomScaleNormal="100" zoomScaleSheetLayoutView="62" workbookViewId="0"/>
  </sheetViews>
  <sheetFormatPr defaultRowHeight="15.6" x14ac:dyDescent="0.3"/>
  <cols>
    <col min="1" max="1" width="8.88671875" style="2" customWidth="1"/>
    <col min="2" max="2" width="18.109375" style="2" customWidth="1"/>
    <col min="3" max="3" width="14.109375" style="2" customWidth="1"/>
    <col min="4" max="8" width="13.77734375" style="2" customWidth="1"/>
    <col min="9" max="28" width="4" style="2" customWidth="1"/>
    <col min="29" max="16384" width="8.88671875" style="2"/>
  </cols>
  <sheetData>
    <row r="1" spans="1:17" ht="17.399999999999999" x14ac:dyDescent="0.3">
      <c r="A1" s="3" t="s">
        <v>124</v>
      </c>
      <c r="B1" s="5"/>
      <c r="C1" s="23" t="s">
        <v>125</v>
      </c>
      <c r="D1" s="5"/>
      <c r="E1" s="5"/>
      <c r="F1" s="5"/>
      <c r="G1" s="5"/>
      <c r="H1" s="5"/>
      <c r="I1" s="5"/>
      <c r="J1" s="5"/>
      <c r="K1" s="5"/>
      <c r="L1" s="4"/>
      <c r="M1" s="56"/>
      <c r="N1" s="56"/>
      <c r="O1" s="56"/>
      <c r="P1" s="56"/>
      <c r="Q1" s="56"/>
    </row>
    <row r="2" spans="1:17" x14ac:dyDescent="0.3">
      <c r="A2" s="5"/>
      <c r="B2" s="5"/>
      <c r="C2" s="5"/>
      <c r="D2" s="5"/>
      <c r="E2" s="5"/>
      <c r="F2" s="5"/>
      <c r="G2" s="5"/>
      <c r="H2" s="5"/>
      <c r="I2" s="5"/>
      <c r="J2" s="5"/>
      <c r="K2" s="5"/>
      <c r="L2" s="4"/>
      <c r="M2" s="56"/>
      <c r="N2" s="56"/>
      <c r="O2" s="56"/>
      <c r="P2" s="56"/>
      <c r="Q2" s="56"/>
    </row>
    <row r="4" spans="1:17" x14ac:dyDescent="0.3">
      <c r="A4" s="6" t="s">
        <v>51</v>
      </c>
      <c r="B4" s="4"/>
      <c r="C4" s="4"/>
      <c r="D4" s="4"/>
      <c r="E4" s="4"/>
      <c r="F4" s="4"/>
      <c r="G4" s="4"/>
      <c r="H4" s="4"/>
      <c r="I4" s="4"/>
      <c r="J4" s="4"/>
      <c r="K4" s="4"/>
      <c r="L4" s="4"/>
      <c r="M4" s="56"/>
      <c r="N4" s="56"/>
      <c r="O4" s="56"/>
      <c r="P4" s="56"/>
      <c r="Q4" s="56"/>
    </row>
    <row r="5" spans="1:17" x14ac:dyDescent="0.3">
      <c r="A5" s="10"/>
      <c r="B5" s="10"/>
      <c r="C5" s="10"/>
      <c r="D5" s="10"/>
      <c r="E5" s="10"/>
      <c r="F5" s="10"/>
      <c r="G5" s="10"/>
      <c r="H5" s="10"/>
      <c r="I5" s="10"/>
      <c r="J5" s="10"/>
      <c r="K5" s="10"/>
      <c r="L5" s="10"/>
    </row>
    <row r="6" spans="1:17" x14ac:dyDescent="0.3">
      <c r="A6" s="6" t="s">
        <v>33</v>
      </c>
      <c r="B6" s="4"/>
      <c r="C6" s="4"/>
      <c r="D6" s="4"/>
      <c r="E6" s="4"/>
      <c r="F6" s="4"/>
      <c r="G6" s="4"/>
      <c r="H6" s="4"/>
      <c r="I6" s="4"/>
      <c r="J6" s="4"/>
      <c r="K6" s="4"/>
      <c r="L6" s="4"/>
      <c r="M6" s="56"/>
      <c r="N6" s="56"/>
      <c r="O6" s="56"/>
      <c r="P6" s="56"/>
      <c r="Q6" s="56"/>
    </row>
    <row r="7" spans="1:17" x14ac:dyDescent="0.3">
      <c r="A7" s="10"/>
      <c r="B7" s="10"/>
      <c r="C7" s="10"/>
      <c r="D7" s="10"/>
      <c r="E7" s="10"/>
      <c r="F7" s="10"/>
      <c r="G7" s="10"/>
      <c r="H7" s="10"/>
      <c r="I7" s="10"/>
      <c r="J7" s="10"/>
      <c r="K7" s="10"/>
      <c r="L7" s="10"/>
    </row>
    <row r="8" spans="1:17" x14ac:dyDescent="0.3">
      <c r="A8" s="6" t="s">
        <v>47</v>
      </c>
      <c r="B8" s="4"/>
      <c r="C8" s="4"/>
      <c r="D8" s="4"/>
      <c r="E8" s="4"/>
      <c r="F8" s="4"/>
      <c r="G8" s="4"/>
      <c r="H8" s="4"/>
      <c r="I8" s="4"/>
      <c r="J8" s="4"/>
      <c r="K8" s="4"/>
      <c r="L8" s="4"/>
      <c r="M8" s="56"/>
      <c r="N8" s="56"/>
      <c r="O8" s="56"/>
      <c r="P8" s="56"/>
      <c r="Q8" s="56"/>
    </row>
    <row r="9" spans="1:17" x14ac:dyDescent="0.3">
      <c r="A9" s="10"/>
      <c r="B9" s="10"/>
      <c r="C9" s="10"/>
      <c r="D9" s="10"/>
      <c r="E9" s="10"/>
      <c r="F9" s="10"/>
      <c r="G9" s="10"/>
      <c r="H9" s="10"/>
      <c r="I9" s="10"/>
      <c r="J9" s="10"/>
      <c r="K9" s="10"/>
      <c r="L9" s="10"/>
    </row>
    <row r="10" spans="1:17" ht="15.6" customHeight="1" x14ac:dyDescent="0.3">
      <c r="A10" s="5" t="s">
        <v>126</v>
      </c>
      <c r="B10" s="5"/>
      <c r="C10" s="5"/>
      <c r="D10" s="5"/>
      <c r="E10" s="5"/>
      <c r="F10" s="5"/>
      <c r="G10" s="5"/>
      <c r="H10" s="5"/>
      <c r="I10" s="5"/>
      <c r="J10" s="5"/>
      <c r="K10" s="5"/>
      <c r="L10" s="4"/>
      <c r="M10" s="56"/>
      <c r="N10" s="56"/>
      <c r="O10" s="56"/>
      <c r="P10" s="56"/>
      <c r="Q10" s="56"/>
    </row>
    <row r="11" spans="1:17" x14ac:dyDescent="0.3">
      <c r="A11" s="23"/>
      <c r="B11" s="23"/>
      <c r="C11" s="23"/>
      <c r="D11" s="23"/>
      <c r="E11" s="23"/>
      <c r="F11" s="23"/>
      <c r="G11" s="23"/>
      <c r="H11" s="23"/>
      <c r="I11" s="23"/>
      <c r="J11" s="23"/>
      <c r="K11" s="23"/>
      <c r="L11" s="23"/>
      <c r="M11" s="56"/>
      <c r="N11" s="56"/>
      <c r="O11" s="56"/>
      <c r="P11" s="56"/>
      <c r="Q11" s="56"/>
    </row>
    <row r="12" spans="1:17" ht="62.4" x14ac:dyDescent="0.3">
      <c r="A12" s="23"/>
      <c r="B12" s="66" t="s">
        <v>127</v>
      </c>
      <c r="C12" s="66" t="s">
        <v>128</v>
      </c>
      <c r="D12" s="66" t="s">
        <v>131</v>
      </c>
      <c r="E12" s="66" t="s">
        <v>130</v>
      </c>
      <c r="F12" s="23"/>
      <c r="G12" s="23"/>
      <c r="H12" s="23"/>
      <c r="I12" s="23"/>
      <c r="J12" s="23"/>
      <c r="K12" s="23"/>
      <c r="L12" s="23"/>
      <c r="M12" s="56"/>
      <c r="N12" s="56"/>
      <c r="O12" s="56"/>
      <c r="P12" s="56"/>
      <c r="Q12" s="56"/>
    </row>
    <row r="13" spans="1:17" x14ac:dyDescent="0.3">
      <c r="A13" s="23"/>
      <c r="B13" s="22">
        <v>2015</v>
      </c>
      <c r="C13" s="21">
        <v>16100</v>
      </c>
      <c r="D13" s="21">
        <v>11150</v>
      </c>
      <c r="E13" s="67">
        <v>1.03</v>
      </c>
      <c r="F13" s="23"/>
      <c r="G13" s="23"/>
      <c r="H13" s="23"/>
      <c r="I13" s="23"/>
      <c r="J13" s="23"/>
      <c r="K13" s="23"/>
      <c r="L13" s="23"/>
      <c r="M13" s="56"/>
      <c r="N13" s="56"/>
      <c r="O13" s="56"/>
      <c r="P13" s="56"/>
      <c r="Q13" s="56"/>
    </row>
    <row r="14" spans="1:17" x14ac:dyDescent="0.3">
      <c r="A14" s="23"/>
      <c r="B14" s="22">
        <v>2016</v>
      </c>
      <c r="C14" s="21">
        <v>17600</v>
      </c>
      <c r="D14" s="21">
        <v>11380</v>
      </c>
      <c r="E14" s="67">
        <v>1.0549999999999999</v>
      </c>
      <c r="F14" s="23"/>
      <c r="G14" s="23"/>
      <c r="H14" s="23"/>
      <c r="I14" s="23"/>
      <c r="J14" s="23"/>
      <c r="K14" s="23"/>
      <c r="L14" s="23"/>
      <c r="M14" s="56"/>
      <c r="N14" s="56"/>
      <c r="O14" s="56"/>
      <c r="P14" s="56"/>
      <c r="Q14" s="56"/>
    </row>
    <row r="15" spans="1:17" x14ac:dyDescent="0.3">
      <c r="A15" s="23"/>
      <c r="B15" s="22">
        <v>2017</v>
      </c>
      <c r="C15" s="21">
        <v>18300</v>
      </c>
      <c r="D15" s="21">
        <v>11190</v>
      </c>
      <c r="E15" s="67">
        <v>1.1000000000000001</v>
      </c>
      <c r="F15" s="23"/>
      <c r="G15" s="23"/>
      <c r="H15" s="23"/>
      <c r="I15" s="23"/>
      <c r="J15" s="23"/>
      <c r="K15" s="23"/>
      <c r="L15" s="23"/>
      <c r="M15" s="56"/>
      <c r="N15" s="56"/>
      <c r="O15" s="56"/>
      <c r="P15" s="56"/>
      <c r="Q15" s="56"/>
    </row>
    <row r="16" spans="1:17" x14ac:dyDescent="0.3">
      <c r="A16" s="23"/>
      <c r="B16" s="22">
        <v>2018</v>
      </c>
      <c r="C16" s="21">
        <v>19800</v>
      </c>
      <c r="D16" s="21">
        <v>11470</v>
      </c>
      <c r="E16" s="67">
        <v>1.3</v>
      </c>
      <c r="F16" s="23"/>
      <c r="G16" s="23"/>
      <c r="H16" s="23"/>
      <c r="I16" s="23"/>
      <c r="J16" s="23"/>
      <c r="K16" s="23"/>
      <c r="L16" s="23"/>
      <c r="M16" s="56"/>
      <c r="N16" s="56"/>
      <c r="O16" s="56"/>
      <c r="P16" s="56"/>
      <c r="Q16" s="56"/>
    </row>
    <row r="17" spans="1:18" x14ac:dyDescent="0.3">
      <c r="A17" s="23"/>
      <c r="B17" s="22">
        <v>2019</v>
      </c>
      <c r="C17" s="21">
        <v>21600</v>
      </c>
      <c r="D17" s="21">
        <v>9040</v>
      </c>
      <c r="E17" s="67">
        <v>1.7</v>
      </c>
      <c r="F17" s="23"/>
      <c r="G17" s="23"/>
      <c r="H17" s="23"/>
      <c r="I17" s="23"/>
      <c r="J17" s="23"/>
      <c r="K17" s="23"/>
      <c r="L17" s="23"/>
      <c r="M17" s="56"/>
      <c r="N17" s="56"/>
      <c r="O17" s="56"/>
      <c r="P17" s="56"/>
      <c r="Q17" s="56"/>
    </row>
    <row r="18" spans="1:18" x14ac:dyDescent="0.3">
      <c r="A18" s="23"/>
      <c r="B18" s="23"/>
      <c r="C18" s="23"/>
      <c r="D18" s="23"/>
      <c r="E18" s="23"/>
      <c r="F18" s="23"/>
      <c r="G18" s="23"/>
      <c r="H18" s="23"/>
      <c r="I18" s="23"/>
      <c r="J18" s="23"/>
      <c r="K18" s="23"/>
      <c r="L18" s="23"/>
      <c r="M18" s="56"/>
      <c r="N18" s="56"/>
      <c r="O18" s="56"/>
      <c r="P18" s="56"/>
      <c r="Q18" s="56"/>
    </row>
    <row r="19" spans="1:18" x14ac:dyDescent="0.3">
      <c r="A19" s="23"/>
      <c r="B19" s="42" t="s">
        <v>63</v>
      </c>
      <c r="C19" s="23" t="s">
        <v>8</v>
      </c>
      <c r="D19" s="23"/>
      <c r="E19" s="23"/>
      <c r="F19" s="23"/>
      <c r="G19" s="23"/>
      <c r="H19" s="23"/>
      <c r="I19" s="23"/>
      <c r="J19" s="23"/>
      <c r="K19" s="23"/>
      <c r="L19" s="23"/>
      <c r="M19" s="56"/>
      <c r="N19" s="56"/>
      <c r="O19" s="56"/>
      <c r="P19" s="56"/>
      <c r="Q19" s="56"/>
    </row>
    <row r="20" spans="1:18" x14ac:dyDescent="0.3">
      <c r="A20" s="23"/>
      <c r="B20" s="42" t="s">
        <v>63</v>
      </c>
      <c r="C20" s="23" t="s">
        <v>132</v>
      </c>
      <c r="D20" s="23"/>
      <c r="E20" s="23"/>
      <c r="F20" s="23"/>
      <c r="G20" s="23"/>
      <c r="H20" s="23"/>
      <c r="I20" s="23"/>
      <c r="J20" s="23"/>
      <c r="K20" s="23"/>
      <c r="L20" s="23"/>
      <c r="M20" s="56"/>
      <c r="N20" s="56"/>
      <c r="O20" s="56"/>
      <c r="P20" s="56"/>
      <c r="Q20" s="56"/>
    </row>
    <row r="21" spans="1:18" x14ac:dyDescent="0.3">
      <c r="A21" s="23"/>
      <c r="B21" s="23"/>
      <c r="C21" s="42" t="s">
        <v>63</v>
      </c>
      <c r="D21" s="23" t="s">
        <v>133</v>
      </c>
      <c r="E21" s="23"/>
      <c r="F21" s="23"/>
      <c r="G21" s="23"/>
      <c r="H21" s="23"/>
      <c r="I21" s="23"/>
      <c r="J21" s="23"/>
      <c r="K21" s="23"/>
      <c r="L21" s="23"/>
      <c r="M21" s="56"/>
      <c r="N21" s="56"/>
      <c r="O21" s="56"/>
      <c r="P21" s="56"/>
      <c r="Q21" s="56"/>
    </row>
    <row r="22" spans="1:18" x14ac:dyDescent="0.3">
      <c r="A22" s="23"/>
      <c r="B22" s="23"/>
      <c r="C22" s="42" t="s">
        <v>63</v>
      </c>
      <c r="D22" s="23" t="s">
        <v>134</v>
      </c>
      <c r="E22" s="23"/>
      <c r="F22" s="23"/>
      <c r="G22" s="23"/>
      <c r="H22" s="23"/>
      <c r="I22" s="23"/>
      <c r="J22" s="23"/>
      <c r="K22" s="23"/>
      <c r="L22" s="23"/>
      <c r="M22" s="56"/>
      <c r="N22" s="56"/>
      <c r="O22" s="56"/>
      <c r="P22" s="56"/>
      <c r="Q22" s="56"/>
    </row>
    <row r="23" spans="1:18" x14ac:dyDescent="0.3">
      <c r="A23" s="23"/>
      <c r="B23" s="42" t="s">
        <v>63</v>
      </c>
      <c r="C23" s="23" t="s">
        <v>135</v>
      </c>
      <c r="D23" s="23"/>
      <c r="E23" s="23"/>
      <c r="F23" s="23"/>
      <c r="G23" s="23"/>
      <c r="H23" s="23"/>
      <c r="I23" s="23"/>
      <c r="J23" s="23"/>
      <c r="K23" s="23"/>
      <c r="L23" s="23"/>
      <c r="M23" s="56"/>
      <c r="N23" s="56"/>
      <c r="O23" s="56"/>
      <c r="P23" s="56"/>
      <c r="Q23" s="56"/>
    </row>
    <row r="24" spans="1:18" x14ac:dyDescent="0.3">
      <c r="A24" s="23"/>
      <c r="B24" s="42" t="s">
        <v>63</v>
      </c>
      <c r="C24" s="23" t="s">
        <v>136</v>
      </c>
      <c r="D24" s="23"/>
      <c r="E24" s="23"/>
      <c r="F24" s="23"/>
      <c r="G24" s="23"/>
      <c r="H24" s="23"/>
      <c r="I24" s="23"/>
      <c r="J24" s="23"/>
      <c r="K24" s="23"/>
      <c r="L24" s="23"/>
      <c r="M24" s="56"/>
      <c r="N24" s="56"/>
      <c r="O24" s="56"/>
      <c r="P24" s="56"/>
      <c r="Q24" s="56"/>
    </row>
    <row r="25" spans="1:18" x14ac:dyDescent="0.3">
      <c r="A25" s="23"/>
      <c r="B25" s="42" t="s">
        <v>63</v>
      </c>
      <c r="C25" s="23" t="s">
        <v>137</v>
      </c>
      <c r="D25" s="23"/>
      <c r="E25" s="23"/>
      <c r="F25" s="23"/>
      <c r="G25" s="23"/>
      <c r="H25" s="23"/>
      <c r="I25" s="23"/>
      <c r="J25" s="23"/>
      <c r="K25" s="23"/>
      <c r="L25" s="23"/>
      <c r="M25" s="56"/>
      <c r="N25" s="56"/>
      <c r="O25" s="56"/>
      <c r="P25" s="56"/>
      <c r="Q25" s="56"/>
    </row>
    <row r="26" spans="1:18" x14ac:dyDescent="0.3">
      <c r="A26" s="23"/>
      <c r="B26" s="23"/>
      <c r="C26" s="23"/>
      <c r="D26" s="23"/>
      <c r="E26" s="23"/>
      <c r="F26" s="23"/>
      <c r="G26" s="23"/>
      <c r="H26" s="23"/>
      <c r="I26" s="23"/>
      <c r="J26" s="23"/>
      <c r="K26" s="23"/>
      <c r="L26" s="23"/>
      <c r="M26" s="56"/>
      <c r="N26" s="56"/>
      <c r="O26" s="56"/>
      <c r="P26" s="56"/>
      <c r="Q26" s="56"/>
    </row>
    <row r="28" spans="1:18" x14ac:dyDescent="0.3">
      <c r="A28" s="7" t="s">
        <v>11</v>
      </c>
      <c r="B28" s="5" t="s">
        <v>138</v>
      </c>
      <c r="C28" s="5"/>
      <c r="D28" s="5"/>
      <c r="E28" s="5"/>
      <c r="F28" s="5"/>
      <c r="G28" s="5"/>
      <c r="H28" s="5"/>
      <c r="I28" s="5"/>
      <c r="J28" s="5"/>
      <c r="K28" s="5"/>
      <c r="L28" s="5"/>
      <c r="M28" s="23"/>
      <c r="N28" s="23"/>
      <c r="O28" s="23"/>
      <c r="P28" s="23"/>
      <c r="Q28" s="23"/>
      <c r="R28" s="12"/>
    </row>
    <row r="29" spans="1:18" x14ac:dyDescent="0.3">
      <c r="A29" s="4"/>
      <c r="B29" s="4"/>
      <c r="C29" s="4"/>
      <c r="D29" s="4"/>
      <c r="E29" s="4"/>
      <c r="F29" s="4"/>
      <c r="G29" s="5"/>
      <c r="H29" s="5"/>
      <c r="I29" s="5"/>
      <c r="J29" s="5"/>
      <c r="K29" s="5"/>
      <c r="L29" s="5"/>
      <c r="M29" s="56"/>
      <c r="N29" s="56"/>
      <c r="O29" s="56"/>
      <c r="P29" s="56"/>
      <c r="Q29" s="56"/>
    </row>
    <row r="30" spans="1:18" x14ac:dyDescent="0.3">
      <c r="A30" s="10"/>
      <c r="B30" s="10"/>
      <c r="C30" s="10"/>
      <c r="D30" s="10"/>
      <c r="E30" s="10"/>
      <c r="F30" s="10"/>
      <c r="G30" s="10"/>
      <c r="H30" s="10"/>
      <c r="I30" s="10"/>
      <c r="J30" s="10"/>
      <c r="K30" s="10"/>
      <c r="L30" s="10"/>
      <c r="M30" s="10"/>
    </row>
    <row r="31" spans="1:18" x14ac:dyDescent="0.3">
      <c r="A31" s="10" t="s">
        <v>10</v>
      </c>
      <c r="B31" s="10"/>
      <c r="C31" s="10"/>
      <c r="D31" s="10"/>
      <c r="E31" s="10"/>
      <c r="F31" s="10"/>
      <c r="G31" s="10"/>
      <c r="H31" s="10"/>
      <c r="I31" s="10"/>
      <c r="J31" s="10"/>
      <c r="K31" s="10"/>
      <c r="L31" s="10"/>
      <c r="M31" s="10"/>
      <c r="N31" s="12"/>
    </row>
    <row r="32" spans="1:18" x14ac:dyDescent="0.3">
      <c r="A32" s="10"/>
      <c r="B32" s="10"/>
      <c r="C32" s="10"/>
      <c r="D32" s="10"/>
      <c r="E32" s="10"/>
      <c r="F32" s="10"/>
      <c r="G32" s="10"/>
      <c r="H32" s="10"/>
      <c r="I32" s="10"/>
      <c r="J32" s="10"/>
      <c r="K32" s="10"/>
      <c r="L32" s="10"/>
      <c r="M32" s="10"/>
      <c r="N32" s="12"/>
    </row>
    <row r="33" spans="1:28" ht="16.2" x14ac:dyDescent="0.35">
      <c r="A33" s="13" t="s">
        <v>18</v>
      </c>
      <c r="B33" s="10"/>
      <c r="C33" s="10"/>
      <c r="D33" s="10"/>
      <c r="E33" s="10"/>
      <c r="F33" s="10"/>
      <c r="G33" s="10"/>
      <c r="H33" s="10"/>
      <c r="I33" s="10"/>
      <c r="J33" s="10"/>
      <c r="K33" s="10"/>
      <c r="L33" s="10"/>
      <c r="M33" s="10"/>
      <c r="N33" s="12"/>
    </row>
    <row r="34" spans="1:28" x14ac:dyDescent="0.3">
      <c r="I34" s="375">
        <v>2015</v>
      </c>
      <c r="J34" s="375"/>
      <c r="K34" s="375"/>
      <c r="L34" s="375"/>
      <c r="M34" s="375">
        <f>I34+1</f>
        <v>2016</v>
      </c>
      <c r="N34" s="375"/>
      <c r="O34" s="375"/>
      <c r="P34" s="375"/>
      <c r="Q34" s="375">
        <f>M34+1</f>
        <v>2017</v>
      </c>
      <c r="R34" s="375"/>
      <c r="S34" s="375"/>
      <c r="T34" s="375"/>
      <c r="U34" s="375">
        <f>Q34+1</f>
        <v>2018</v>
      </c>
      <c r="V34" s="375"/>
      <c r="W34" s="375"/>
      <c r="X34" s="375"/>
      <c r="Y34" s="375">
        <f>U34+1</f>
        <v>2019</v>
      </c>
      <c r="Z34" s="375"/>
      <c r="AA34" s="375"/>
      <c r="AB34" s="375"/>
    </row>
    <row r="35" spans="1:28" ht="19.95" customHeight="1" x14ac:dyDescent="0.3">
      <c r="I35" s="246"/>
      <c r="J35" s="247"/>
      <c r="K35" s="247"/>
      <c r="L35" s="248"/>
      <c r="M35" s="246"/>
      <c r="N35" s="247"/>
      <c r="O35" s="247"/>
      <c r="P35" s="248"/>
      <c r="Q35" s="246"/>
      <c r="R35" s="247"/>
      <c r="S35" s="247"/>
      <c r="T35" s="248"/>
      <c r="U35" s="246"/>
      <c r="V35" s="247"/>
      <c r="W35" s="247"/>
      <c r="X35" s="248"/>
      <c r="Y35" s="246"/>
      <c r="Z35" s="247"/>
      <c r="AA35" s="247"/>
      <c r="AB35" s="248"/>
    </row>
    <row r="36" spans="1:28" ht="19.95" customHeight="1" x14ac:dyDescent="0.3">
      <c r="I36" s="249"/>
      <c r="J36" s="250" t="s">
        <v>150</v>
      </c>
      <c r="K36" s="250"/>
      <c r="L36" s="251"/>
      <c r="M36" s="249"/>
      <c r="N36" s="250"/>
      <c r="O36" s="250"/>
      <c r="P36" s="251"/>
      <c r="Q36" s="249"/>
      <c r="R36" s="250" t="s">
        <v>151</v>
      </c>
      <c r="S36" s="250"/>
      <c r="T36" s="251"/>
      <c r="U36" s="249"/>
      <c r="V36" s="250"/>
      <c r="W36" s="250"/>
      <c r="X36" s="251"/>
      <c r="Y36" s="249"/>
      <c r="Z36" s="250"/>
      <c r="AA36" s="250" t="s">
        <v>152</v>
      </c>
      <c r="AB36" s="251"/>
    </row>
    <row r="37" spans="1:28" ht="19.95" customHeight="1" x14ac:dyDescent="0.3">
      <c r="I37" s="249"/>
      <c r="J37" s="250"/>
      <c r="K37" s="250"/>
      <c r="L37" s="251"/>
      <c r="M37" s="249"/>
      <c r="N37" s="250"/>
      <c r="O37" s="250"/>
      <c r="P37" s="251"/>
      <c r="Q37" s="249"/>
      <c r="R37" s="250"/>
      <c r="S37" s="250"/>
      <c r="T37" s="251"/>
      <c r="U37" s="249"/>
      <c r="V37" s="250"/>
      <c r="W37" s="250"/>
      <c r="X37" s="251"/>
      <c r="Y37" s="249"/>
      <c r="Z37" s="250"/>
      <c r="AA37" s="250"/>
      <c r="AB37" s="251"/>
    </row>
    <row r="38" spans="1:28" ht="19.95" customHeight="1" x14ac:dyDescent="0.3">
      <c r="I38" s="252"/>
      <c r="J38" s="253"/>
      <c r="K38" s="253"/>
      <c r="L38" s="254"/>
      <c r="M38" s="252"/>
      <c r="N38" s="253"/>
      <c r="O38" s="253"/>
      <c r="P38" s="254"/>
      <c r="Q38" s="252"/>
      <c r="R38" s="253"/>
      <c r="S38" s="253"/>
      <c r="T38" s="254"/>
      <c r="U38" s="252"/>
      <c r="V38" s="253"/>
      <c r="W38" s="253"/>
      <c r="X38" s="254"/>
      <c r="Y38" s="252"/>
      <c r="Z38" s="253"/>
      <c r="AA38" s="253"/>
      <c r="AB38" s="254"/>
    </row>
    <row r="39" spans="1:28" x14ac:dyDescent="0.3">
      <c r="I39" s="14"/>
      <c r="J39" s="14"/>
      <c r="K39" s="14"/>
      <c r="L39" s="14"/>
      <c r="M39" s="14"/>
      <c r="N39" s="14"/>
      <c r="O39" s="14"/>
      <c r="P39" s="14"/>
      <c r="Q39" s="14"/>
      <c r="R39" s="14"/>
      <c r="S39" s="14"/>
      <c r="T39" s="14"/>
      <c r="U39" s="14"/>
      <c r="V39" s="14"/>
      <c r="W39" s="14"/>
      <c r="X39" s="14"/>
      <c r="Y39" s="14"/>
      <c r="Z39" s="14"/>
      <c r="AA39" s="14"/>
      <c r="AB39" s="14"/>
    </row>
    <row r="40" spans="1:28" x14ac:dyDescent="0.3">
      <c r="A40" s="217"/>
      <c r="B40" s="103"/>
      <c r="C40" s="147" t="s">
        <v>407</v>
      </c>
      <c r="D40" s="346" t="s">
        <v>408</v>
      </c>
      <c r="E40" s="346"/>
      <c r="F40" s="346"/>
      <c r="G40" s="346"/>
      <c r="H40" s="346"/>
      <c r="I40" s="14"/>
      <c r="J40" s="14"/>
      <c r="K40" s="14"/>
      <c r="L40" s="14"/>
      <c r="M40" s="14"/>
      <c r="N40" s="14"/>
      <c r="O40" s="14"/>
      <c r="P40" s="14"/>
      <c r="Q40" s="14"/>
      <c r="R40" s="14"/>
      <c r="S40" s="14"/>
      <c r="T40" s="14"/>
      <c r="U40" s="14"/>
      <c r="V40" s="14"/>
      <c r="W40" s="14"/>
      <c r="X40" s="14"/>
      <c r="Y40" s="14"/>
      <c r="Z40" s="14"/>
      <c r="AA40" s="14"/>
      <c r="AB40" s="14"/>
    </row>
    <row r="41" spans="1:28" x14ac:dyDescent="0.3">
      <c r="A41" s="217"/>
      <c r="B41" s="162" t="s">
        <v>409</v>
      </c>
      <c r="C41" s="162" t="s">
        <v>410</v>
      </c>
      <c r="D41" s="162">
        <v>2015</v>
      </c>
      <c r="E41" s="162">
        <v>2016</v>
      </c>
      <c r="F41" s="162">
        <v>2017</v>
      </c>
      <c r="G41" s="162">
        <v>2018</v>
      </c>
      <c r="H41" s="162">
        <v>2019</v>
      </c>
      <c r="I41" s="14"/>
      <c r="J41" s="14"/>
      <c r="K41" s="14"/>
      <c r="L41" s="14"/>
      <c r="M41" s="14"/>
      <c r="N41" s="14"/>
      <c r="O41" s="14"/>
      <c r="P41" s="14"/>
      <c r="Q41" s="14"/>
      <c r="R41" s="14"/>
      <c r="S41" s="14"/>
      <c r="T41" s="14"/>
      <c r="U41" s="14"/>
      <c r="V41" s="14"/>
      <c r="W41" s="14"/>
      <c r="X41" s="14"/>
      <c r="Y41" s="14"/>
      <c r="Z41" s="14"/>
      <c r="AA41" s="14"/>
      <c r="AB41" s="14"/>
    </row>
    <row r="42" spans="1:28" x14ac:dyDescent="0.3">
      <c r="A42" s="98"/>
      <c r="B42" s="218" t="s">
        <v>150</v>
      </c>
      <c r="C42" s="219">
        <v>1</v>
      </c>
      <c r="D42" s="220">
        <v>1</v>
      </c>
      <c r="E42" s="220">
        <v>0.5</v>
      </c>
      <c r="F42" s="220"/>
      <c r="G42" s="220"/>
      <c r="H42" s="220"/>
      <c r="I42" s="14"/>
      <c r="J42" s="14"/>
      <c r="K42" s="14"/>
      <c r="L42" s="14"/>
      <c r="M42" s="14"/>
      <c r="N42" s="14"/>
      <c r="O42" s="14"/>
      <c r="P42" s="14"/>
      <c r="Q42" s="14"/>
      <c r="R42" s="14"/>
      <c r="S42" s="14"/>
      <c r="T42" s="14"/>
      <c r="U42" s="14"/>
      <c r="V42" s="14"/>
      <c r="W42" s="14"/>
      <c r="X42" s="14"/>
      <c r="Y42" s="14"/>
      <c r="Z42" s="14"/>
      <c r="AA42" s="14"/>
      <c r="AB42" s="14"/>
    </row>
    <row r="43" spans="1:28" x14ac:dyDescent="0.3">
      <c r="A43" s="98"/>
      <c r="B43" s="218" t="s">
        <v>151</v>
      </c>
      <c r="C43" s="219">
        <v>1.06</v>
      </c>
      <c r="D43" s="220"/>
      <c r="E43" s="220">
        <v>0.5</v>
      </c>
      <c r="F43" s="220">
        <v>1</v>
      </c>
      <c r="G43" s="220">
        <f>1-G44</f>
        <v>0.875</v>
      </c>
      <c r="H43" s="220">
        <f>G44</f>
        <v>0.125</v>
      </c>
      <c r="I43" s="14"/>
      <c r="J43" s="14"/>
      <c r="K43" s="14"/>
      <c r="L43" s="14"/>
      <c r="M43" s="14"/>
      <c r="N43" s="14"/>
      <c r="O43" s="14"/>
      <c r="P43" s="14"/>
      <c r="Q43" s="14"/>
      <c r="R43" s="14"/>
      <c r="S43" s="14"/>
      <c r="T43" s="14"/>
      <c r="U43" s="14"/>
      <c r="V43" s="14"/>
      <c r="W43" s="14"/>
      <c r="X43" s="14"/>
      <c r="Y43" s="14"/>
      <c r="Z43" s="14"/>
      <c r="AA43" s="14"/>
      <c r="AB43" s="14"/>
    </row>
    <row r="44" spans="1:28" x14ac:dyDescent="0.3">
      <c r="A44" s="98"/>
      <c r="B44" s="221" t="s">
        <v>152</v>
      </c>
      <c r="C44" s="222">
        <f>1.06*1.05</f>
        <v>1.1130000000000002</v>
      </c>
      <c r="D44" s="223"/>
      <c r="E44" s="223"/>
      <c r="F44" s="223"/>
      <c r="G44" s="223">
        <f>0.5*0.5*0.5</f>
        <v>0.125</v>
      </c>
      <c r="H44" s="223">
        <f>G43</f>
        <v>0.875</v>
      </c>
      <c r="I44" s="14"/>
      <c r="J44" s="14"/>
      <c r="K44" s="14"/>
      <c r="L44" s="14"/>
      <c r="M44" s="14"/>
      <c r="N44" s="14"/>
      <c r="O44" s="14"/>
      <c r="P44" s="14"/>
      <c r="Q44" s="14"/>
      <c r="R44" s="14"/>
      <c r="S44" s="14"/>
      <c r="T44" s="14"/>
      <c r="U44" s="14"/>
      <c r="V44" s="14"/>
      <c r="W44" s="14"/>
      <c r="X44" s="14"/>
      <c r="Y44" s="14"/>
      <c r="Z44" s="14"/>
      <c r="AA44" s="14"/>
      <c r="AB44" s="14"/>
    </row>
    <row r="45" spans="1:28" x14ac:dyDescent="0.3">
      <c r="A45" s="98"/>
      <c r="B45" s="116" t="s">
        <v>323</v>
      </c>
      <c r="C45" s="98"/>
      <c r="D45" s="224">
        <f>SUM(D42:D44)</f>
        <v>1</v>
      </c>
      <c r="E45" s="224">
        <f>SUM(E42:E44)</f>
        <v>1</v>
      </c>
      <c r="F45" s="224">
        <f>SUM(F42:F44)</f>
        <v>1</v>
      </c>
      <c r="G45" s="224">
        <f>SUM(G42:G44)</f>
        <v>1</v>
      </c>
      <c r="H45" s="224">
        <f>SUM(H42:H44)</f>
        <v>1</v>
      </c>
      <c r="I45" s="14"/>
      <c r="J45" s="14"/>
      <c r="K45" s="14"/>
      <c r="L45" s="14"/>
      <c r="M45" s="14"/>
      <c r="N45" s="14"/>
      <c r="O45" s="14"/>
      <c r="P45" s="14"/>
      <c r="Q45" s="14"/>
      <c r="R45" s="14"/>
      <c r="S45" s="14"/>
      <c r="T45" s="14"/>
      <c r="U45" s="14"/>
      <c r="V45" s="14"/>
      <c r="W45" s="14"/>
      <c r="X45" s="14"/>
      <c r="Y45" s="14"/>
      <c r="Z45" s="14"/>
      <c r="AA45" s="14"/>
      <c r="AB45" s="14"/>
    </row>
    <row r="46" spans="1:28" x14ac:dyDescent="0.3">
      <c r="A46" s="98"/>
      <c r="B46" s="98"/>
      <c r="C46" s="98"/>
      <c r="D46" s="98"/>
      <c r="E46" s="98"/>
      <c r="F46" s="98"/>
      <c r="G46" s="98"/>
      <c r="H46" s="98"/>
      <c r="I46" s="14"/>
      <c r="J46" s="14"/>
      <c r="K46" s="14"/>
      <c r="L46" s="14"/>
      <c r="M46" s="14"/>
      <c r="N46" s="14"/>
      <c r="O46" s="14"/>
      <c r="P46" s="14"/>
      <c r="Q46" s="14"/>
      <c r="R46" s="14"/>
      <c r="S46" s="14"/>
      <c r="T46" s="14"/>
      <c r="U46" s="14"/>
      <c r="V46" s="14"/>
      <c r="W46" s="14"/>
      <c r="X46" s="14"/>
      <c r="Y46" s="14"/>
      <c r="Z46" s="14"/>
      <c r="AA46" s="14"/>
      <c r="AB46" s="14"/>
    </row>
    <row r="47" spans="1:28" x14ac:dyDescent="0.3">
      <c r="B47" s="98" t="s">
        <v>411</v>
      </c>
      <c r="C47" s="98"/>
      <c r="D47" s="225">
        <f>SUMPRODUCT(C42:C44,D42:D44)</f>
        <v>1</v>
      </c>
      <c r="E47" s="225">
        <f>SUMPRODUCT(C42:C44,E42:E44)</f>
        <v>1.03</v>
      </c>
      <c r="F47" s="225">
        <f>SUMPRODUCT(C42:C44,F42:F44)</f>
        <v>1.06</v>
      </c>
      <c r="G47" s="225">
        <f>SUMPRODUCT(C42:C44,G42:G44)</f>
        <v>1.0666249999999999</v>
      </c>
      <c r="H47" s="225">
        <f>SUMPRODUCT(C42:C44,H42:H44)</f>
        <v>1.1063750000000001</v>
      </c>
      <c r="I47" s="98"/>
      <c r="M47" s="12"/>
      <c r="N47" s="12"/>
    </row>
    <row r="48" spans="1:28" x14ac:dyDescent="0.3">
      <c r="B48" s="98"/>
      <c r="C48" s="98"/>
      <c r="D48" s="98"/>
      <c r="E48" s="98"/>
      <c r="F48" s="98"/>
      <c r="G48" s="98"/>
      <c r="H48" s="98"/>
      <c r="I48" s="98"/>
      <c r="M48" s="12"/>
      <c r="N48" s="12"/>
    </row>
    <row r="49" spans="1:17" x14ac:dyDescent="0.3">
      <c r="B49" s="98" t="s">
        <v>412</v>
      </c>
      <c r="C49" s="98"/>
      <c r="D49" s="111">
        <f>H47/D47</f>
        <v>1.1063750000000001</v>
      </c>
      <c r="E49" s="111">
        <f>H47/E47</f>
        <v>1.0741504854368933</v>
      </c>
      <c r="F49" s="111">
        <f>H47/F47</f>
        <v>1.04375</v>
      </c>
      <c r="G49" s="111">
        <f>H47/G47</f>
        <v>1.0372670807453417</v>
      </c>
      <c r="H49" s="111">
        <f>H47/H47</f>
        <v>1</v>
      </c>
      <c r="I49" s="98"/>
      <c r="M49" s="12"/>
      <c r="N49" s="12"/>
    </row>
    <row r="50" spans="1:17" x14ac:dyDescent="0.3">
      <c r="M50" s="12"/>
      <c r="N50" s="12"/>
    </row>
    <row r="52" spans="1:17" x14ac:dyDescent="0.3">
      <c r="A52" s="7" t="s">
        <v>12</v>
      </c>
      <c r="B52" s="5" t="s">
        <v>139</v>
      </c>
      <c r="C52" s="5"/>
      <c r="D52" s="5"/>
      <c r="E52" s="5"/>
      <c r="F52" s="5"/>
      <c r="G52" s="5"/>
      <c r="H52" s="5"/>
      <c r="I52" s="5"/>
      <c r="J52" s="5"/>
      <c r="K52" s="5"/>
      <c r="L52" s="5"/>
      <c r="M52" s="56"/>
      <c r="N52" s="56"/>
      <c r="O52" s="56"/>
      <c r="P52" s="56"/>
      <c r="Q52" s="56"/>
    </row>
    <row r="53" spans="1:17" x14ac:dyDescent="0.3">
      <c r="A53" s="4"/>
      <c r="B53" s="4"/>
      <c r="C53" s="4"/>
      <c r="D53" s="4"/>
      <c r="E53" s="4"/>
      <c r="F53" s="4"/>
      <c r="G53" s="5"/>
      <c r="H53" s="5"/>
      <c r="I53" s="5"/>
      <c r="J53" s="5"/>
      <c r="K53" s="5"/>
      <c r="L53" s="5"/>
      <c r="M53" s="56"/>
      <c r="N53" s="56"/>
      <c r="O53" s="56"/>
      <c r="P53" s="56"/>
      <c r="Q53" s="56"/>
    </row>
    <row r="54" spans="1:17" x14ac:dyDescent="0.3">
      <c r="A54" s="10"/>
      <c r="B54" s="10"/>
      <c r="C54" s="10"/>
      <c r="D54" s="10"/>
      <c r="E54" s="10"/>
      <c r="F54" s="10"/>
      <c r="G54" s="10"/>
      <c r="H54" s="10"/>
      <c r="I54" s="10"/>
      <c r="J54" s="10"/>
      <c r="K54" s="10"/>
      <c r="L54" s="10"/>
    </row>
    <row r="55" spans="1:17" x14ac:dyDescent="0.3">
      <c r="A55" s="10" t="s">
        <v>10</v>
      </c>
      <c r="B55" s="10"/>
      <c r="C55" s="10"/>
      <c r="D55" s="10"/>
      <c r="E55" s="10"/>
      <c r="F55" s="10"/>
      <c r="G55" s="10"/>
      <c r="H55" s="10"/>
      <c r="I55" s="10"/>
      <c r="J55" s="10"/>
      <c r="K55" s="10"/>
      <c r="L55" s="10"/>
    </row>
    <row r="56" spans="1:17" ht="46.8" x14ac:dyDescent="0.3">
      <c r="A56" s="146" t="s">
        <v>127</v>
      </c>
      <c r="B56" s="146" t="s">
        <v>6</v>
      </c>
      <c r="C56" s="146" t="s">
        <v>413</v>
      </c>
      <c r="D56" s="146" t="s">
        <v>414</v>
      </c>
      <c r="E56" s="146" t="s">
        <v>415</v>
      </c>
      <c r="F56" s="146" t="s">
        <v>416</v>
      </c>
      <c r="G56" s="146" t="s">
        <v>417</v>
      </c>
    </row>
    <row r="57" spans="1:17" x14ac:dyDescent="0.3">
      <c r="A57" s="110">
        <v>2015</v>
      </c>
      <c r="B57" s="226">
        <f>C13</f>
        <v>16100</v>
      </c>
      <c r="C57" s="227">
        <f>HLOOKUP(A57,D41:H49,9,)</f>
        <v>1.1063750000000001</v>
      </c>
      <c r="D57" s="226">
        <f>B57*C57</f>
        <v>17812.637500000001</v>
      </c>
      <c r="E57" s="228">
        <f>E13</f>
        <v>1.03</v>
      </c>
      <c r="F57" s="229">
        <f>1/E57</f>
        <v>0.970873786407767</v>
      </c>
      <c r="G57" s="226">
        <f>D57*F57</f>
        <v>17293.822815533982</v>
      </c>
    </row>
    <row r="58" spans="1:17" x14ac:dyDescent="0.3">
      <c r="A58" s="110">
        <v>2016</v>
      </c>
      <c r="B58" s="226">
        <f t="shared" ref="B58:B61" si="0">C14</f>
        <v>17600</v>
      </c>
      <c r="C58" s="227">
        <f>HLOOKUP(A58,D41:H49,9,)</f>
        <v>1.0741504854368933</v>
      </c>
      <c r="D58" s="226">
        <f>B58*C58</f>
        <v>18905.048543689321</v>
      </c>
      <c r="E58" s="228">
        <f t="shared" ref="E58:E61" si="1">E14</f>
        <v>1.0549999999999999</v>
      </c>
      <c r="F58" s="229">
        <f>1/E58</f>
        <v>0.94786729857819907</v>
      </c>
      <c r="G58" s="226">
        <f>D58*F58</f>
        <v>17919.477292596512</v>
      </c>
    </row>
    <row r="59" spans="1:17" x14ac:dyDescent="0.3">
      <c r="A59" s="110">
        <v>2017</v>
      </c>
      <c r="B59" s="226">
        <f t="shared" si="0"/>
        <v>18300</v>
      </c>
      <c r="C59" s="227">
        <f>HLOOKUP(A59,D41:H49,9,)</f>
        <v>1.04375</v>
      </c>
      <c r="D59" s="226">
        <f>B59*C59</f>
        <v>19100.625</v>
      </c>
      <c r="E59" s="228">
        <f t="shared" si="1"/>
        <v>1.1000000000000001</v>
      </c>
      <c r="F59" s="229">
        <f>1/E59</f>
        <v>0.90909090909090906</v>
      </c>
      <c r="G59" s="226">
        <f>D59*F59</f>
        <v>17364.204545454544</v>
      </c>
    </row>
    <row r="60" spans="1:17" x14ac:dyDescent="0.3">
      <c r="A60" s="110">
        <v>2018</v>
      </c>
      <c r="B60" s="226">
        <f t="shared" si="0"/>
        <v>19800</v>
      </c>
      <c r="C60" s="227">
        <f>HLOOKUP(A60,D41:H49,9,)</f>
        <v>1.0372670807453417</v>
      </c>
      <c r="D60" s="226">
        <f>B60*C60</f>
        <v>20537.888198757766</v>
      </c>
      <c r="E60" s="228">
        <f t="shared" si="1"/>
        <v>1.3</v>
      </c>
      <c r="F60" s="229">
        <f>1/E60</f>
        <v>0.76923076923076916</v>
      </c>
      <c r="G60" s="226">
        <f>D60*F60</f>
        <v>15798.375537505972</v>
      </c>
    </row>
    <row r="61" spans="1:17" x14ac:dyDescent="0.3">
      <c r="A61" s="113">
        <v>2019</v>
      </c>
      <c r="B61" s="230">
        <f t="shared" si="0"/>
        <v>21600</v>
      </c>
      <c r="C61" s="231">
        <f>HLOOKUP(A61,D41:H49,9,)</f>
        <v>1</v>
      </c>
      <c r="D61" s="230">
        <f>B61*C61</f>
        <v>21600</v>
      </c>
      <c r="E61" s="232">
        <f t="shared" si="1"/>
        <v>1.7</v>
      </c>
      <c r="F61" s="233">
        <f>1/E61</f>
        <v>0.58823529411764708</v>
      </c>
      <c r="G61" s="230">
        <f>D61*F61</f>
        <v>12705.882352941177</v>
      </c>
    </row>
    <row r="62" spans="1:17" x14ac:dyDescent="0.3">
      <c r="A62" s="103"/>
      <c r="B62" s="234">
        <f>SUM(B57:B61)</f>
        <v>93400</v>
      </c>
      <c r="C62" s="235"/>
      <c r="D62" s="234">
        <f>SUM(D57:D61)</f>
        <v>97956.199242447081</v>
      </c>
      <c r="E62" s="235"/>
      <c r="F62" s="236"/>
      <c r="G62" s="234">
        <f>SUM(G57:G61)</f>
        <v>81081.762544032186</v>
      </c>
    </row>
    <row r="63" spans="1:17" x14ac:dyDescent="0.3">
      <c r="A63" s="98"/>
      <c r="B63" s="237"/>
      <c r="C63" s="235"/>
      <c r="D63" s="237"/>
      <c r="E63" s="237"/>
      <c r="F63" s="238"/>
      <c r="G63" s="239"/>
    </row>
    <row r="64" spans="1:17" x14ac:dyDescent="0.3">
      <c r="A64" s="149"/>
      <c r="B64" s="98"/>
      <c r="C64" s="374" t="s">
        <v>418</v>
      </c>
      <c r="D64" s="374"/>
      <c r="E64" s="240"/>
      <c r="F64" s="255"/>
      <c r="G64" s="255"/>
    </row>
    <row r="65" spans="1:7" ht="46.8" x14ac:dyDescent="0.3">
      <c r="A65" s="146" t="s">
        <v>127</v>
      </c>
      <c r="B65" s="146" t="s">
        <v>419</v>
      </c>
      <c r="C65" s="146" t="s">
        <v>420</v>
      </c>
      <c r="D65" s="146" t="s">
        <v>421</v>
      </c>
      <c r="E65" s="146" t="s">
        <v>422</v>
      </c>
      <c r="F65" s="146" t="s">
        <v>325</v>
      </c>
      <c r="G65" s="104"/>
    </row>
    <row r="66" spans="1:7" x14ac:dyDescent="0.3">
      <c r="A66" s="110">
        <f>A57</f>
        <v>2015</v>
      </c>
      <c r="B66" s="226">
        <f>D13</f>
        <v>11150</v>
      </c>
      <c r="C66" s="227">
        <f>1.05^(A70-A66)</f>
        <v>1.21550625</v>
      </c>
      <c r="D66" s="241">
        <f>0.9</f>
        <v>0.9</v>
      </c>
      <c r="E66" s="226">
        <f>B66*C66*D66</f>
        <v>12197.605218750001</v>
      </c>
      <c r="F66" s="226">
        <f>(D57*E73)/(C66*D66)</f>
        <v>11547.742353171543</v>
      </c>
      <c r="G66" s="104"/>
    </row>
    <row r="67" spans="1:7" x14ac:dyDescent="0.3">
      <c r="A67" s="110">
        <f>A58</f>
        <v>2016</v>
      </c>
      <c r="B67" s="226">
        <f t="shared" ref="B67:B68" si="2">D14</f>
        <v>11380</v>
      </c>
      <c r="C67" s="227">
        <f>1.05^(A70-A67)</f>
        <v>1.1576250000000001</v>
      </c>
      <c r="D67" s="241">
        <v>0.95</v>
      </c>
      <c r="E67" s="226">
        <f t="shared" ref="E67:E70" si="3">B67*C67*D67</f>
        <v>12515.083875</v>
      </c>
      <c r="F67" s="226">
        <f>(D58*E73)/(C67*D67)</f>
        <v>12191.435796198966</v>
      </c>
      <c r="G67" s="103"/>
    </row>
    <row r="68" spans="1:7" x14ac:dyDescent="0.3">
      <c r="A68" s="110">
        <f>A59</f>
        <v>2017</v>
      </c>
      <c r="B68" s="226">
        <f t="shared" si="2"/>
        <v>11190</v>
      </c>
      <c r="C68" s="227">
        <f>1.05^(A70-A68)</f>
        <v>1.1025</v>
      </c>
      <c r="D68" s="241">
        <v>1</v>
      </c>
      <c r="E68" s="226">
        <f t="shared" si="3"/>
        <v>12336.975</v>
      </c>
      <c r="F68" s="226">
        <f>(D59*E73)/(C68*D68)</f>
        <v>12286.76470782847</v>
      </c>
      <c r="G68" s="103"/>
    </row>
    <row r="69" spans="1:7" x14ac:dyDescent="0.3">
      <c r="A69" s="110">
        <f>A60</f>
        <v>2018</v>
      </c>
      <c r="B69" s="226">
        <f>D16-A74</f>
        <v>10870</v>
      </c>
      <c r="C69" s="227">
        <f>1.05^(A70-A69)</f>
        <v>1.05</v>
      </c>
      <c r="D69" s="241">
        <v>1</v>
      </c>
      <c r="E69" s="226">
        <f t="shared" si="3"/>
        <v>11413.5</v>
      </c>
      <c r="F69" s="226">
        <f>(D60*E73)/(C69*D69)</f>
        <v>13871.871202566143</v>
      </c>
      <c r="G69" s="103"/>
    </row>
    <row r="70" spans="1:7" x14ac:dyDescent="0.3">
      <c r="A70" s="113">
        <f>A61</f>
        <v>2019</v>
      </c>
      <c r="B70" s="230">
        <f>D17</f>
        <v>9040</v>
      </c>
      <c r="C70" s="231">
        <f>1.05^(A70-A70)</f>
        <v>1</v>
      </c>
      <c r="D70" s="242">
        <v>1</v>
      </c>
      <c r="E70" s="230">
        <f t="shared" si="3"/>
        <v>9040</v>
      </c>
      <c r="F70" s="230">
        <f>(D61*E73)/(C70*D70)</f>
        <v>15318.714165229001</v>
      </c>
      <c r="G70" s="103"/>
    </row>
    <row r="71" spans="1:7" x14ac:dyDescent="0.3">
      <c r="A71" s="103"/>
      <c r="B71" s="234">
        <f>SUM(B66:B70)</f>
        <v>53630</v>
      </c>
      <c r="C71" s="235"/>
      <c r="D71" s="235"/>
      <c r="E71" s="234">
        <f t="shared" ref="E71:F71" si="4">SUM(E66:E70)</f>
        <v>57503.164093749998</v>
      </c>
      <c r="F71" s="234">
        <f t="shared" si="4"/>
        <v>65216.528224994123</v>
      </c>
      <c r="G71" s="104"/>
    </row>
    <row r="72" spans="1:7" x14ac:dyDescent="0.3">
      <c r="A72" s="103"/>
      <c r="B72" s="103"/>
      <c r="C72" s="103"/>
      <c r="D72" s="103"/>
      <c r="E72" s="236"/>
      <c r="F72" s="236"/>
      <c r="G72" s="104"/>
    </row>
    <row r="73" spans="1:7" x14ac:dyDescent="0.3">
      <c r="A73" s="143" t="s">
        <v>427</v>
      </c>
      <c r="B73" s="143"/>
      <c r="C73" s="98"/>
      <c r="D73" s="150" t="s">
        <v>423</v>
      </c>
      <c r="E73" s="243">
        <f>E71/G62</f>
        <v>0.70919972987171298</v>
      </c>
      <c r="F73" s="244"/>
      <c r="G73" s="255"/>
    </row>
    <row r="74" spans="1:7" x14ac:dyDescent="0.3">
      <c r="A74" s="152">
        <v>600</v>
      </c>
      <c r="B74" s="143"/>
      <c r="C74" s="98"/>
      <c r="D74" s="98"/>
      <c r="E74" s="238"/>
      <c r="F74" s="98"/>
      <c r="G74" s="255"/>
    </row>
    <row r="75" spans="1:7" x14ac:dyDescent="0.3">
      <c r="A75" s="98"/>
      <c r="B75" s="240"/>
      <c r="C75" s="98"/>
      <c r="D75" s="98"/>
      <c r="E75" s="98"/>
      <c r="F75" s="255"/>
      <c r="G75" s="255"/>
    </row>
    <row r="76" spans="1:7" ht="31.2" x14ac:dyDescent="0.3">
      <c r="A76" s="146" t="s">
        <v>127</v>
      </c>
      <c r="B76" s="146" t="s">
        <v>129</v>
      </c>
      <c r="C76" s="146" t="s">
        <v>424</v>
      </c>
      <c r="D76" s="146" t="s">
        <v>425</v>
      </c>
      <c r="E76" s="146" t="s">
        <v>426</v>
      </c>
      <c r="F76" s="255"/>
      <c r="G76" s="255"/>
    </row>
    <row r="77" spans="1:7" x14ac:dyDescent="0.3">
      <c r="A77" s="110">
        <v>2015</v>
      </c>
      <c r="B77" s="226">
        <f>D13</f>
        <v>11150</v>
      </c>
      <c r="C77" s="229">
        <f>1-F57</f>
        <v>2.9126213592232997E-2</v>
      </c>
      <c r="D77" s="226">
        <f>C77*F66</f>
        <v>336.34201028654962</v>
      </c>
      <c r="E77" s="226">
        <f>B77+D77</f>
        <v>11486.342010286549</v>
      </c>
      <c r="F77" s="255"/>
      <c r="G77" s="255"/>
    </row>
    <row r="78" spans="1:7" x14ac:dyDescent="0.3">
      <c r="A78" s="110">
        <v>2016</v>
      </c>
      <c r="B78" s="226">
        <f t="shared" ref="B78:B81" si="5">D14</f>
        <v>11380</v>
      </c>
      <c r="C78" s="229">
        <f>1-F58</f>
        <v>5.2132701421800931E-2</v>
      </c>
      <c r="D78" s="226">
        <f>C78*F67</f>
        <v>635.57248226629656</v>
      </c>
      <c r="E78" s="226">
        <f>B78+D78</f>
        <v>12015.572482266296</v>
      </c>
      <c r="F78" s="255"/>
      <c r="G78" s="255"/>
    </row>
    <row r="79" spans="1:7" x14ac:dyDescent="0.3">
      <c r="A79" s="110">
        <v>2017</v>
      </c>
      <c r="B79" s="226">
        <f t="shared" si="5"/>
        <v>11190</v>
      </c>
      <c r="C79" s="229">
        <f>1-F59</f>
        <v>9.0909090909090939E-2</v>
      </c>
      <c r="D79" s="226">
        <f>C79*F68</f>
        <v>1116.9786098025886</v>
      </c>
      <c r="E79" s="226">
        <f>B79+D79</f>
        <v>12306.978609802589</v>
      </c>
      <c r="F79" s="98"/>
      <c r="G79" s="100"/>
    </row>
    <row r="80" spans="1:7" x14ac:dyDescent="0.3">
      <c r="A80" s="110">
        <v>2018</v>
      </c>
      <c r="B80" s="226">
        <f t="shared" si="5"/>
        <v>11470</v>
      </c>
      <c r="C80" s="229">
        <f>1-F60</f>
        <v>0.23076923076923084</v>
      </c>
      <c r="D80" s="226">
        <f>C80*F69</f>
        <v>3201.2010467460336</v>
      </c>
      <c r="E80" s="226">
        <f>B80+D80</f>
        <v>14671.201046746033</v>
      </c>
      <c r="F80" s="100"/>
      <c r="G80" s="100"/>
    </row>
    <row r="81" spans="1:7" x14ac:dyDescent="0.3">
      <c r="A81" s="113">
        <v>2019</v>
      </c>
      <c r="B81" s="230">
        <f t="shared" si="5"/>
        <v>9040</v>
      </c>
      <c r="C81" s="233">
        <f>1-F61</f>
        <v>0.41176470588235292</v>
      </c>
      <c r="D81" s="230">
        <f>C81*F70</f>
        <v>6307.7058327413533</v>
      </c>
      <c r="E81" s="230">
        <f>B81+D81</f>
        <v>15347.705832741354</v>
      </c>
      <c r="F81" s="245"/>
      <c r="G81" s="100"/>
    </row>
    <row r="82" spans="1:7" x14ac:dyDescent="0.3">
      <c r="A82" s="103"/>
      <c r="B82" s="234">
        <f>SUM(B77:B81)</f>
        <v>54230</v>
      </c>
      <c r="C82" s="235"/>
      <c r="D82" s="234">
        <f t="shared" ref="D82:E82" si="6">SUM(D77:D81)</f>
        <v>11597.799981842822</v>
      </c>
      <c r="E82" s="234">
        <f t="shared" si="6"/>
        <v>65827.799981842822</v>
      </c>
      <c r="F82" s="98"/>
      <c r="G82" s="100"/>
    </row>
  </sheetData>
  <mergeCells count="7">
    <mergeCell ref="D40:H40"/>
    <mergeCell ref="C64:D64"/>
    <mergeCell ref="Q34:T34"/>
    <mergeCell ref="U34:X34"/>
    <mergeCell ref="Y34:AB34"/>
    <mergeCell ref="I34:L34"/>
    <mergeCell ref="M34:P34"/>
  </mergeCells>
  <pageMargins left="0.39370078740157483" right="0.39370078740157483" top="0.39370078740157483" bottom="0.39370078740157483" header="0.31496062992125984" footer="0.31496062992125984"/>
  <pageSetup scale="58" orientation="portrait" verticalDpi="1200" r:id="rId1"/>
  <headerFooter>
    <oddFooter>&amp;L&amp;F [&amp;A]&amp;R&amp;P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37</vt:i4>
      </vt:variant>
    </vt:vector>
  </HeadingPairs>
  <TitlesOfParts>
    <vt:vector size="57"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1'!Print_Area</vt:lpstr>
      <vt:lpstr>'Question 10'!Print_Area</vt:lpstr>
      <vt:lpstr>'Question 11'!Print_Area</vt:lpstr>
      <vt:lpstr>'Question 12'!Print_Area</vt:lpstr>
      <vt:lpstr>'Question 13'!Print_Area</vt:lpstr>
      <vt:lpstr>'Question 14'!Print_Area</vt:lpstr>
      <vt:lpstr>'Question 15'!Print_Area</vt:lpstr>
      <vt:lpstr>'Question 16'!Print_Area</vt:lpstr>
      <vt:lpstr>'Question 18'!Print_Area</vt:lpstr>
      <vt:lpstr>'Question 19'!Print_Area</vt:lpstr>
      <vt:lpstr>'Question 2'!Print_Area</vt:lpstr>
      <vt:lpstr>'Question 20'!Print_Area</vt:lpstr>
      <vt:lpstr>'Question 3'!Print_Area</vt:lpstr>
      <vt:lpstr>'Question 4'!Print_Area</vt:lpstr>
      <vt:lpstr>'Question 5'!Print_Area</vt:lpstr>
      <vt:lpstr>'Question 6'!Print_Area</vt:lpstr>
      <vt:lpstr>'Question 7'!Print_Area</vt:lpstr>
      <vt:lpstr>'Question 8'!Print_Area</vt:lpstr>
      <vt:lpstr>'Question 9'!Print_Area</vt:lpstr>
      <vt:lpstr>'Question 1'!Print_Titles</vt:lpstr>
      <vt:lpstr>'Question 10'!Print_Titles</vt:lpstr>
      <vt:lpstr>'Question 11'!Print_Titles</vt:lpstr>
      <vt:lpstr>'Question 12'!Print_Titles</vt:lpstr>
      <vt:lpstr>'Question 13'!Print_Titles</vt:lpstr>
      <vt:lpstr>'Question 14'!Print_Titles</vt:lpstr>
      <vt:lpstr>'Question 15'!Print_Titles</vt:lpstr>
      <vt:lpstr>'Question 16'!Print_Titles</vt:lpstr>
      <vt:lpstr>'Question 18'!Print_Titles</vt:lpstr>
      <vt:lpstr>'Question 19'!Print_Titles</vt:lpstr>
      <vt:lpstr>'Question 2'!Print_Titles</vt:lpstr>
      <vt:lpstr>'Question 20'!Print_Titles</vt:lpstr>
      <vt:lpstr>'Question 3'!Print_Titles</vt:lpstr>
      <vt:lpstr>'Question 4'!Print_Titles</vt:lpstr>
      <vt:lpstr>'Question 5'!Print_Titles</vt:lpstr>
      <vt:lpstr>'Question 6'!Print_Titles</vt:lpstr>
      <vt:lpstr>'Question 8'!Print_Titles</vt:lpstr>
      <vt:lpstr>'Question 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 Zionce</cp:lastModifiedBy>
  <cp:lastPrinted>2020-08-06T15:06:23Z</cp:lastPrinted>
  <dcterms:created xsi:type="dcterms:W3CDTF">2016-11-07T18:30:57Z</dcterms:created>
  <dcterms:modified xsi:type="dcterms:W3CDTF">2021-02-15T19:36:28Z</dcterms:modified>
</cp:coreProperties>
</file>