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750" yWindow="-90" windowWidth="12120" windowHeight="9120" tabRatio="719"/>
  </bookViews>
  <sheets>
    <sheet name="Comments" sheetId="84" r:id="rId1"/>
    <sheet name="Scenario" sheetId="22" r:id="rId2"/>
    <sheet name="Scenario Assumptions" sheetId="68" r:id="rId3"/>
    <sheet name="Mortality Distribution" sheetId="44" r:id="rId4"/>
    <sheet name="Morbidity Distribution" sheetId="4" r:id="rId5"/>
    <sheet name="Distribution by Provider" sheetId="37" r:id="rId6"/>
    <sheet name="Distribution by Risk Class" sheetId="46" r:id="rId7"/>
    <sheet name="Provider Assumptions" sheetId="69" r:id="rId8"/>
    <sheet name="Provider Scenario" sheetId="38" r:id="rId9"/>
    <sheet name="Provider Charges" sheetId="61" r:id="rId10"/>
    <sheet name="Provider Utilization" sheetId="57" r:id="rId11"/>
    <sheet name="Case Distribution" sheetId="59" r:id="rId12"/>
    <sheet name="Case Graph" sheetId="64" r:id="rId13"/>
    <sheet name="ACF Costs" sheetId="45" r:id="rId14"/>
    <sheet name="Deferred Care" sheetId="58" r:id="rId15"/>
    <sheet name="Company Specific" sheetId="85" r:id="rId16"/>
    <sheet name="LOB1 Dist" sheetId="74" r:id="rId17"/>
    <sheet name="LOB1 Costs" sheetId="73" r:id="rId18"/>
    <sheet name="LOB1 Sum" sheetId="72" r:id="rId19"/>
    <sheet name="LOB2 Dist" sheetId="82" r:id="rId20"/>
    <sheet name="LOB2 Costs" sheetId="81" r:id="rId21"/>
    <sheet name="LOB2 Sum" sheetId="80" r:id="rId22"/>
    <sheet name="Total Costs" sheetId="43" r:id="rId23"/>
    <sheet name="Total Summary" sheetId="60" r:id="rId24"/>
    <sheet name="Sheet1" sheetId="86" r:id="rId25"/>
  </sheets>
  <definedNames>
    <definedName name="_PR1">Scenario!$D$16</definedName>
    <definedName name="_PR2">Scenario!$E$16</definedName>
    <definedName name="_PR3">Scenario!$F$16</definedName>
    <definedName name="ACFCharge">'Provider Scenario'!$D$49</definedName>
    <definedName name="ACFCosts">'ACF Costs'!$G$30</definedName>
    <definedName name="ACFDemand">'Provider Utilization'!$D$27</definedName>
    <definedName name="ACFNurse">'Provider Scenario'!$D$47</definedName>
    <definedName name="ACFPct">'Total Summary'!$E$70</definedName>
    <definedName name="ACFPhys">'Provider Scenario'!$D$46</definedName>
    <definedName name="ACFStay">'Provider Scenario'!$D$48</definedName>
    <definedName name="CareFactor">'Provider Scenario'!$D$55</definedName>
    <definedName name="Curve">Scenario!$D$6</definedName>
    <definedName name="DthHospPct">'Provider Scenario'!$D$42</definedName>
    <definedName name="DthPct">'Total Summary'!$E$68</definedName>
    <definedName name="duration">'Provider Utilization'!$G$1</definedName>
    <definedName name="HospAdmitHigh">'Distribution by Risk Class'!$L$27</definedName>
    <definedName name="HospAdmitLow">'Distribution by Risk Class'!$I$27</definedName>
    <definedName name="HospAdmits">'Distribution by Risk Class'!$F$27</definedName>
    <definedName name="HospBeds">'Provider Scenario'!$D$9</definedName>
    <definedName name="HospCap">'Provider Scenario'!$D$21</definedName>
    <definedName name="HospChgAdj">'Provider Scenario'!$D$38</definedName>
    <definedName name="HospPct">'Total Summary'!$E$69</definedName>
    <definedName name="HospUse">'Provider Scenario'!$D$15</definedName>
    <definedName name="ICUBeds">'Provider Scenario'!$D$10</definedName>
    <definedName name="ICUCap">'Provider Scenario'!$D$22</definedName>
    <definedName name="ICUPct">'Provider Scenario'!$D$40</definedName>
    <definedName name="ICUStay">'Provider Scenario'!$D$36</definedName>
    <definedName name="ICUStepdown">'Provider Utilization'!$D$63</definedName>
    <definedName name="ICUUse">'Provider Scenario'!$D$16</definedName>
    <definedName name="inflation">Scenario!$E$23</definedName>
    <definedName name="InfRate">Scenario!$E$20</definedName>
    <definedName name="InsPop">Scenario!$E$32</definedName>
    <definedName name="LOB_1">Scenario!$E$27</definedName>
    <definedName name="LOB_2">Scenario!$E$28</definedName>
    <definedName name="LOB1Pop">Scenario!$E$29</definedName>
    <definedName name="LOB2Pop">Scenario!$E$30</definedName>
    <definedName name="MorbCurve">'Morbidity Distribution'!$C$8</definedName>
    <definedName name="Morbidity">'Morbidity Distribution'!$C$6</definedName>
    <definedName name="Mortality">'Mortality Distribution'!$C$6</definedName>
    <definedName name="MortCurve">'Mortality Distribution'!$C$8</definedName>
    <definedName name="MortRatio">'Mortality Distribution'!$C$11</definedName>
    <definedName name="NonICUBeds">'Provider Scenario'!$D$11</definedName>
    <definedName name="NonICUCap">'Provider Scenario'!$D$23</definedName>
    <definedName name="NonICUStay">'Provider Scenario'!$D$35</definedName>
    <definedName name="NonICUUse">'Provider Scenario'!$D$17</definedName>
    <definedName name="NurseHosp">'Provider Scenario'!$D$30</definedName>
    <definedName name="NursePerBed">'Provider Scenario'!$D$31</definedName>
    <definedName name="Nurses">'Provider Scenario'!$D$54</definedName>
    <definedName name="OutPct">'Total Summary'!$E$71</definedName>
    <definedName name="OutPt">'Distribution by Risk Class'!$E$27</definedName>
    <definedName name="OutPtHigh">'Distribution by Risk Class'!$K$27</definedName>
    <definedName name="OutPtLow">'Distribution by Risk Class'!$H$27</definedName>
    <definedName name="PhysHosp">'Provider Scenario'!$D$28</definedName>
    <definedName name="Physicians">'Provider Scenario'!$D$53</definedName>
    <definedName name="PhysPerBed">'Provider Scenario'!$D$29</definedName>
    <definedName name="Pop0to69">Scenario!$E$34</definedName>
    <definedName name="Population">'Mortality Distribution'!$B$37</definedName>
    <definedName name="_xlnm.Print_Area" localSheetId="13">'ACF Costs'!$A$1:$H$40</definedName>
    <definedName name="_xlnm.Print_Area" localSheetId="11">'Case Distribution'!$B$1:$M$28</definedName>
    <definedName name="_xlnm.Print_Area" localSheetId="12">'Case Graph'!$B$2:$M$31</definedName>
    <definedName name="_xlnm.Print_Area" localSheetId="14">'Deferred Care'!$A$1:$F$50</definedName>
    <definedName name="_xlnm.Print_Area" localSheetId="5">'Distribution by Provider'!$A$1:$N$61</definedName>
    <definedName name="_xlnm.Print_Area" localSheetId="17">'LOB1 Costs'!$A$1:$K$59</definedName>
    <definedName name="_xlnm.Print_Area" localSheetId="16">'LOB1 Dist'!$A$1:$M$66</definedName>
    <definedName name="_xlnm.Print_Area" localSheetId="18">'LOB1 Sum'!$A$1:$J$60</definedName>
    <definedName name="_xlnm.Print_Area" localSheetId="20">'LOB2 Costs'!$A$1:$M$59</definedName>
    <definedName name="_xlnm.Print_Area" localSheetId="21">'LOB2 Sum'!$A$1:$J$60</definedName>
    <definedName name="_xlnm.Print_Area" localSheetId="4">'Morbidity Distribution'!$A$1:$M$53</definedName>
    <definedName name="_xlnm.Print_Area" localSheetId="3">'Mortality Distribution'!$A$1:$M$47</definedName>
    <definedName name="_xlnm.Print_Area" localSheetId="9">'Provider Charges'!$A$1:$N$52</definedName>
    <definedName name="_xlnm.Print_Area" localSheetId="8">'Provider Scenario'!$A$1:$J$57</definedName>
    <definedName name="_xlnm.Print_Area" localSheetId="10">'Provider Utilization'!$D$1:$R$61</definedName>
    <definedName name="_xlnm.Print_Area" localSheetId="22">'Total Costs'!$A$1:$L$64</definedName>
    <definedName name="_xlnm.Print_Area" localSheetId="23">'Total Summary'!$A$1:$I$54</definedName>
    <definedName name="_xlnm.Print_Titles" localSheetId="11">'Case Distribution'!$A:$A</definedName>
    <definedName name="_xlnm.Print_Titles" localSheetId="10">'Provider Utilization'!$A:$C</definedName>
    <definedName name="RiskAdj">'Morbidity Distribution'!$C$11</definedName>
    <definedName name="scenario">Scenario!$D$8</definedName>
    <definedName name="SelfPct">'Total Summary'!$E$72</definedName>
    <definedName name="Severity">Scenario!$D$4</definedName>
    <definedName name="Severity_Listing">Scenario!$D$10:$F$10</definedName>
    <definedName name="StdFactor">'Case Distribution'!$E$24</definedName>
    <definedName name="TaxRate">Scenario!$E$25</definedName>
    <definedName name="TotPI">Scenario!$E$33</definedName>
    <definedName name="UtilAdj">'Morbidity Distribution'!$C$14</definedName>
    <definedName name="VentCap">'Provider Scenario'!$D$24</definedName>
    <definedName name="VentPCT">'Provider Scenario'!$D$41</definedName>
    <definedName name="Vents">'Provider Scenario'!$D$12</definedName>
    <definedName name="VentStay">'Provider Scenario'!$D$37</definedName>
    <definedName name="VentUse">'Provider Scenario'!$D$18</definedName>
    <definedName name="WaveDur">'Morbidity Distribution'!$C$16</definedName>
    <definedName name="Weibull_Alpha">'Case Distribution'!$E$25</definedName>
    <definedName name="Weibull_Beta">'Case Distribution'!$E$26</definedName>
    <definedName name="XSDths">'Mortality Distribution'!$L$37</definedName>
  </definedNames>
  <calcPr calcId="125725"/>
</workbook>
</file>

<file path=xl/calcChain.xml><?xml version="1.0" encoding="utf-8"?>
<calcChain xmlns="http://schemas.openxmlformats.org/spreadsheetml/2006/main">
  <c r="A3" i="80"/>
  <c r="A3" i="72"/>
  <c r="B57" i="82"/>
  <c r="B57" i="74"/>
  <c r="A63" i="57" l="1"/>
  <c r="E29" i="80"/>
  <c r="E29" i="72"/>
  <c r="E25" i="60"/>
  <c r="E7" i="72"/>
  <c r="E7" i="80"/>
  <c r="E7" i="60"/>
  <c r="C14" i="58"/>
  <c r="H26" i="37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C8" i="4"/>
  <c r="C8" i="44"/>
  <c r="D40" i="38"/>
  <c r="D38"/>
  <c r="D8" i="22"/>
  <c r="A1" i="46" s="1"/>
  <c r="E23" i="22"/>
  <c r="E57" i="60"/>
  <c r="E24"/>
  <c r="E6"/>
  <c r="A6" i="22"/>
  <c r="A8" s="1"/>
  <c r="A10" s="1"/>
  <c r="A12" s="1"/>
  <c r="A14" s="1"/>
  <c r="A16" s="1"/>
  <c r="A20" s="1"/>
  <c r="A21" s="1"/>
  <c r="A22" s="1"/>
  <c r="A23" s="1"/>
  <c r="A25" s="1"/>
  <c r="A27" s="1"/>
  <c r="A28" s="1"/>
  <c r="A29" s="1"/>
  <c r="A30" s="1"/>
  <c r="A32" s="1"/>
  <c r="A33" s="1"/>
  <c r="A34" s="1"/>
  <c r="H62" i="43"/>
  <c r="H59"/>
  <c r="H56"/>
  <c r="B62"/>
  <c r="B59"/>
  <c r="B56"/>
  <c r="C49" i="72"/>
  <c r="C53" i="60"/>
  <c r="C50"/>
  <c r="C46"/>
  <c r="C45"/>
  <c r="I15" i="44"/>
  <c r="I19" i="4" s="1"/>
  <c r="G15" i="44"/>
  <c r="G19" i="4" s="1"/>
  <c r="C15" i="44"/>
  <c r="C19" i="4" s="1"/>
  <c r="E15" i="44"/>
  <c r="E19" i="4" s="1"/>
  <c r="A3" i="81"/>
  <c r="A3" i="73"/>
  <c r="A3" i="82"/>
  <c r="A3" i="74"/>
  <c r="A1" i="43" l="1"/>
  <c r="A1" i="74"/>
  <c r="A1" i="60"/>
  <c r="A1" i="72"/>
  <c r="A1" i="57"/>
  <c r="A1" i="73"/>
  <c r="A1" i="81"/>
  <c r="A1" i="58"/>
  <c r="A1" i="80"/>
  <c r="A1" i="38"/>
  <c r="B2" i="64"/>
  <c r="A1" i="4"/>
  <c r="A1" i="82"/>
  <c r="A1" i="61"/>
  <c r="A1" i="59"/>
  <c r="A1" i="45"/>
  <c r="A1" i="44"/>
  <c r="C1" i="37"/>
  <c r="C29" i="82"/>
  <c r="C28"/>
  <c r="C27"/>
  <c r="C26"/>
  <c r="D5"/>
  <c r="E32" i="22"/>
  <c r="E83" i="60" s="1"/>
  <c r="C27" i="74"/>
  <c r="C26"/>
  <c r="D5"/>
  <c r="C29"/>
  <c r="C28"/>
  <c r="E21" i="80"/>
  <c r="E41" i="38"/>
  <c r="F41"/>
  <c r="D41" s="1"/>
  <c r="G41"/>
  <c r="A60" i="57"/>
  <c r="A61" s="1"/>
  <c r="A55"/>
  <c r="A56" s="1"/>
  <c r="A57" s="1"/>
  <c r="A50"/>
  <c r="A51" s="1"/>
  <c r="A52" s="1"/>
  <c r="A43"/>
  <c r="A44" s="1"/>
  <c r="A45" s="1"/>
  <c r="A46" s="1"/>
  <c r="A47" s="1"/>
  <c r="A42"/>
  <c r="A41"/>
  <c r="F65" i="82"/>
  <c r="B65"/>
  <c r="B64"/>
  <c r="B63"/>
  <c r="B62"/>
  <c r="J60"/>
  <c r="F60"/>
  <c r="B60"/>
  <c r="J59"/>
  <c r="F59"/>
  <c r="B59"/>
  <c r="B58"/>
  <c r="A58"/>
  <c r="A59" s="1"/>
  <c r="A60" s="1"/>
  <c r="A61" s="1"/>
  <c r="A62" s="1"/>
  <c r="A63" s="1"/>
  <c r="A64" s="1"/>
  <c r="A65" s="1"/>
  <c r="A66" s="1"/>
  <c r="F57"/>
  <c r="J60" i="74"/>
  <c r="J59"/>
  <c r="C48" i="60"/>
  <c r="B64" i="74"/>
  <c r="B63"/>
  <c r="C49" i="80"/>
  <c r="C60"/>
  <c r="C60" i="72"/>
  <c r="C52" i="80"/>
  <c r="C52" i="72"/>
  <c r="E6" i="80"/>
  <c r="E28" s="1"/>
  <c r="E66" i="60"/>
  <c r="K58" i="81"/>
  <c r="G55"/>
  <c r="K55"/>
  <c r="B58"/>
  <c r="G58"/>
  <c r="F58"/>
  <c r="F59" s="1"/>
  <c r="J54" s="1"/>
  <c r="J55" s="1"/>
  <c r="J56" s="1"/>
  <c r="J57" s="1"/>
  <c r="J58" s="1"/>
  <c r="J59" s="1"/>
  <c r="B55"/>
  <c r="A55"/>
  <c r="A56" s="1"/>
  <c r="A57" s="1"/>
  <c r="A58" s="1"/>
  <c r="A59" s="1"/>
  <c r="F54" s="1"/>
  <c r="F55" s="1"/>
  <c r="F56" s="1"/>
  <c r="A46" i="80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F65" i="74"/>
  <c r="F60"/>
  <c r="F59"/>
  <c r="F57"/>
  <c r="B65"/>
  <c r="B58"/>
  <c r="B62"/>
  <c r="B60"/>
  <c r="B59"/>
  <c r="A58"/>
  <c r="A59" s="1"/>
  <c r="A60" s="1"/>
  <c r="A61" s="1"/>
  <c r="A62" s="1"/>
  <c r="A63" s="1"/>
  <c r="A64" s="1"/>
  <c r="A65" s="1"/>
  <c r="A66" s="1"/>
  <c r="E57" s="1"/>
  <c r="E58" s="1"/>
  <c r="E59" s="1"/>
  <c r="E60" s="1"/>
  <c r="E61" s="1"/>
  <c r="E62" s="1"/>
  <c r="E63" s="1"/>
  <c r="E64" s="1"/>
  <c r="E65" s="1"/>
  <c r="I57" s="1"/>
  <c r="I58" s="1"/>
  <c r="I59" s="1"/>
  <c r="I61" s="1"/>
  <c r="I62" s="1"/>
  <c r="I63" s="1"/>
  <c r="I64" s="1"/>
  <c r="I65" s="1"/>
  <c r="I66" s="1"/>
  <c r="I58" i="73"/>
  <c r="I55"/>
  <c r="F58"/>
  <c r="E58"/>
  <c r="E59" s="1"/>
  <c r="H54" s="1"/>
  <c r="H55" s="1"/>
  <c r="H56" s="1"/>
  <c r="H57" s="1"/>
  <c r="H58" s="1"/>
  <c r="H59" s="1"/>
  <c r="F55"/>
  <c r="B58"/>
  <c r="B55"/>
  <c r="A55"/>
  <c r="A56" s="1"/>
  <c r="A57" s="1"/>
  <c r="A58" s="1"/>
  <c r="A59" s="1"/>
  <c r="E54" s="1"/>
  <c r="E55" s="1"/>
  <c r="E56" s="1"/>
  <c r="C7" i="81"/>
  <c r="D7" s="1"/>
  <c r="C7" i="73"/>
  <c r="D7" s="1"/>
  <c r="A46" i="72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H63" i="43"/>
  <c r="H60"/>
  <c r="B63"/>
  <c r="B60"/>
  <c r="H57"/>
  <c r="B57"/>
  <c r="C8" i="61"/>
  <c r="D8" s="1"/>
  <c r="E8" s="1"/>
  <c r="F8" s="1"/>
  <c r="G8" s="1"/>
  <c r="H8" s="1"/>
  <c r="I8" s="1"/>
  <c r="J8" s="1"/>
  <c r="K8" s="1"/>
  <c r="L8" s="1"/>
  <c r="M8" s="1"/>
  <c r="B31" s="1"/>
  <c r="C31" s="1"/>
  <c r="D31" s="1"/>
  <c r="E31" s="1"/>
  <c r="F31" s="1"/>
  <c r="G31" s="1"/>
  <c r="H31" s="1"/>
  <c r="I31" s="1"/>
  <c r="J31" s="1"/>
  <c r="K31" s="1"/>
  <c r="L31" s="1"/>
  <c r="M31" s="1"/>
  <c r="B55" i="43"/>
  <c r="H55"/>
  <c r="A56"/>
  <c r="A57" s="1"/>
  <c r="A58" s="1"/>
  <c r="A59" s="1"/>
  <c r="A60" s="1"/>
  <c r="A61" s="1"/>
  <c r="A62" s="1"/>
  <c r="A63" s="1"/>
  <c r="A64" s="1"/>
  <c r="G55" s="1"/>
  <c r="G56" s="1"/>
  <c r="G57" s="1"/>
  <c r="G58" s="1"/>
  <c r="G59" s="1"/>
  <c r="G60" s="1"/>
  <c r="G61" s="1"/>
  <c r="G62" s="1"/>
  <c r="G63" s="1"/>
  <c r="G64" s="1"/>
  <c r="C7"/>
  <c r="D7" s="1"/>
  <c r="E7" s="1"/>
  <c r="A42" i="60"/>
  <c r="A43" s="1"/>
  <c r="A44" s="1"/>
  <c r="A45" s="1"/>
  <c r="A46" s="1"/>
  <c r="A47" s="1"/>
  <c r="A48" s="1"/>
  <c r="A49" s="1"/>
  <c r="A50" s="1"/>
  <c r="A51" s="1"/>
  <c r="A52" s="1"/>
  <c r="A53" s="1"/>
  <c r="A54" s="1"/>
  <c r="A10"/>
  <c r="A11" s="1"/>
  <c r="A12" s="1"/>
  <c r="A14" s="1"/>
  <c r="A17" s="1"/>
  <c r="A19" s="1"/>
  <c r="A21" s="1"/>
  <c r="A27" s="1"/>
  <c r="A29" s="1"/>
  <c r="A30" s="1"/>
  <c r="A32" s="1"/>
  <c r="A34" s="1"/>
  <c r="A36" s="1"/>
  <c r="G6" i="74"/>
  <c r="C53" i="82"/>
  <c r="C52"/>
  <c r="C51"/>
  <c r="C50"/>
  <c r="C49"/>
  <c r="C48"/>
  <c r="C47"/>
  <c r="C46"/>
  <c r="C45"/>
  <c r="C44"/>
  <c r="C43"/>
  <c r="C42"/>
  <c r="C41"/>
  <c r="C40"/>
  <c r="C39"/>
  <c r="C38"/>
  <c r="C37"/>
  <c r="C36"/>
  <c r="K33"/>
  <c r="J33"/>
  <c r="I33"/>
  <c r="E33"/>
  <c r="D33"/>
  <c r="C10"/>
  <c r="D10" s="1"/>
  <c r="E10" s="1"/>
  <c r="F10" s="1"/>
  <c r="G10" s="1"/>
  <c r="H10" s="1"/>
  <c r="I10" s="1"/>
  <c r="J10" s="1"/>
  <c r="K10" s="1"/>
  <c r="L10" s="1"/>
  <c r="B34" s="1"/>
  <c r="C34" s="1"/>
  <c r="D34" s="1"/>
  <c r="E34" s="1"/>
  <c r="F34" s="1"/>
  <c r="G34" s="1"/>
  <c r="H34" s="1"/>
  <c r="I34" s="1"/>
  <c r="J34" s="1"/>
  <c r="K34" s="1"/>
  <c r="L34" s="1"/>
  <c r="K57" i="81" s="1"/>
  <c r="L9" i="82"/>
  <c r="K9"/>
  <c r="J9"/>
  <c r="I9"/>
  <c r="H9"/>
  <c r="G9"/>
  <c r="G6"/>
  <c r="A27" i="81"/>
  <c r="A51" s="1"/>
  <c r="A26"/>
  <c r="A50" s="1"/>
  <c r="N26" s="1"/>
  <c r="A25"/>
  <c r="A49" s="1"/>
  <c r="N25" s="1"/>
  <c r="A24"/>
  <c r="A48" s="1"/>
  <c r="N24" s="1"/>
  <c r="A23"/>
  <c r="A47" s="1"/>
  <c r="N23" s="1"/>
  <c r="A22"/>
  <c r="A46" s="1"/>
  <c r="N22" s="1"/>
  <c r="A21"/>
  <c r="A45" s="1"/>
  <c r="N21" s="1"/>
  <c r="A20"/>
  <c r="A44" s="1"/>
  <c r="N20" s="1"/>
  <c r="A19"/>
  <c r="A43" s="1"/>
  <c r="N19" s="1"/>
  <c r="A18"/>
  <c r="A42" s="1"/>
  <c r="N18" s="1"/>
  <c r="A17"/>
  <c r="A41" s="1"/>
  <c r="N17" s="1"/>
  <c r="A16"/>
  <c r="A40" s="1"/>
  <c r="N16" s="1"/>
  <c r="A15"/>
  <c r="A39" s="1"/>
  <c r="N15" s="1"/>
  <c r="A14"/>
  <c r="A38" s="1"/>
  <c r="N14" s="1"/>
  <c r="A13"/>
  <c r="A37" s="1"/>
  <c r="N13" s="1"/>
  <c r="A12"/>
  <c r="A36" s="1"/>
  <c r="N12" s="1"/>
  <c r="A11"/>
  <c r="A35" s="1"/>
  <c r="N11" s="1"/>
  <c r="A10"/>
  <c r="A34" s="1"/>
  <c r="N10" s="1"/>
  <c r="A9"/>
  <c r="A33" s="1"/>
  <c r="N9" s="1"/>
  <c r="A10" i="80"/>
  <c r="A11" s="1"/>
  <c r="A12" s="1"/>
  <c r="A14" s="1"/>
  <c r="A17" s="1"/>
  <c r="A19" s="1"/>
  <c r="A21" s="1"/>
  <c r="A23" s="1"/>
  <c r="A31" s="1"/>
  <c r="A32" s="1"/>
  <c r="A33" s="1"/>
  <c r="A35" s="1"/>
  <c r="A36" s="1"/>
  <c r="A38" s="1"/>
  <c r="A41" s="1"/>
  <c r="A10" i="72"/>
  <c r="A11" s="1"/>
  <c r="A12" s="1"/>
  <c r="A14" s="1"/>
  <c r="A17" s="1"/>
  <c r="A19" s="1"/>
  <c r="A21" s="1"/>
  <c r="A23" s="1"/>
  <c r="A31" s="1"/>
  <c r="A32" s="1"/>
  <c r="A33" s="1"/>
  <c r="A35" s="1"/>
  <c r="A36" s="1"/>
  <c r="A38" s="1"/>
  <c r="A41" s="1"/>
  <c r="I10" i="61"/>
  <c r="C36" i="74"/>
  <c r="C37"/>
  <c r="C38"/>
  <c r="C39"/>
  <c r="C40"/>
  <c r="C41"/>
  <c r="C42"/>
  <c r="C43"/>
  <c r="C44"/>
  <c r="C45"/>
  <c r="C46"/>
  <c r="C47"/>
  <c r="C48"/>
  <c r="C49"/>
  <c r="C50"/>
  <c r="C51"/>
  <c r="C52"/>
  <c r="C53"/>
  <c r="Z12" i="59"/>
  <c r="AA12"/>
  <c r="M27" i="61"/>
  <c r="L27"/>
  <c r="M26"/>
  <c r="L26"/>
  <c r="M25"/>
  <c r="L25"/>
  <c r="M24"/>
  <c r="L24"/>
  <c r="J24" s="1"/>
  <c r="M23"/>
  <c r="L23"/>
  <c r="J23" s="1"/>
  <c r="I22" i="73" s="1"/>
  <c r="M22" i="61"/>
  <c r="L22"/>
  <c r="J22" s="1"/>
  <c r="M21"/>
  <c r="L21"/>
  <c r="J21" s="1"/>
  <c r="J20" i="43" s="1"/>
  <c r="M20" i="61"/>
  <c r="L20"/>
  <c r="J20" s="1"/>
  <c r="M19"/>
  <c r="L19"/>
  <c r="J19" s="1"/>
  <c r="M18"/>
  <c r="L18"/>
  <c r="J18" s="1"/>
  <c r="M17"/>
  <c r="L17"/>
  <c r="J17" s="1"/>
  <c r="M16"/>
  <c r="L16"/>
  <c r="J16" s="1"/>
  <c r="M15"/>
  <c r="L15"/>
  <c r="J15" s="1"/>
  <c r="J14" i="43" s="1"/>
  <c r="M14" i="61"/>
  <c r="L14"/>
  <c r="J14" s="1"/>
  <c r="I13" i="73" s="1"/>
  <c r="M13" i="61"/>
  <c r="L13"/>
  <c r="J13" s="1"/>
  <c r="M12"/>
  <c r="L12"/>
  <c r="J12" s="1"/>
  <c r="M11"/>
  <c r="L11"/>
  <c r="J11" s="1"/>
  <c r="M10"/>
  <c r="L10"/>
  <c r="J10" s="1"/>
  <c r="J9" i="43" s="1"/>
  <c r="M36" i="61"/>
  <c r="L36"/>
  <c r="J36" s="1"/>
  <c r="M35"/>
  <c r="L35"/>
  <c r="J35" s="1"/>
  <c r="I35" i="73" s="1"/>
  <c r="M34" i="61"/>
  <c r="L34"/>
  <c r="J34" s="1"/>
  <c r="M33"/>
  <c r="L33"/>
  <c r="J33" s="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11"/>
  <c r="I12"/>
  <c r="I13"/>
  <c r="I14"/>
  <c r="I15"/>
  <c r="I16"/>
  <c r="I17"/>
  <c r="I18"/>
  <c r="I19"/>
  <c r="I20"/>
  <c r="I21"/>
  <c r="I22"/>
  <c r="I23"/>
  <c r="I24"/>
  <c r="I25"/>
  <c r="I26"/>
  <c r="I27"/>
  <c r="H50"/>
  <c r="F50" s="1"/>
  <c r="G51" i="43" s="1"/>
  <c r="H49" i="61"/>
  <c r="H48"/>
  <c r="F48" s="1"/>
  <c r="H47"/>
  <c r="H46"/>
  <c r="F46" s="1"/>
  <c r="F46" i="73" s="1"/>
  <c r="H45" i="61"/>
  <c r="H44"/>
  <c r="F44" s="1"/>
  <c r="F44" i="73" s="1"/>
  <c r="H43" i="61"/>
  <c r="H42"/>
  <c r="F42" s="1"/>
  <c r="G43" i="43" s="1"/>
  <c r="H41" i="61"/>
  <c r="H40"/>
  <c r="F40" s="1"/>
  <c r="G41" i="43" s="1"/>
  <c r="H39" i="61"/>
  <c r="H38"/>
  <c r="F38" s="1"/>
  <c r="F38" i="73" s="1"/>
  <c r="H37" i="61"/>
  <c r="H36"/>
  <c r="F36" s="1"/>
  <c r="F36" i="73" s="1"/>
  <c r="H35" i="61"/>
  <c r="H34"/>
  <c r="F34" s="1"/>
  <c r="H33"/>
  <c r="H10"/>
  <c r="F10" s="1"/>
  <c r="G9" i="43" s="1"/>
  <c r="H11" i="61"/>
  <c r="F11" s="1"/>
  <c r="F10" i="73" s="1"/>
  <c r="H12" i="61"/>
  <c r="F12" s="1"/>
  <c r="F11" i="73" s="1"/>
  <c r="H13" i="61"/>
  <c r="F13" s="1"/>
  <c r="F12" i="73" s="1"/>
  <c r="H14" i="61"/>
  <c r="F14" s="1"/>
  <c r="F13" i="73" s="1"/>
  <c r="H15" i="61"/>
  <c r="F15" s="1"/>
  <c r="F14" i="73" s="1"/>
  <c r="H16" i="61"/>
  <c r="F16" s="1"/>
  <c r="F15" i="73" s="1"/>
  <c r="H17" i="61"/>
  <c r="F17" s="1"/>
  <c r="G16" i="43" s="1"/>
  <c r="H18" i="61"/>
  <c r="F18" s="1"/>
  <c r="F17" i="73" s="1"/>
  <c r="H19" i="61"/>
  <c r="F19" s="1"/>
  <c r="F18" i="73" s="1"/>
  <c r="H20" i="61"/>
  <c r="F20" s="1"/>
  <c r="G19" i="43" s="1"/>
  <c r="H21" i="61"/>
  <c r="F21" s="1"/>
  <c r="F20" i="73" s="1"/>
  <c r="H22" i="61"/>
  <c r="F22" s="1"/>
  <c r="F21" i="73" s="1"/>
  <c r="H23" i="61"/>
  <c r="F23" s="1"/>
  <c r="G22" i="43" s="1"/>
  <c r="H24" i="61"/>
  <c r="F24" s="1"/>
  <c r="F23" i="73" s="1"/>
  <c r="H25" i="61"/>
  <c r="F25" s="1"/>
  <c r="G24" i="43" s="1"/>
  <c r="H26" i="61"/>
  <c r="F26" s="1"/>
  <c r="F25" i="73" s="1"/>
  <c r="H27" i="61"/>
  <c r="F27" s="1"/>
  <c r="F26" i="73" s="1"/>
  <c r="A10" i="57"/>
  <c r="A11" s="1"/>
  <c r="A12" s="1"/>
  <c r="A14" s="1"/>
  <c r="A15" s="1"/>
  <c r="A17" s="1"/>
  <c r="A18" s="1"/>
  <c r="A19" s="1"/>
  <c r="A22" s="1"/>
  <c r="A23" s="1"/>
  <c r="A24" s="1"/>
  <c r="A26" s="1"/>
  <c r="A27" s="1"/>
  <c r="A28" s="1"/>
  <c r="A29" s="1"/>
  <c r="A32" s="1"/>
  <c r="A33" s="1"/>
  <c r="A34" s="1"/>
  <c r="A35" s="1"/>
  <c r="A36" s="1"/>
  <c r="A37" s="1"/>
  <c r="A38" s="1"/>
  <c r="A36" i="58"/>
  <c r="A37" s="1"/>
  <c r="A38" s="1"/>
  <c r="A39" s="1"/>
  <c r="A40" s="1"/>
  <c r="A41" s="1"/>
  <c r="A42" s="1"/>
  <c r="A43" s="1"/>
  <c r="A44" s="1"/>
  <c r="A45" s="1"/>
  <c r="A14"/>
  <c r="A15" s="1"/>
  <c r="A16" s="1"/>
  <c r="A20" s="1"/>
  <c r="A21" s="1"/>
  <c r="A22" s="1"/>
  <c r="A23" s="1"/>
  <c r="A24" s="1"/>
  <c r="A28" s="1"/>
  <c r="A10" i="38"/>
  <c r="A11" s="1"/>
  <c r="A12" s="1"/>
  <c r="A15" s="1"/>
  <c r="A16" s="1"/>
  <c r="A17" s="1"/>
  <c r="A18" s="1"/>
  <c r="A21" s="1"/>
  <c r="A22" s="1"/>
  <c r="A23" s="1"/>
  <c r="A24" s="1"/>
  <c r="A28" s="1"/>
  <c r="A29" s="1"/>
  <c r="A30" s="1"/>
  <c r="A31" s="1"/>
  <c r="A35" s="1"/>
  <c r="A36" s="1"/>
  <c r="A37" s="1"/>
  <c r="A38" s="1"/>
  <c r="A40" s="1"/>
  <c r="A41" s="1"/>
  <c r="A42" s="1"/>
  <c r="A46" s="1"/>
  <c r="A47" s="1"/>
  <c r="A48" s="1"/>
  <c r="A49" s="1"/>
  <c r="A53" s="1"/>
  <c r="A54" s="1"/>
  <c r="A55" s="1"/>
  <c r="A35" i="45"/>
  <c r="A36" s="1"/>
  <c r="A37" s="1"/>
  <c r="A38" s="1"/>
  <c r="A39" s="1"/>
  <c r="I36" i="73"/>
  <c r="I21"/>
  <c r="J16" i="43"/>
  <c r="I11" i="73"/>
  <c r="E16" i="38"/>
  <c r="G16" s="1"/>
  <c r="A32" i="46"/>
  <c r="A33"/>
  <c r="A34" s="1"/>
  <c r="A35" s="1"/>
  <c r="E31" s="1"/>
  <c r="E32" s="1"/>
  <c r="E33" s="1"/>
  <c r="G31" s="1"/>
  <c r="G32" s="1"/>
  <c r="G33" s="1"/>
  <c r="A55" i="37"/>
  <c r="A56" s="1"/>
  <c r="A57" s="1"/>
  <c r="A58" s="1"/>
  <c r="A59" s="1"/>
  <c r="A60" s="1"/>
  <c r="A61" s="1"/>
  <c r="D54" s="1"/>
  <c r="D55" s="1"/>
  <c r="D56" s="1"/>
  <c r="D57" s="1"/>
  <c r="D58" s="1"/>
  <c r="D60" s="1"/>
  <c r="H54" s="1"/>
  <c r="H55" s="1"/>
  <c r="H56" s="1"/>
  <c r="H57" s="1"/>
  <c r="H58" s="1"/>
  <c r="H59" s="1"/>
  <c r="I34"/>
  <c r="I35"/>
  <c r="I36"/>
  <c r="I37"/>
  <c r="I38"/>
  <c r="I39"/>
  <c r="I40"/>
  <c r="I41"/>
  <c r="I42"/>
  <c r="I43"/>
  <c r="I44"/>
  <c r="I45"/>
  <c r="I46"/>
  <c r="I49"/>
  <c r="H45"/>
  <c r="H41"/>
  <c r="H39"/>
  <c r="H37"/>
  <c r="H35"/>
  <c r="F6" i="4"/>
  <c r="G42" i="38"/>
  <c r="F42"/>
  <c r="D42" s="1"/>
  <c r="K33" i="74"/>
  <c r="J33"/>
  <c r="I33"/>
  <c r="E33"/>
  <c r="D33"/>
  <c r="C10"/>
  <c r="D10" s="1"/>
  <c r="E10" s="1"/>
  <c r="F10" s="1"/>
  <c r="G10" s="1"/>
  <c r="H10" s="1"/>
  <c r="I10" s="1"/>
  <c r="J10" s="1"/>
  <c r="K10" s="1"/>
  <c r="L10" s="1"/>
  <c r="B34" s="1"/>
  <c r="C34" s="1"/>
  <c r="D34" s="1"/>
  <c r="L9"/>
  <c r="K9"/>
  <c r="J9"/>
  <c r="I9"/>
  <c r="H9"/>
  <c r="G9"/>
  <c r="A27" i="73"/>
  <c r="A51" s="1"/>
  <c r="A26"/>
  <c r="A50" s="1"/>
  <c r="L26" s="1"/>
  <c r="A25"/>
  <c r="A49" s="1"/>
  <c r="L25" s="1"/>
  <c r="A24"/>
  <c r="A48" s="1"/>
  <c r="L24" s="1"/>
  <c r="A23"/>
  <c r="A47" s="1"/>
  <c r="L23" s="1"/>
  <c r="A22"/>
  <c r="A46" s="1"/>
  <c r="L22" s="1"/>
  <c r="A21"/>
  <c r="A45" s="1"/>
  <c r="L21" s="1"/>
  <c r="A20"/>
  <c r="A44" s="1"/>
  <c r="L20" s="1"/>
  <c r="A19"/>
  <c r="A43" s="1"/>
  <c r="L19" s="1"/>
  <c r="A18"/>
  <c r="A42" s="1"/>
  <c r="L18" s="1"/>
  <c r="A17"/>
  <c r="A41" s="1"/>
  <c r="L17" s="1"/>
  <c r="A16"/>
  <c r="A40" s="1"/>
  <c r="L16" s="1"/>
  <c r="A15"/>
  <c r="A39" s="1"/>
  <c r="L15" s="1"/>
  <c r="A14"/>
  <c r="A38" s="1"/>
  <c r="L14" s="1"/>
  <c r="A13"/>
  <c r="A37" s="1"/>
  <c r="L13" s="1"/>
  <c r="A12"/>
  <c r="A36" s="1"/>
  <c r="L12" s="1"/>
  <c r="A11"/>
  <c r="A35" s="1"/>
  <c r="L11" s="1"/>
  <c r="A10"/>
  <c r="A34" s="1"/>
  <c r="L10" s="1"/>
  <c r="A9"/>
  <c r="A33" s="1"/>
  <c r="L9" s="1"/>
  <c r="B30" i="37"/>
  <c r="D50" i="61"/>
  <c r="D49"/>
  <c r="B49" s="1"/>
  <c r="D48"/>
  <c r="B48" s="1"/>
  <c r="D49" i="43" s="1"/>
  <c r="D47" i="61"/>
  <c r="B47" s="1"/>
  <c r="D46"/>
  <c r="B46" s="1"/>
  <c r="D45"/>
  <c r="B45" s="1"/>
  <c r="D44"/>
  <c r="B44" s="1"/>
  <c r="D43"/>
  <c r="B43" s="1"/>
  <c r="D42"/>
  <c r="B42" s="1"/>
  <c r="D41"/>
  <c r="D40"/>
  <c r="B40" s="1"/>
  <c r="D39"/>
  <c r="D38"/>
  <c r="B38" s="1"/>
  <c r="D37"/>
  <c r="D36"/>
  <c r="B36" s="1"/>
  <c r="D35"/>
  <c r="D34"/>
  <c r="B34" s="1"/>
  <c r="D33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6"/>
  <c r="B26" s="1"/>
  <c r="D27"/>
  <c r="B27" s="1"/>
  <c r="K50"/>
  <c r="M50" s="1"/>
  <c r="K49"/>
  <c r="M49" s="1"/>
  <c r="K48"/>
  <c r="M48" s="1"/>
  <c r="K47"/>
  <c r="M47" s="1"/>
  <c r="K46"/>
  <c r="M46" s="1"/>
  <c r="K45"/>
  <c r="M45" s="1"/>
  <c r="K44"/>
  <c r="M44" s="1"/>
  <c r="K43"/>
  <c r="M43" s="1"/>
  <c r="K42"/>
  <c r="M42" s="1"/>
  <c r="K41"/>
  <c r="M41" s="1"/>
  <c r="K40"/>
  <c r="M40" s="1"/>
  <c r="K39"/>
  <c r="M39" s="1"/>
  <c r="K38"/>
  <c r="M38" s="1"/>
  <c r="K37"/>
  <c r="M37" s="1"/>
  <c r="E10" i="58"/>
  <c r="E6" i="4"/>
  <c r="AC9" i="57"/>
  <c r="AC17" s="1"/>
  <c r="AD9"/>
  <c r="AD17" s="1"/>
  <c r="AA17" i="59"/>
  <c r="Z17"/>
  <c r="N37" i="44"/>
  <c r="O20" s="1"/>
  <c r="B20" s="1"/>
  <c r="G55" i="38"/>
  <c r="F55"/>
  <c r="D55" s="1"/>
  <c r="D36" i="57" s="1"/>
  <c r="F49" i="38"/>
  <c r="D49" s="1"/>
  <c r="C10" i="45"/>
  <c r="D10"/>
  <c r="E10" s="1"/>
  <c r="F10"/>
  <c r="G10" s="1"/>
  <c r="E48" i="38"/>
  <c r="F48" s="1"/>
  <c r="D48" s="1"/>
  <c r="F10"/>
  <c r="D10" s="1"/>
  <c r="G10"/>
  <c r="G54"/>
  <c r="F54"/>
  <c r="D54" s="1"/>
  <c r="D41" i="57" s="1"/>
  <c r="S41" s="1"/>
  <c r="G53" i="38"/>
  <c r="F53"/>
  <c r="D53" s="1"/>
  <c r="G35"/>
  <c r="G36"/>
  <c r="F35"/>
  <c r="D35" s="1"/>
  <c r="F36"/>
  <c r="D36" s="1"/>
  <c r="G18"/>
  <c r="F18"/>
  <c r="D18" s="1"/>
  <c r="F16"/>
  <c r="D16" s="1"/>
  <c r="G15"/>
  <c r="F15"/>
  <c r="G9"/>
  <c r="G21" s="1"/>
  <c r="F9"/>
  <c r="D9" s="1"/>
  <c r="G37"/>
  <c r="E28"/>
  <c r="E30"/>
  <c r="E31" s="1"/>
  <c r="E47" s="1"/>
  <c r="E22"/>
  <c r="L36" i="37"/>
  <c r="L37"/>
  <c r="K37" s="1"/>
  <c r="K40"/>
  <c r="K43"/>
  <c r="K45"/>
  <c r="E17" i="38"/>
  <c r="E11"/>
  <c r="E12"/>
  <c r="E21"/>
  <c r="A42" i="44"/>
  <c r="A43" s="1"/>
  <c r="A46" s="1"/>
  <c r="A47" s="1"/>
  <c r="A48" s="1"/>
  <c r="F41" s="1"/>
  <c r="F42" s="1"/>
  <c r="F43" s="1"/>
  <c r="F44" s="1"/>
  <c r="F45" s="1"/>
  <c r="F46" s="1"/>
  <c r="F47" s="1"/>
  <c r="F48" s="1"/>
  <c r="F47" i="37"/>
  <c r="K47"/>
  <c r="F48"/>
  <c r="I48" s="1"/>
  <c r="K48"/>
  <c r="K49"/>
  <c r="F50"/>
  <c r="I50" s="1"/>
  <c r="K50"/>
  <c r="F51"/>
  <c r="I51" s="1"/>
  <c r="K51"/>
  <c r="K34"/>
  <c r="B34"/>
  <c r="E34"/>
  <c r="K35"/>
  <c r="B35"/>
  <c r="E35"/>
  <c r="K36"/>
  <c r="B36"/>
  <c r="E36"/>
  <c r="B37"/>
  <c r="E37"/>
  <c r="K38"/>
  <c r="B38"/>
  <c r="E38"/>
  <c r="K39"/>
  <c r="B39"/>
  <c r="E39"/>
  <c r="B40"/>
  <c r="E40"/>
  <c r="K41"/>
  <c r="B41"/>
  <c r="E41"/>
  <c r="K42"/>
  <c r="B42"/>
  <c r="E42"/>
  <c r="B43"/>
  <c r="E43"/>
  <c r="K44"/>
  <c r="B44"/>
  <c r="E44"/>
  <c r="B45"/>
  <c r="E45"/>
  <c r="K46"/>
  <c r="B46"/>
  <c r="E46"/>
  <c r="B47"/>
  <c r="B48"/>
  <c r="B49"/>
  <c r="E49"/>
  <c r="B50"/>
  <c r="E50"/>
  <c r="B51"/>
  <c r="E51"/>
  <c r="E8" i="38"/>
  <c r="F8"/>
  <c r="G8"/>
  <c r="C7" i="46"/>
  <c r="D7" s="1"/>
  <c r="E7"/>
  <c r="F7" s="1"/>
  <c r="G7" s="1"/>
  <c r="H7" s="1"/>
  <c r="I7" s="1"/>
  <c r="J7" s="1"/>
  <c r="K7" s="1"/>
  <c r="L7" s="1"/>
  <c r="L6"/>
  <c r="K6"/>
  <c r="J6"/>
  <c r="I6"/>
  <c r="H6"/>
  <c r="G6"/>
  <c r="F6"/>
  <c r="E6"/>
  <c r="D6"/>
  <c r="K6" i="37"/>
  <c r="J31" s="1"/>
  <c r="J6"/>
  <c r="I31" s="1"/>
  <c r="I6"/>
  <c r="H31" s="1"/>
  <c r="H6"/>
  <c r="G6"/>
  <c r="C31" s="1"/>
  <c r="F6"/>
  <c r="K31" s="1"/>
  <c r="B9" i="46"/>
  <c r="B10"/>
  <c r="B11"/>
  <c r="B12"/>
  <c r="B13"/>
  <c r="B14"/>
  <c r="B15"/>
  <c r="B16"/>
  <c r="B17"/>
  <c r="B18"/>
  <c r="B19"/>
  <c r="B20"/>
  <c r="B21"/>
  <c r="B22"/>
  <c r="B23"/>
  <c r="B24"/>
  <c r="B25"/>
  <c r="B26"/>
  <c r="B34" i="43"/>
  <c r="B9" s="1"/>
  <c r="B35"/>
  <c r="B10" s="1"/>
  <c r="B36"/>
  <c r="B37"/>
  <c r="B12" s="1"/>
  <c r="B38"/>
  <c r="B13" s="1"/>
  <c r="B39"/>
  <c r="B14" s="1"/>
  <c r="B40"/>
  <c r="B41"/>
  <c r="B16" s="1"/>
  <c r="B42"/>
  <c r="B43"/>
  <c r="B18" s="1"/>
  <c r="B44"/>
  <c r="B45"/>
  <c r="B20" s="1"/>
  <c r="B46"/>
  <c r="B21" s="1"/>
  <c r="B47"/>
  <c r="B22" s="1"/>
  <c r="B48"/>
  <c r="B49"/>
  <c r="B24" s="1"/>
  <c r="B50"/>
  <c r="B51"/>
  <c r="B26" s="1"/>
  <c r="A26" i="46"/>
  <c r="A10"/>
  <c r="A11"/>
  <c r="A12"/>
  <c r="A13"/>
  <c r="A14"/>
  <c r="A15"/>
  <c r="A16"/>
  <c r="A17"/>
  <c r="A18"/>
  <c r="A19"/>
  <c r="A20"/>
  <c r="A21"/>
  <c r="A22"/>
  <c r="A23"/>
  <c r="A24"/>
  <c r="A25"/>
  <c r="A9"/>
  <c r="E7" i="37"/>
  <c r="F7" s="1"/>
  <c r="G7" s="1"/>
  <c r="H7" s="1"/>
  <c r="I7" s="1"/>
  <c r="J7" s="1"/>
  <c r="K7" s="1"/>
  <c r="B32" s="1"/>
  <c r="C32" s="1"/>
  <c r="D32" s="1"/>
  <c r="E32" s="1"/>
  <c r="F32" s="1"/>
  <c r="G32" s="1"/>
  <c r="H32" s="1"/>
  <c r="I32" s="1"/>
  <c r="J32" s="1"/>
  <c r="K32" s="1"/>
  <c r="L32" s="1"/>
  <c r="M32" s="1"/>
  <c r="D13" i="4"/>
  <c r="E13"/>
  <c r="F13"/>
  <c r="D5"/>
  <c r="E5"/>
  <c r="F5"/>
  <c r="D10" i="44"/>
  <c r="E10"/>
  <c r="F10"/>
  <c r="D5"/>
  <c r="E5"/>
  <c r="F5"/>
  <c r="A8" i="45"/>
  <c r="A9"/>
  <c r="A9" i="43"/>
  <c r="A12" i="74" s="1"/>
  <c r="A36" s="1"/>
  <c r="A10" i="43"/>
  <c r="A13" i="74" s="1"/>
  <c r="A37" s="1"/>
  <c r="A11" i="43"/>
  <c r="A14" i="82" s="1"/>
  <c r="A38" s="1"/>
  <c r="A12" i="43"/>
  <c r="A15" i="82" s="1"/>
  <c r="A39" s="1"/>
  <c r="A13" i="43"/>
  <c r="A38" s="1"/>
  <c r="M13" s="1"/>
  <c r="A14"/>
  <c r="A17" i="82" s="1"/>
  <c r="A41" s="1"/>
  <c r="A15" i="43"/>
  <c r="A18" i="74" s="1"/>
  <c r="A42" s="1"/>
  <c r="A16" i="43"/>
  <c r="A19" i="82" s="1"/>
  <c r="A43" s="1"/>
  <c r="A17" i="43"/>
  <c r="A20" i="74" s="1"/>
  <c r="A44" s="1"/>
  <c r="A18" i="43"/>
  <c r="A21" i="82" s="1"/>
  <c r="A45" s="1"/>
  <c r="A19" i="43"/>
  <c r="A22" i="74" s="1"/>
  <c r="A46" s="1"/>
  <c r="A20" i="43"/>
  <c r="A23" i="82" s="1"/>
  <c r="A47" s="1"/>
  <c r="A21" i="43"/>
  <c r="A24" i="74" s="1"/>
  <c r="A48" s="1"/>
  <c r="A22" i="43"/>
  <c r="A25" i="82" s="1"/>
  <c r="A49" s="1"/>
  <c r="A23" i="43"/>
  <c r="A26" i="82" s="1"/>
  <c r="A50" s="1"/>
  <c r="A24" i="43"/>
  <c r="A27" i="82" s="1"/>
  <c r="A51" s="1"/>
  <c r="A25" i="43"/>
  <c r="A28" i="74" s="1"/>
  <c r="A52" s="1"/>
  <c r="A26" i="43"/>
  <c r="A29" i="82" s="1"/>
  <c r="A53" s="1"/>
  <c r="A28" i="43"/>
  <c r="B11"/>
  <c r="B15"/>
  <c r="B17"/>
  <c r="B19"/>
  <c r="B23"/>
  <c r="B25"/>
  <c r="C17" i="44"/>
  <c r="D17" s="1"/>
  <c r="E17" s="1"/>
  <c r="F17" s="1"/>
  <c r="G17" s="1"/>
  <c r="H17" s="1"/>
  <c r="I17" s="1"/>
  <c r="J17" s="1"/>
  <c r="K17" s="1"/>
  <c r="L17" s="1"/>
  <c r="A46" i="4"/>
  <c r="A47" s="1"/>
  <c r="A48" s="1"/>
  <c r="A49" s="1"/>
  <c r="A50" s="1"/>
  <c r="A51" s="1"/>
  <c r="A52" s="1"/>
  <c r="I45" s="1"/>
  <c r="I46" s="1"/>
  <c r="I47" s="1"/>
  <c r="I48" s="1"/>
  <c r="I49" s="1"/>
  <c r="I50" s="1"/>
  <c r="I51" s="1"/>
  <c r="I52" s="1"/>
  <c r="A31" i="37"/>
  <c r="C9"/>
  <c r="A34" s="1"/>
  <c r="C10"/>
  <c r="A35" s="1"/>
  <c r="C11"/>
  <c r="A36" s="1"/>
  <c r="C12"/>
  <c r="A37" s="1"/>
  <c r="C13"/>
  <c r="A38" s="1"/>
  <c r="C14"/>
  <c r="A39" s="1"/>
  <c r="C15"/>
  <c r="A40" s="1"/>
  <c r="C16"/>
  <c r="A41" s="1"/>
  <c r="C17"/>
  <c r="A42" s="1"/>
  <c r="C18"/>
  <c r="A43" s="1"/>
  <c r="C19"/>
  <c r="A44" s="1"/>
  <c r="C20"/>
  <c r="A45" s="1"/>
  <c r="C21"/>
  <c r="A46" s="1"/>
  <c r="C22"/>
  <c r="A47" s="1"/>
  <c r="C23"/>
  <c r="A48" s="1"/>
  <c r="C24"/>
  <c r="A49" s="1"/>
  <c r="C25"/>
  <c r="A50" s="1"/>
  <c r="C26"/>
  <c r="A51" s="1"/>
  <c r="C21" i="4"/>
  <c r="D21" s="1"/>
  <c r="E21" s="1"/>
  <c r="F21" s="1"/>
  <c r="G21" s="1"/>
  <c r="H21" s="1"/>
  <c r="I21" s="1"/>
  <c r="J21" s="1"/>
  <c r="K21" s="1"/>
  <c r="L21" s="1"/>
  <c r="G28" i="38"/>
  <c r="G29" s="1"/>
  <c r="G46" s="1"/>
  <c r="F37"/>
  <c r="D37" s="1"/>
  <c r="F28"/>
  <c r="G49"/>
  <c r="E36" i="61"/>
  <c r="E40"/>
  <c r="A27" i="45"/>
  <c r="A25" i="61"/>
  <c r="A48" s="1"/>
  <c r="A19"/>
  <c r="A42" s="1"/>
  <c r="A15"/>
  <c r="A38" s="1"/>
  <c r="A11"/>
  <c r="A34" s="1"/>
  <c r="A23" i="45"/>
  <c r="A19"/>
  <c r="A17"/>
  <c r="A15"/>
  <c r="A13"/>
  <c r="A23" i="61"/>
  <c r="A46" s="1"/>
  <c r="A21"/>
  <c r="A44" s="1"/>
  <c r="A17"/>
  <c r="A40" s="1"/>
  <c r="A13"/>
  <c r="A36" s="1"/>
  <c r="J15" i="43"/>
  <c r="G48" i="38"/>
  <c r="D16" i="45" s="1"/>
  <c r="G35" i="43"/>
  <c r="O35" i="44"/>
  <c r="B35" s="1"/>
  <c r="O33"/>
  <c r="B33" s="1"/>
  <c r="O31"/>
  <c r="B31" s="1"/>
  <c r="O29"/>
  <c r="B29" s="1"/>
  <c r="O27"/>
  <c r="B27" s="1"/>
  <c r="O25"/>
  <c r="B25" s="1"/>
  <c r="O23"/>
  <c r="B23" s="1"/>
  <c r="O21"/>
  <c r="B21"/>
  <c r="O19"/>
  <c r="B19"/>
  <c r="O36"/>
  <c r="B36"/>
  <c r="O34"/>
  <c r="B34"/>
  <c r="O32"/>
  <c r="B32"/>
  <c r="O30"/>
  <c r="B30"/>
  <c r="O28"/>
  <c r="B28"/>
  <c r="O26"/>
  <c r="B26"/>
  <c r="O24"/>
  <c r="B24"/>
  <c r="O22"/>
  <c r="B22"/>
  <c r="B15" i="82" s="1"/>
  <c r="C15" s="1"/>
  <c r="G49" i="43"/>
  <c r="A16" i="74"/>
  <c r="A40" s="1"/>
  <c r="A16" i="45"/>
  <c r="E48" i="37"/>
  <c r="A43" i="43"/>
  <c r="M18" s="1"/>
  <c r="A45"/>
  <c r="M20" s="1"/>
  <c r="A41"/>
  <c r="M16" s="1"/>
  <c r="A37"/>
  <c r="M12" s="1"/>
  <c r="A51"/>
  <c r="M26" s="1"/>
  <c r="A49"/>
  <c r="M24" s="1"/>
  <c r="A47"/>
  <c r="M22" s="1"/>
  <c r="A50"/>
  <c r="M25" s="1"/>
  <c r="A40"/>
  <c r="M15" s="1"/>
  <c r="I16" i="73"/>
  <c r="G11" i="43"/>
  <c r="G10"/>
  <c r="A22" i="45" l="1"/>
  <c r="A12"/>
  <c r="J25" i="61"/>
  <c r="J24" i="43" s="1"/>
  <c r="J26" i="61"/>
  <c r="J25" i="43" s="1"/>
  <c r="J27" i="61"/>
  <c r="J26" i="43" s="1"/>
  <c r="C16" i="4"/>
  <c r="C21" i="58" s="1"/>
  <c r="C22" s="1"/>
  <c r="D22" s="1"/>
  <c r="F33" i="61"/>
  <c r="G34" i="43" s="1"/>
  <c r="F35" i="61"/>
  <c r="G36" i="43" s="1"/>
  <c r="F37" i="61"/>
  <c r="F39"/>
  <c r="G40" i="43" s="1"/>
  <c r="F41" i="61"/>
  <c r="F47"/>
  <c r="F49"/>
  <c r="E28" i="45"/>
  <c r="E26"/>
  <c r="E24"/>
  <c r="E22"/>
  <c r="E20"/>
  <c r="E18"/>
  <c r="E16"/>
  <c r="E14"/>
  <c r="E12"/>
  <c r="E29"/>
  <c r="E27"/>
  <c r="E25"/>
  <c r="E23"/>
  <c r="E21"/>
  <c r="E19"/>
  <c r="E17"/>
  <c r="E15"/>
  <c r="E13"/>
  <c r="D37" i="43"/>
  <c r="E33" i="61"/>
  <c r="B33"/>
  <c r="E35"/>
  <c r="B35"/>
  <c r="E37"/>
  <c r="B37"/>
  <c r="E39"/>
  <c r="B39"/>
  <c r="E41"/>
  <c r="B41"/>
  <c r="E50"/>
  <c r="B50"/>
  <c r="E42"/>
  <c r="D43" i="43" s="1"/>
  <c r="E38" i="61"/>
  <c r="E34"/>
  <c r="E27"/>
  <c r="E26"/>
  <c r="E25"/>
  <c r="E24"/>
  <c r="D23" i="43" s="1"/>
  <c r="E23" i="61"/>
  <c r="E22"/>
  <c r="E21"/>
  <c r="D20" i="43" s="1"/>
  <c r="E20" i="61"/>
  <c r="E19"/>
  <c r="E18"/>
  <c r="E17"/>
  <c r="E16"/>
  <c r="D15" i="43" s="1"/>
  <c r="E15" i="61"/>
  <c r="E14"/>
  <c r="D13" i="43" s="1"/>
  <c r="E13" i="61"/>
  <c r="D12" i="43" s="1"/>
  <c r="E12" i="61"/>
  <c r="E11"/>
  <c r="E10"/>
  <c r="D9" i="43" s="1"/>
  <c r="E43" i="61"/>
  <c r="D44" i="43" s="1"/>
  <c r="E44" i="61"/>
  <c r="D45" i="43" s="1"/>
  <c r="E45" i="61"/>
  <c r="E46"/>
  <c r="E47"/>
  <c r="D48" i="43" s="1"/>
  <c r="E48" i="61"/>
  <c r="E49"/>
  <c r="E23" i="38"/>
  <c r="G22"/>
  <c r="F19" i="73"/>
  <c r="G45" i="43"/>
  <c r="F21" i="38"/>
  <c r="D21" s="1"/>
  <c r="D32" i="57"/>
  <c r="H32" s="1"/>
  <c r="F29" i="38"/>
  <c r="D28"/>
  <c r="D33" i="57" s="1"/>
  <c r="J33" s="1"/>
  <c r="E29" i="38"/>
  <c r="E46" s="1"/>
  <c r="F17"/>
  <c r="D17" s="1"/>
  <c r="D15"/>
  <c r="D10" i="58" s="1"/>
  <c r="C10" s="1"/>
  <c r="C15" s="1"/>
  <c r="G17" i="38"/>
  <c r="G20" i="43"/>
  <c r="G11" i="38"/>
  <c r="G23" s="1"/>
  <c r="F30"/>
  <c r="G30"/>
  <c r="A44" i="43"/>
  <c r="M19" s="1"/>
  <c r="A28" i="45"/>
  <c r="A10" i="61"/>
  <c r="A33" s="1"/>
  <c r="A24" i="45"/>
  <c r="I18" i="59"/>
  <c r="I19" s="1"/>
  <c r="L14" i="57" s="1"/>
  <c r="X10" i="59"/>
  <c r="X17" s="1"/>
  <c r="F43" i="61"/>
  <c r="F43" i="73" s="1"/>
  <c r="F45" i="61"/>
  <c r="F45" i="73" s="1"/>
  <c r="A36" i="43"/>
  <c r="M11" s="1"/>
  <c r="A42"/>
  <c r="M17" s="1"/>
  <c r="A48"/>
  <c r="M23" s="1"/>
  <c r="A26" i="45"/>
  <c r="A34" i="43"/>
  <c r="M9" s="1"/>
  <c r="A18" i="61"/>
  <c r="A41" s="1"/>
  <c r="A46" i="43"/>
  <c r="M21" s="1"/>
  <c r="A14" i="61"/>
  <c r="A37" s="1"/>
  <c r="A22"/>
  <c r="A45" s="1"/>
  <c r="A18" i="45"/>
  <c r="A12" i="61"/>
  <c r="A35" s="1"/>
  <c r="A16"/>
  <c r="A39" s="1"/>
  <c r="A20"/>
  <c r="A43" s="1"/>
  <c r="G14" i="43"/>
  <c r="G26"/>
  <c r="G15"/>
  <c r="G23"/>
  <c r="E31" i="37"/>
  <c r="AD32" i="57"/>
  <c r="G12" i="43"/>
  <c r="G18"/>
  <c r="F22" i="73"/>
  <c r="F9"/>
  <c r="G13" i="43"/>
  <c r="G17"/>
  <c r="G21"/>
  <c r="G25"/>
  <c r="F35" i="73"/>
  <c r="E21" i="72"/>
  <c r="W10" i="59"/>
  <c r="W17" s="1"/>
  <c r="G10"/>
  <c r="G17" s="1"/>
  <c r="C11" i="44"/>
  <c r="D6" i="74" s="1"/>
  <c r="C14" i="4"/>
  <c r="H13" i="74" s="1"/>
  <c r="C6" i="44"/>
  <c r="H21" s="1"/>
  <c r="C6" i="4"/>
  <c r="J38" s="1"/>
  <c r="D14" i="58"/>
  <c r="B31" i="37"/>
  <c r="B19" i="82"/>
  <c r="C19" s="1"/>
  <c r="B18"/>
  <c r="C18" s="1"/>
  <c r="B22"/>
  <c r="C22" s="1"/>
  <c r="B23"/>
  <c r="C23" s="1"/>
  <c r="B12"/>
  <c r="C12" s="1"/>
  <c r="B16"/>
  <c r="C16" s="1"/>
  <c r="B20"/>
  <c r="C20" s="1"/>
  <c r="B24"/>
  <c r="C24" s="1"/>
  <c r="B13"/>
  <c r="C13" s="1"/>
  <c r="E34" i="22"/>
  <c r="A20" i="45"/>
  <c r="H43" i="37"/>
  <c r="H49"/>
  <c r="F41" i="73"/>
  <c r="G42" i="43"/>
  <c r="F49" i="73"/>
  <c r="G50" i="43"/>
  <c r="A26" i="61"/>
  <c r="A49" s="1"/>
  <c r="A23" i="74"/>
  <c r="A47" s="1"/>
  <c r="F7" i="43"/>
  <c r="G7" s="1"/>
  <c r="B54" i="81"/>
  <c r="G54"/>
  <c r="K54"/>
  <c r="A15" i="74"/>
  <c r="A39" s="1"/>
  <c r="B57" i="81"/>
  <c r="G57"/>
  <c r="A27" i="74"/>
  <c r="A51" s="1"/>
  <c r="A19"/>
  <c r="A43" s="1"/>
  <c r="A31" i="58"/>
  <c r="C50" i="72"/>
  <c r="C50" i="80"/>
  <c r="H20" i="44"/>
  <c r="J19"/>
  <c r="G37" i="43"/>
  <c r="N18" i="59"/>
  <c r="N19" s="1"/>
  <c r="Q14" i="57" s="1"/>
  <c r="P10" i="59"/>
  <c r="P12" s="1"/>
  <c r="S9" i="57" s="1"/>
  <c r="S17" s="1"/>
  <c r="E11" i="59"/>
  <c r="Y10"/>
  <c r="Y17" s="1"/>
  <c r="D23" i="45"/>
  <c r="D21"/>
  <c r="L31" i="37"/>
  <c r="F31"/>
  <c r="D25" i="44"/>
  <c r="I13" i="74"/>
  <c r="D45" i="57"/>
  <c r="H25" i="44"/>
  <c r="D20"/>
  <c r="J34"/>
  <c r="C10" i="59"/>
  <c r="C17" s="1"/>
  <c r="Z18"/>
  <c r="J11"/>
  <c r="Z11"/>
  <c r="N11"/>
  <c r="L10"/>
  <c r="L12" s="1"/>
  <c r="D11"/>
  <c r="D36" i="44"/>
  <c r="H11" i="59"/>
  <c r="Y11"/>
  <c r="J10"/>
  <c r="J33" i="44"/>
  <c r="J36"/>
  <c r="E57" i="82"/>
  <c r="E58" s="1"/>
  <c r="E59" s="1"/>
  <c r="E60" s="1"/>
  <c r="E61" s="1"/>
  <c r="E62" s="1"/>
  <c r="E63" s="1"/>
  <c r="E64" s="1"/>
  <c r="E65" s="1"/>
  <c r="I57" s="1"/>
  <c r="I58" s="1"/>
  <c r="I59" s="1"/>
  <c r="I61" s="1"/>
  <c r="I62" s="1"/>
  <c r="I63" s="1"/>
  <c r="I64" s="1"/>
  <c r="I65" s="1"/>
  <c r="I66" s="1"/>
  <c r="E7" i="73"/>
  <c r="D24" i="45"/>
  <c r="F24" s="1"/>
  <c r="E21" i="60"/>
  <c r="D15" i="45"/>
  <c r="D27"/>
  <c r="D28"/>
  <c r="F28" s="1"/>
  <c r="D29"/>
  <c r="F29" s="1"/>
  <c r="D26"/>
  <c r="F26" s="1"/>
  <c r="D12"/>
  <c r="F12" s="1"/>
  <c r="F7" i="81"/>
  <c r="H7" i="43"/>
  <c r="A12" i="82"/>
  <c r="A36" s="1"/>
  <c r="A13"/>
  <c r="A37" s="1"/>
  <c r="B14"/>
  <c r="C14" s="1"/>
  <c r="A16"/>
  <c r="A40" s="1"/>
  <c r="B17"/>
  <c r="C17" s="1"/>
  <c r="A18"/>
  <c r="A42" s="1"/>
  <c r="A20"/>
  <c r="A44" s="1"/>
  <c r="B21"/>
  <c r="C21" s="1"/>
  <c r="A22"/>
  <c r="A46" s="1"/>
  <c r="A24"/>
  <c r="A48" s="1"/>
  <c r="B25"/>
  <c r="C25" s="1"/>
  <c r="A28"/>
  <c r="A52" s="1"/>
  <c r="C42" i="81"/>
  <c r="C40"/>
  <c r="C38"/>
  <c r="C36"/>
  <c r="D36" i="43"/>
  <c r="G5" i="74"/>
  <c r="K10" i="81"/>
  <c r="K12"/>
  <c r="K14"/>
  <c r="K16"/>
  <c r="K18"/>
  <c r="K20"/>
  <c r="K22"/>
  <c r="K24"/>
  <c r="K26"/>
  <c r="K34"/>
  <c r="K36"/>
  <c r="G34"/>
  <c r="G36"/>
  <c r="G38"/>
  <c r="G40"/>
  <c r="G42"/>
  <c r="G44"/>
  <c r="G46"/>
  <c r="G48"/>
  <c r="G50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C41"/>
  <c r="D40" i="43"/>
  <c r="C37" i="81"/>
  <c r="C34"/>
  <c r="C26"/>
  <c r="D25" i="43"/>
  <c r="C24" i="81"/>
  <c r="C23"/>
  <c r="C22"/>
  <c r="C21"/>
  <c r="C20"/>
  <c r="C19"/>
  <c r="C18"/>
  <c r="C17"/>
  <c r="C16"/>
  <c r="C15"/>
  <c r="C14"/>
  <c r="C13"/>
  <c r="C12"/>
  <c r="C11"/>
  <c r="C10"/>
  <c r="C33"/>
  <c r="C43"/>
  <c r="C44"/>
  <c r="C45"/>
  <c r="C46"/>
  <c r="C47"/>
  <c r="C48"/>
  <c r="C49"/>
  <c r="C50"/>
  <c r="K6" i="82"/>
  <c r="K9" i="81"/>
  <c r="K11"/>
  <c r="K13"/>
  <c r="I15" i="73"/>
  <c r="J17" i="43"/>
  <c r="K19" i="81"/>
  <c r="K21"/>
  <c r="I23" i="73"/>
  <c r="I25"/>
  <c r="I33"/>
  <c r="J36" i="43"/>
  <c r="G33" i="81"/>
  <c r="G35"/>
  <c r="G37"/>
  <c r="G39"/>
  <c r="G41"/>
  <c r="G43"/>
  <c r="G45"/>
  <c r="G47"/>
  <c r="G49"/>
  <c r="H15" i="74"/>
  <c r="I25"/>
  <c r="E6" i="72"/>
  <c r="E28" s="1"/>
  <c r="K6" i="74"/>
  <c r="E65" i="80"/>
  <c r="K15" i="81"/>
  <c r="K17"/>
  <c r="K23"/>
  <c r="C25"/>
  <c r="K25"/>
  <c r="K33"/>
  <c r="C35"/>
  <c r="K35"/>
  <c r="C39"/>
  <c r="D6" i="82"/>
  <c r="H27"/>
  <c r="H24"/>
  <c r="H22"/>
  <c r="H20"/>
  <c r="H18"/>
  <c r="H16"/>
  <c r="H14"/>
  <c r="H12"/>
  <c r="I27"/>
  <c r="I24"/>
  <c r="I22"/>
  <c r="I20"/>
  <c r="I18"/>
  <c r="I16"/>
  <c r="I14"/>
  <c r="I12"/>
  <c r="C9" i="81"/>
  <c r="D21" i="58"/>
  <c r="I19" i="73"/>
  <c r="H30" i="44"/>
  <c r="H22"/>
  <c r="H31"/>
  <c r="H23"/>
  <c r="H34" i="4"/>
  <c r="H26"/>
  <c r="H35"/>
  <c r="H27"/>
  <c r="D11" i="43"/>
  <c r="D19"/>
  <c r="F31" i="4"/>
  <c r="D31"/>
  <c r="D25"/>
  <c r="F24"/>
  <c r="J40"/>
  <c r="J37"/>
  <c r="D38"/>
  <c r="F23"/>
  <c r="F29"/>
  <c r="F32"/>
  <c r="F36"/>
  <c r="J32"/>
  <c r="D32"/>
  <c r="D29"/>
  <c r="J33"/>
  <c r="J31"/>
  <c r="F25"/>
  <c r="J28"/>
  <c r="D27"/>
  <c r="J26"/>
  <c r="D36"/>
  <c r="J28" i="44"/>
  <c r="D29"/>
  <c r="F21"/>
  <c r="D33"/>
  <c r="F19"/>
  <c r="D31"/>
  <c r="D24"/>
  <c r="J34" i="43"/>
  <c r="F47" i="73"/>
  <c r="F39"/>
  <c r="J21" i="43"/>
  <c r="G46"/>
  <c r="G38"/>
  <c r="J23"/>
  <c r="R11" i="59"/>
  <c r="W11"/>
  <c r="F11"/>
  <c r="T10"/>
  <c r="T17" s="1"/>
  <c r="P11"/>
  <c r="D24" i="43"/>
  <c r="D16"/>
  <c r="K10" i="59"/>
  <c r="K12" s="1"/>
  <c r="N9" i="57" s="1"/>
  <c r="N17" s="1"/>
  <c r="X18" i="59"/>
  <c r="X19" s="1"/>
  <c r="AA14" i="57" s="1"/>
  <c r="T18" i="59"/>
  <c r="G18"/>
  <c r="U11"/>
  <c r="L18"/>
  <c r="L19" s="1"/>
  <c r="O14" i="57" s="1"/>
  <c r="I10" i="59"/>
  <c r="I17" s="1"/>
  <c r="M18"/>
  <c r="M19" s="1"/>
  <c r="P14" i="57" s="1"/>
  <c r="T11" i="59"/>
  <c r="D34" i="44"/>
  <c r="D21"/>
  <c r="J26"/>
  <c r="O10" i="59"/>
  <c r="O17" s="1"/>
  <c r="R18"/>
  <c r="R19" s="1"/>
  <c r="U14" i="57" s="1"/>
  <c r="O18" i="59"/>
  <c r="G11"/>
  <c r="D30" i="44"/>
  <c r="F35"/>
  <c r="F23"/>
  <c r="D28"/>
  <c r="F28" i="4"/>
  <c r="F33" i="73"/>
  <c r="F37"/>
  <c r="G44" i="43"/>
  <c r="G48"/>
  <c r="D18" i="59"/>
  <c r="D19" s="1"/>
  <c r="G14" i="57" s="1"/>
  <c r="B36" i="82"/>
  <c r="B37"/>
  <c r="B38"/>
  <c r="B39"/>
  <c r="B40"/>
  <c r="B41"/>
  <c r="B42"/>
  <c r="B43"/>
  <c r="B44"/>
  <c r="B45"/>
  <c r="B46"/>
  <c r="B47"/>
  <c r="B48"/>
  <c r="B49"/>
  <c r="B50"/>
  <c r="B51"/>
  <c r="B52"/>
  <c r="B53"/>
  <c r="C42" i="73"/>
  <c r="C36"/>
  <c r="C33"/>
  <c r="C43"/>
  <c r="C44"/>
  <c r="C47"/>
  <c r="C48"/>
  <c r="J10" i="43"/>
  <c r="J12"/>
  <c r="I14" i="73"/>
  <c r="J18" i="43"/>
  <c r="I20" i="73"/>
  <c r="J22" i="43"/>
  <c r="I24" i="73"/>
  <c r="I26"/>
  <c r="I34"/>
  <c r="F34"/>
  <c r="G39" i="43"/>
  <c r="F40" i="73"/>
  <c r="F42"/>
  <c r="G47" i="43"/>
  <c r="F48" i="73"/>
  <c r="F50"/>
  <c r="F24"/>
  <c r="F16"/>
  <c r="H18" i="74"/>
  <c r="C39" i="73"/>
  <c r="C35"/>
  <c r="C25"/>
  <c r="C24"/>
  <c r="C23"/>
  <c r="C20"/>
  <c r="C19"/>
  <c r="C16"/>
  <c r="C15"/>
  <c r="C13"/>
  <c r="C12"/>
  <c r="C11"/>
  <c r="C9"/>
  <c r="I9"/>
  <c r="J11" i="43"/>
  <c r="J13"/>
  <c r="I17" i="73"/>
  <c r="J19" i="43"/>
  <c r="M33" i="57"/>
  <c r="K33"/>
  <c r="T33"/>
  <c r="Y33"/>
  <c r="W33"/>
  <c r="P33"/>
  <c r="H17" i="74"/>
  <c r="B14"/>
  <c r="C14" s="1"/>
  <c r="B18"/>
  <c r="C18" s="1"/>
  <c r="B22"/>
  <c r="C22" s="1"/>
  <c r="B12"/>
  <c r="C12" s="1"/>
  <c r="B16"/>
  <c r="C16" s="1"/>
  <c r="B20"/>
  <c r="C20" s="1"/>
  <c r="B24"/>
  <c r="C24" s="1"/>
  <c r="B13"/>
  <c r="C13" s="1"/>
  <c r="B17"/>
  <c r="C17" s="1"/>
  <c r="B21"/>
  <c r="C21" s="1"/>
  <c r="B25"/>
  <c r="C25" s="1"/>
  <c r="B15"/>
  <c r="C15" s="1"/>
  <c r="B19"/>
  <c r="C19" s="1"/>
  <c r="B23"/>
  <c r="C23" s="1"/>
  <c r="D41" i="43"/>
  <c r="C40" i="73"/>
  <c r="C38"/>
  <c r="D39" i="43"/>
  <c r="C34" i="73"/>
  <c r="D35" i="43"/>
  <c r="A30" i="45"/>
  <c r="A52" i="43"/>
  <c r="A25" i="74"/>
  <c r="A49" s="1"/>
  <c r="A25" i="45"/>
  <c r="A17" i="74"/>
  <c r="A41" s="1"/>
  <c r="A39" i="43"/>
  <c r="M14" s="1"/>
  <c r="A14" i="74"/>
  <c r="A38" s="1"/>
  <c r="A14" i="45"/>
  <c r="H26" i="74"/>
  <c r="H48" i="37"/>
  <c r="E47"/>
  <c r="I47"/>
  <c r="F12" i="38"/>
  <c r="D12" s="1"/>
  <c r="E24"/>
  <c r="C45" i="73"/>
  <c r="D46" i="43"/>
  <c r="C46" i="73"/>
  <c r="D47" i="43"/>
  <c r="C49" i="73"/>
  <c r="D50" i="43"/>
  <c r="C50" i="73"/>
  <c r="D51" i="43"/>
  <c r="I33" i="57"/>
  <c r="AB33"/>
  <c r="R33"/>
  <c r="AD33"/>
  <c r="G33"/>
  <c r="A35" i="43"/>
  <c r="M10" s="1"/>
  <c r="C41" i="73"/>
  <c r="D42" i="43"/>
  <c r="C37" i="73"/>
  <c r="D38" i="43"/>
  <c r="A29" i="74"/>
  <c r="A53" s="1"/>
  <c r="A29" i="45"/>
  <c r="A27" i="61"/>
  <c r="A50" s="1"/>
  <c r="A26" i="74"/>
  <c r="A50" s="1"/>
  <c r="A24" i="61"/>
  <c r="A47" s="1"/>
  <c r="A21" i="74"/>
  <c r="A45" s="1"/>
  <c r="A21" i="45"/>
  <c r="D31" i="37"/>
  <c r="G31"/>
  <c r="M31"/>
  <c r="H29" i="74"/>
  <c r="H51" i="37"/>
  <c r="H28" i="74"/>
  <c r="H50" i="37"/>
  <c r="F22" i="38"/>
  <c r="D22" s="1"/>
  <c r="F11"/>
  <c r="D26" i="43"/>
  <c r="C26" i="73"/>
  <c r="D22" i="43"/>
  <c r="C22" i="73"/>
  <c r="C21"/>
  <c r="D21" i="43"/>
  <c r="D18"/>
  <c r="C18" i="73"/>
  <c r="C17"/>
  <c r="D17" i="43"/>
  <c r="D14"/>
  <c r="C14" i="73"/>
  <c r="D10" i="43"/>
  <c r="C10" i="73"/>
  <c r="H34" i="37"/>
  <c r="H36"/>
  <c r="H38"/>
  <c r="H40"/>
  <c r="H42"/>
  <c r="H44"/>
  <c r="H46"/>
  <c r="L37" i="61"/>
  <c r="J37" s="1"/>
  <c r="L38"/>
  <c r="J38" s="1"/>
  <c r="L39"/>
  <c r="J39" s="1"/>
  <c r="L40"/>
  <c r="J40" s="1"/>
  <c r="L41"/>
  <c r="J41" s="1"/>
  <c r="L42"/>
  <c r="J42" s="1"/>
  <c r="L43"/>
  <c r="J43" s="1"/>
  <c r="L44"/>
  <c r="J44" s="1"/>
  <c r="L45"/>
  <c r="J45" s="1"/>
  <c r="L46"/>
  <c r="J46" s="1"/>
  <c r="L47"/>
  <c r="J47" s="1"/>
  <c r="L48"/>
  <c r="J48" s="1"/>
  <c r="L49"/>
  <c r="J49" s="1"/>
  <c r="L50"/>
  <c r="J50" s="1"/>
  <c r="AA41" i="57"/>
  <c r="AD41"/>
  <c r="W41"/>
  <c r="O41"/>
  <c r="U41"/>
  <c r="H27" i="74"/>
  <c r="H23"/>
  <c r="H20"/>
  <c r="H19"/>
  <c r="L17" i="59"/>
  <c r="Y41" i="57"/>
  <c r="E41"/>
  <c r="R41"/>
  <c r="L41"/>
  <c r="X41"/>
  <c r="F21" i="45"/>
  <c r="F15"/>
  <c r="K18" i="59"/>
  <c r="K19" s="1"/>
  <c r="N14" i="57" s="1"/>
  <c r="P18" i="59"/>
  <c r="P19" s="1"/>
  <c r="S14" i="57" s="1"/>
  <c r="S11" i="59"/>
  <c r="S10"/>
  <c r="S12" s="1"/>
  <c r="V9" i="57" s="1"/>
  <c r="V17" s="1"/>
  <c r="Q11" i="59"/>
  <c r="H18"/>
  <c r="H19" s="1"/>
  <c r="K14" i="57" s="1"/>
  <c r="N10" i="59"/>
  <c r="N17" s="1"/>
  <c r="Y18"/>
  <c r="Y19" s="1"/>
  <c r="AB14" i="57" s="1"/>
  <c r="C11" i="59"/>
  <c r="S18"/>
  <c r="S19" s="1"/>
  <c r="V14" i="57" s="1"/>
  <c r="D10" i="59"/>
  <c r="J18"/>
  <c r="J19" s="1"/>
  <c r="M14" i="57" s="1"/>
  <c r="O11" i="59"/>
  <c r="K11"/>
  <c r="F18"/>
  <c r="F19" s="1"/>
  <c r="I14" i="57" s="1"/>
  <c r="R10" i="59"/>
  <c r="W18"/>
  <c r="W19" s="1"/>
  <c r="Z14" i="57" s="1"/>
  <c r="AA11" i="59"/>
  <c r="M11"/>
  <c r="V18"/>
  <c r="V19" s="1"/>
  <c r="Y14" i="57" s="1"/>
  <c r="M10" i="59"/>
  <c r="M17" s="1"/>
  <c r="F10"/>
  <c r="F17" s="1"/>
  <c r="V10"/>
  <c r="V17" s="1"/>
  <c r="E18"/>
  <c r="E19" s="1"/>
  <c r="H14" i="57" s="1"/>
  <c r="U18" i="59"/>
  <c r="U19" s="1"/>
  <c r="X14" i="57" s="1"/>
  <c r="L11" i="59"/>
  <c r="X11"/>
  <c r="Q18"/>
  <c r="Q19" s="1"/>
  <c r="T14" i="57" s="1"/>
  <c r="H10" i="59"/>
  <c r="H17" s="1"/>
  <c r="U10"/>
  <c r="U17" s="1"/>
  <c r="I11"/>
  <c r="V11"/>
  <c r="E10"/>
  <c r="E17" s="1"/>
  <c r="C18"/>
  <c r="C19" s="1"/>
  <c r="F14" i="57" s="1"/>
  <c r="Q10" i="59"/>
  <c r="Q17" s="1"/>
  <c r="AA18"/>
  <c r="AA19" s="1"/>
  <c r="AD14" i="57" s="1"/>
  <c r="I10" i="73"/>
  <c r="I12"/>
  <c r="I18"/>
  <c r="J35" i="43"/>
  <c r="J37"/>
  <c r="T41" i="57"/>
  <c r="M41"/>
  <c r="I41"/>
  <c r="AC41"/>
  <c r="P41"/>
  <c r="J41"/>
  <c r="F41"/>
  <c r="H41"/>
  <c r="Z41"/>
  <c r="Q41"/>
  <c r="V41"/>
  <c r="K41"/>
  <c r="AB41"/>
  <c r="N41"/>
  <c r="G41"/>
  <c r="F23" i="45"/>
  <c r="E34" i="74"/>
  <c r="P17" i="59"/>
  <c r="N32" i="57"/>
  <c r="D14" i="45"/>
  <c r="F14" s="1"/>
  <c r="D20"/>
  <c r="F20" s="1"/>
  <c r="D17"/>
  <c r="F17" s="1"/>
  <c r="D22"/>
  <c r="F22" s="1"/>
  <c r="D13"/>
  <c r="F13" s="1"/>
  <c r="D25"/>
  <c r="F25" s="1"/>
  <c r="D19"/>
  <c r="F19" s="1"/>
  <c r="D18"/>
  <c r="W32" i="57"/>
  <c r="T32"/>
  <c r="U32"/>
  <c r="P32"/>
  <c r="M32"/>
  <c r="Y32"/>
  <c r="Z32"/>
  <c r="AB32"/>
  <c r="S32"/>
  <c r="Q32"/>
  <c r="AC32"/>
  <c r="X12" i="59"/>
  <c r="AA9" i="57" s="1"/>
  <c r="AA17" s="1"/>
  <c r="Z19" i="59"/>
  <c r="AC14" i="57" s="1"/>
  <c r="T19" i="59"/>
  <c r="W14" i="57" s="1"/>
  <c r="O9"/>
  <c r="O17" s="1"/>
  <c r="Y12" i="59"/>
  <c r="AB9" i="57" s="1"/>
  <c r="AB17" s="1"/>
  <c r="W12" i="59"/>
  <c r="Z9" i="57" s="1"/>
  <c r="Z17" s="1"/>
  <c r="G12" i="59"/>
  <c r="J9" i="57" s="1"/>
  <c r="J17" s="1"/>
  <c r="O19" i="59"/>
  <c r="R14" i="57" s="1"/>
  <c r="G19" i="59"/>
  <c r="J14" i="57" s="1"/>
  <c r="X32"/>
  <c r="O32"/>
  <c r="K32"/>
  <c r="F32"/>
  <c r="AA32"/>
  <c r="G32"/>
  <c r="V32"/>
  <c r="L32"/>
  <c r="I32"/>
  <c r="R32"/>
  <c r="J32"/>
  <c r="E32"/>
  <c r="F16" i="45"/>
  <c r="S33" i="57"/>
  <c r="AC33"/>
  <c r="X33"/>
  <c r="E33"/>
  <c r="L33"/>
  <c r="H33"/>
  <c r="Z33"/>
  <c r="AA33"/>
  <c r="O33"/>
  <c r="Q33"/>
  <c r="V33"/>
  <c r="F33"/>
  <c r="U33"/>
  <c r="N33"/>
  <c r="C24" i="58" l="1"/>
  <c r="C28" s="1"/>
  <c r="E17" i="80" s="1"/>
  <c r="F37" i="4"/>
  <c r="D33"/>
  <c r="D35"/>
  <c r="H33"/>
  <c r="J27"/>
  <c r="F35"/>
  <c r="F26"/>
  <c r="H32"/>
  <c r="H21" i="74"/>
  <c r="D23" i="4"/>
  <c r="D34" i="43"/>
  <c r="F23" i="38"/>
  <c r="D23" s="1"/>
  <c r="D11"/>
  <c r="G31"/>
  <c r="G47" s="1"/>
  <c r="D15" i="58"/>
  <c r="D24" s="1"/>
  <c r="D28" s="1"/>
  <c r="D30" i="38"/>
  <c r="D42" i="57" s="1"/>
  <c r="F31" i="38"/>
  <c r="F46"/>
  <c r="D46" s="1"/>
  <c r="D28" i="57" s="1"/>
  <c r="D29" i="38"/>
  <c r="B30" i="74"/>
  <c r="D30" i="4"/>
  <c r="J30"/>
  <c r="D24"/>
  <c r="J39"/>
  <c r="F30"/>
  <c r="H23"/>
  <c r="H31"/>
  <c r="H39"/>
  <c r="H30"/>
  <c r="H38"/>
  <c r="G5" i="82"/>
  <c r="I13"/>
  <c r="I15"/>
  <c r="I17"/>
  <c r="I19"/>
  <c r="I21"/>
  <c r="I23"/>
  <c r="I25"/>
  <c r="I29"/>
  <c r="H13"/>
  <c r="H15"/>
  <c r="G15" s="1"/>
  <c r="H17"/>
  <c r="H19"/>
  <c r="G19" s="1"/>
  <c r="H21"/>
  <c r="H23"/>
  <c r="G23" s="1"/>
  <c r="I26"/>
  <c r="I28"/>
  <c r="I15" i="74"/>
  <c r="G15" s="1"/>
  <c r="I27"/>
  <c r="D37" i="4"/>
  <c r="D39"/>
  <c r="F38"/>
  <c r="D28"/>
  <c r="J25"/>
  <c r="J29"/>
  <c r="H25"/>
  <c r="H24"/>
  <c r="H40"/>
  <c r="I29" i="74"/>
  <c r="G29" s="1"/>
  <c r="F40" i="4"/>
  <c r="K31"/>
  <c r="C12" i="59"/>
  <c r="F9" i="57" s="1"/>
  <c r="F17" s="1"/>
  <c r="O12" i="59"/>
  <c r="R9" i="57" s="1"/>
  <c r="R17" s="1"/>
  <c r="J20" i="44"/>
  <c r="D19"/>
  <c r="J22"/>
  <c r="F20"/>
  <c r="F34"/>
  <c r="F24"/>
  <c r="F22"/>
  <c r="D27"/>
  <c r="D26"/>
  <c r="D22"/>
  <c r="D23"/>
  <c r="F33"/>
  <c r="J23"/>
  <c r="K23" s="1"/>
  <c r="L23" s="1"/>
  <c r="B27" i="4" s="1"/>
  <c r="H19" i="44"/>
  <c r="H27"/>
  <c r="H35"/>
  <c r="H26"/>
  <c r="H34"/>
  <c r="K34" s="1"/>
  <c r="H36"/>
  <c r="F25"/>
  <c r="J24"/>
  <c r="J32"/>
  <c r="F30"/>
  <c r="H24"/>
  <c r="J30"/>
  <c r="K30" s="1"/>
  <c r="D23" i="82" s="1"/>
  <c r="E23" s="1"/>
  <c r="N12" i="59"/>
  <c r="Q9" i="57" s="1"/>
  <c r="Q17" s="1"/>
  <c r="K17" i="59"/>
  <c r="H29" i="4"/>
  <c r="K38"/>
  <c r="J24"/>
  <c r="G13" i="74"/>
  <c r="V12" i="59"/>
  <c r="Y9" i="57" s="1"/>
  <c r="Y17" s="1"/>
  <c r="J36" i="4"/>
  <c r="J23"/>
  <c r="K23" s="1"/>
  <c r="J35"/>
  <c r="K35" s="1"/>
  <c r="F27"/>
  <c r="K27" s="1"/>
  <c r="H28"/>
  <c r="H14" i="74"/>
  <c r="D35" i="44"/>
  <c r="J31"/>
  <c r="J25"/>
  <c r="F28"/>
  <c r="H33"/>
  <c r="H32"/>
  <c r="D32"/>
  <c r="D37" s="1"/>
  <c r="F29"/>
  <c r="F31"/>
  <c r="F26"/>
  <c r="M12" i="59"/>
  <c r="P9" i="57" s="1"/>
  <c r="P17" s="1"/>
  <c r="I12" i="59"/>
  <c r="L9" i="57" s="1"/>
  <c r="L17" s="1"/>
  <c r="F12" i="59"/>
  <c r="I9" i="57" s="1"/>
  <c r="I17" s="1"/>
  <c r="T12" i="59"/>
  <c r="W9" i="57" s="1"/>
  <c r="W17" s="1"/>
  <c r="F27" i="45"/>
  <c r="I12" i="74"/>
  <c r="I28"/>
  <c r="G28" s="1"/>
  <c r="H24"/>
  <c r="H22"/>
  <c r="I14"/>
  <c r="I16"/>
  <c r="I26"/>
  <c r="I24"/>
  <c r="I23"/>
  <c r="G23" s="1"/>
  <c r="I22"/>
  <c r="I21"/>
  <c r="I20"/>
  <c r="I19"/>
  <c r="G19" s="1"/>
  <c r="I18"/>
  <c r="I17"/>
  <c r="G17" s="1"/>
  <c r="H12"/>
  <c r="H16"/>
  <c r="J34" i="4"/>
  <c r="D34"/>
  <c r="F39"/>
  <c r="K39" s="1"/>
  <c r="F33"/>
  <c r="K33" s="1"/>
  <c r="D40"/>
  <c r="D26"/>
  <c r="K26" s="1"/>
  <c r="F34"/>
  <c r="H37"/>
  <c r="H36"/>
  <c r="F36" i="44"/>
  <c r="J27"/>
  <c r="F32"/>
  <c r="K32" s="1"/>
  <c r="F27"/>
  <c r="J21"/>
  <c r="K21" s="1"/>
  <c r="J35"/>
  <c r="K35" s="1"/>
  <c r="D28" i="74" s="1"/>
  <c r="E28" s="1"/>
  <c r="F28" s="1"/>
  <c r="J29" i="44"/>
  <c r="H29"/>
  <c r="H28"/>
  <c r="G20" i="74"/>
  <c r="G26"/>
  <c r="G18"/>
  <c r="E17" i="72"/>
  <c r="E17" i="60" s="1"/>
  <c r="K37" i="4"/>
  <c r="K30"/>
  <c r="I49" i="73"/>
  <c r="J50" i="43"/>
  <c r="K49" i="81"/>
  <c r="I47" i="73"/>
  <c r="K47" i="81"/>
  <c r="J48" i="43"/>
  <c r="I45" i="73"/>
  <c r="K45" i="81"/>
  <c r="J46" i="43"/>
  <c r="K43" i="81"/>
  <c r="J44" i="43"/>
  <c r="I43" i="73"/>
  <c r="J42" i="43"/>
  <c r="K41" i="81"/>
  <c r="I41" i="73"/>
  <c r="J40" i="43"/>
  <c r="K39" i="81"/>
  <c r="I39" i="73"/>
  <c r="I37"/>
  <c r="K37" i="81"/>
  <c r="J38" i="43"/>
  <c r="I50" i="73"/>
  <c r="K50" i="81"/>
  <c r="J51" i="43"/>
  <c r="J49"/>
  <c r="K48" i="81"/>
  <c r="I48" i="73"/>
  <c r="I46"/>
  <c r="K46" i="81"/>
  <c r="J47" i="43"/>
  <c r="J45"/>
  <c r="K44" i="81"/>
  <c r="I44" i="73"/>
  <c r="I42"/>
  <c r="K42" i="81"/>
  <c r="J43" i="43"/>
  <c r="J41"/>
  <c r="K40" i="81"/>
  <c r="I40" i="73"/>
  <c r="I38"/>
  <c r="K38" i="81"/>
  <c r="J39" i="43"/>
  <c r="G7" i="81"/>
  <c r="H7" s="1"/>
  <c r="J7" s="1"/>
  <c r="C30" i="74"/>
  <c r="G27"/>
  <c r="S17" i="59"/>
  <c r="F18" i="45"/>
  <c r="D23" i="74"/>
  <c r="E23" s="1"/>
  <c r="F23" s="1"/>
  <c r="K23" s="1"/>
  <c r="B11" i="59"/>
  <c r="J12"/>
  <c r="M9" i="57" s="1"/>
  <c r="M17" s="1"/>
  <c r="J17" i="59"/>
  <c r="K25" i="44"/>
  <c r="F34" i="74"/>
  <c r="G34" s="1"/>
  <c r="B54" i="73"/>
  <c r="F7"/>
  <c r="G7" s="1"/>
  <c r="H12" i="59"/>
  <c r="K9" i="57" s="1"/>
  <c r="K17" s="1"/>
  <c r="I7" i="43"/>
  <c r="J7" s="1"/>
  <c r="K7" s="1"/>
  <c r="K32" i="4"/>
  <c r="B30" i="82"/>
  <c r="K29" i="4"/>
  <c r="E12" i="59"/>
  <c r="H9" i="57" s="1"/>
  <c r="H17" s="1"/>
  <c r="K24" i="44"/>
  <c r="K33"/>
  <c r="K24" i="4"/>
  <c r="K28"/>
  <c r="K25"/>
  <c r="D26" i="74"/>
  <c r="E26" s="1"/>
  <c r="F26" s="1"/>
  <c r="K26" s="1"/>
  <c r="K28" i="44"/>
  <c r="D21" i="74" s="1"/>
  <c r="E21" s="1"/>
  <c r="F21" s="1"/>
  <c r="E65" i="72"/>
  <c r="U12" i="59"/>
  <c r="X9" i="57" s="1"/>
  <c r="X17" s="1"/>
  <c r="B18" i="59"/>
  <c r="B19" s="1"/>
  <c r="E14" i="57" s="1"/>
  <c r="F23" i="82"/>
  <c r="G13"/>
  <c r="G17"/>
  <c r="G21"/>
  <c r="G27"/>
  <c r="H29"/>
  <c r="C30"/>
  <c r="G12"/>
  <c r="G14"/>
  <c r="G16"/>
  <c r="G18"/>
  <c r="G20"/>
  <c r="G22"/>
  <c r="G24"/>
  <c r="H26"/>
  <c r="H28"/>
  <c r="Q12" i="59"/>
  <c r="T9" i="57" s="1"/>
  <c r="T17" s="1"/>
  <c r="B10" i="59"/>
  <c r="B12" s="1"/>
  <c r="H47" i="37"/>
  <c r="G12" i="38"/>
  <c r="F24"/>
  <c r="D24" s="1"/>
  <c r="R12" i="59"/>
  <c r="U9" i="57" s="1"/>
  <c r="U17" s="1"/>
  <c r="R17" i="59"/>
  <c r="L30" i="44"/>
  <c r="D12" i="59"/>
  <c r="G9" i="57" s="1"/>
  <c r="G17" s="1"/>
  <c r="D17" i="59"/>
  <c r="C31" i="58"/>
  <c r="K23" i="82" l="1"/>
  <c r="J47" s="1"/>
  <c r="B44" i="81" s="1"/>
  <c r="D44" s="1"/>
  <c r="G21" i="74"/>
  <c r="Y42" i="57"/>
  <c r="H42"/>
  <c r="M42"/>
  <c r="N42"/>
  <c r="S42"/>
  <c r="T42"/>
  <c r="L42"/>
  <c r="E42"/>
  <c r="U42"/>
  <c r="AB42"/>
  <c r="W42"/>
  <c r="I42"/>
  <c r="Z42"/>
  <c r="F42"/>
  <c r="Q42"/>
  <c r="AD42"/>
  <c r="R42"/>
  <c r="P42"/>
  <c r="X42"/>
  <c r="V42"/>
  <c r="G42"/>
  <c r="K42"/>
  <c r="O42"/>
  <c r="J42"/>
  <c r="AA42"/>
  <c r="AC42"/>
  <c r="F47" i="38"/>
  <c r="D47" s="1"/>
  <c r="D29" i="57" s="1"/>
  <c r="D31" i="38"/>
  <c r="K40" i="4"/>
  <c r="G14" i="74"/>
  <c r="K29" i="44"/>
  <c r="D22" i="82" s="1"/>
  <c r="E22" s="1"/>
  <c r="F22" s="1"/>
  <c r="K20" i="44"/>
  <c r="K36"/>
  <c r="K26"/>
  <c r="D19" i="82" s="1"/>
  <c r="E19" s="1"/>
  <c r="F19" s="1"/>
  <c r="K19" s="1"/>
  <c r="E43" s="1"/>
  <c r="B16" i="81" s="1"/>
  <c r="D16" s="1"/>
  <c r="K22" i="44"/>
  <c r="E9" i="57"/>
  <c r="E17" s="1"/>
  <c r="K27" i="44"/>
  <c r="D20" i="82" s="1"/>
  <c r="E20" s="1"/>
  <c r="F20" s="1"/>
  <c r="K20" s="1"/>
  <c r="J44" s="1"/>
  <c r="B41" i="81" s="1"/>
  <c r="D41" s="1"/>
  <c r="K34" i="4"/>
  <c r="K31" i="44"/>
  <c r="D27" i="82"/>
  <c r="E27" s="1"/>
  <c r="F27" s="1"/>
  <c r="K27" s="1"/>
  <c r="J51" s="1"/>
  <c r="B48" i="81" s="1"/>
  <c r="D48" s="1"/>
  <c r="D27" i="74"/>
  <c r="E27" s="1"/>
  <c r="F27" s="1"/>
  <c r="K27" s="1"/>
  <c r="L34" i="44"/>
  <c r="L26"/>
  <c r="K19"/>
  <c r="D16" i="82"/>
  <c r="E16" s="1"/>
  <c r="F16" s="1"/>
  <c r="K16" s="1"/>
  <c r="J40" s="1"/>
  <c r="B37" i="81" s="1"/>
  <c r="D37" s="1"/>
  <c r="D16" i="74"/>
  <c r="E16" s="1"/>
  <c r="F16" s="1"/>
  <c r="D21" i="82"/>
  <c r="E21" s="1"/>
  <c r="L29" i="44"/>
  <c r="B33" i="4" s="1"/>
  <c r="D19" i="37" s="1"/>
  <c r="K36" i="4"/>
  <c r="D28" i="82"/>
  <c r="E28" s="1"/>
  <c r="F28" s="1"/>
  <c r="L28" s="1"/>
  <c r="L28" i="44"/>
  <c r="D20" i="74"/>
  <c r="E20" s="1"/>
  <c r="F20" s="1"/>
  <c r="L20" s="1"/>
  <c r="L35" i="44"/>
  <c r="B39" i="4" s="1"/>
  <c r="L27" i="44"/>
  <c r="B31" i="4" s="1"/>
  <c r="D17" i="37" s="1"/>
  <c r="G16" i="74"/>
  <c r="L21" i="44"/>
  <c r="B25" i="4" s="1"/>
  <c r="L25" s="1"/>
  <c r="E11" i="37" s="1"/>
  <c r="I11" s="1"/>
  <c r="D11" i="46" s="1"/>
  <c r="D14" i="82"/>
  <c r="E14" s="1"/>
  <c r="F14" s="1"/>
  <c r="K14" s="1"/>
  <c r="D14" i="74"/>
  <c r="E14" s="1"/>
  <c r="F14" s="1"/>
  <c r="J14" s="1"/>
  <c r="J27"/>
  <c r="J21"/>
  <c r="J37" i="44"/>
  <c r="F37"/>
  <c r="G12" i="74"/>
  <c r="K16"/>
  <c r="L20" i="82"/>
  <c r="L27"/>
  <c r="B17" i="59"/>
  <c r="H37" i="44"/>
  <c r="G22" i="74"/>
  <c r="G24"/>
  <c r="L26"/>
  <c r="J26"/>
  <c r="K7" i="81"/>
  <c r="L7" s="1"/>
  <c r="L25" i="44"/>
  <c r="D18" i="82"/>
  <c r="E18" s="1"/>
  <c r="F18" s="1"/>
  <c r="K18" s="1"/>
  <c r="E42" s="1"/>
  <c r="B15" i="81" s="1"/>
  <c r="D18" i="74"/>
  <c r="E18" s="1"/>
  <c r="F18" s="1"/>
  <c r="J18" s="1"/>
  <c r="D25"/>
  <c r="E25" s="1"/>
  <c r="F25" s="1"/>
  <c r="L25" s="1"/>
  <c r="D25" i="82"/>
  <c r="E25" s="1"/>
  <c r="F25" s="1"/>
  <c r="L25" s="1"/>
  <c r="L32" i="44"/>
  <c r="H34" i="74"/>
  <c r="B57" i="73"/>
  <c r="H7"/>
  <c r="J23" i="74"/>
  <c r="L21"/>
  <c r="B32" i="43"/>
  <c r="L23" i="74"/>
  <c r="K21"/>
  <c r="D26" i="82"/>
  <c r="E26" s="1"/>
  <c r="F26" s="1"/>
  <c r="L26" s="1"/>
  <c r="L33" i="44"/>
  <c r="B37" i="4" s="1"/>
  <c r="D17" i="82"/>
  <c r="E17" s="1"/>
  <c r="F17" s="1"/>
  <c r="K17" s="1"/>
  <c r="J41" s="1"/>
  <c r="B38" i="81" s="1"/>
  <c r="D38" s="1"/>
  <c r="H25" i="82"/>
  <c r="L23"/>
  <c r="J23"/>
  <c r="I47" s="1"/>
  <c r="E47"/>
  <c r="B20" i="81" s="1"/>
  <c r="D20" s="1"/>
  <c r="L16" i="74"/>
  <c r="L24" i="44"/>
  <c r="J27" i="82"/>
  <c r="I51" s="1"/>
  <c r="D17" i="74"/>
  <c r="E17" s="1"/>
  <c r="B38" i="4"/>
  <c r="J18" i="82"/>
  <c r="I42" s="1"/>
  <c r="E51"/>
  <c r="B24" i="81" s="1"/>
  <c r="D24" s="1"/>
  <c r="P24" s="1"/>
  <c r="J42" i="82"/>
  <c r="B39" i="81" s="1"/>
  <c r="D39" s="1"/>
  <c r="G26" i="82"/>
  <c r="B32" i="4"/>
  <c r="F21" i="82"/>
  <c r="J21" s="1"/>
  <c r="D47"/>
  <c r="G25"/>
  <c r="G28"/>
  <c r="G29"/>
  <c r="D11" i="37"/>
  <c r="H25" i="74"/>
  <c r="G25" s="1"/>
  <c r="L27"/>
  <c r="G24" i="38"/>
  <c r="K28" i="74"/>
  <c r="J28"/>
  <c r="L28"/>
  <c r="B30" i="4"/>
  <c r="B34"/>
  <c r="K14" i="74"/>
  <c r="D13" i="37"/>
  <c r="L27" i="4"/>
  <c r="E13" i="37" s="1"/>
  <c r="K13" s="1"/>
  <c r="L31" i="4"/>
  <c r="E17" i="37" s="1"/>
  <c r="K11"/>
  <c r="L18" i="74"/>
  <c r="D25" i="37"/>
  <c r="L39" i="4"/>
  <c r="E25" i="37" s="1"/>
  <c r="J11" l="1"/>
  <c r="L14" i="74"/>
  <c r="J16"/>
  <c r="D19"/>
  <c r="E19" s="1"/>
  <c r="F19" s="1"/>
  <c r="L16" i="82"/>
  <c r="K22"/>
  <c r="L22"/>
  <c r="J22"/>
  <c r="L33" i="4"/>
  <c r="E19" i="37" s="1"/>
  <c r="K20" i="74"/>
  <c r="J43" i="82"/>
  <c r="B40" i="81" s="1"/>
  <c r="D40" s="1"/>
  <c r="J19" i="82"/>
  <c r="I43" s="1"/>
  <c r="J20"/>
  <c r="I44" s="1"/>
  <c r="J19" i="74"/>
  <c r="L19" i="82"/>
  <c r="D22" i="74"/>
  <c r="E22" s="1"/>
  <c r="F22" s="1"/>
  <c r="J22" s="1"/>
  <c r="D13"/>
  <c r="E13" s="1"/>
  <c r="F13" s="1"/>
  <c r="D13" i="82"/>
  <c r="E13" s="1"/>
  <c r="F13" s="1"/>
  <c r="L20" i="44"/>
  <c r="B24" i="4" s="1"/>
  <c r="K18" i="74"/>
  <c r="E44" i="82"/>
  <c r="B17" i="81" s="1"/>
  <c r="J20" i="74"/>
  <c r="E40" i="82"/>
  <c r="B13" i="81" s="1"/>
  <c r="J16" i="82"/>
  <c r="I40" s="1"/>
  <c r="D15"/>
  <c r="E15" s="1"/>
  <c r="F15" s="1"/>
  <c r="L22" i="44"/>
  <c r="B26" i="4" s="1"/>
  <c r="D15" i="74"/>
  <c r="E15" s="1"/>
  <c r="F15" s="1"/>
  <c r="D29" i="82"/>
  <c r="L36" i="44"/>
  <c r="B40" i="4" s="1"/>
  <c r="D29" i="74"/>
  <c r="D24" i="82"/>
  <c r="E24" s="1"/>
  <c r="F24" s="1"/>
  <c r="D24" i="74"/>
  <c r="E24" s="1"/>
  <c r="F24" s="1"/>
  <c r="L31" i="44"/>
  <c r="B35" i="4" s="1"/>
  <c r="D12" i="82"/>
  <c r="E12" s="1"/>
  <c r="F12" s="1"/>
  <c r="L19" i="44"/>
  <c r="B23" i="4" s="1"/>
  <c r="D12" i="74"/>
  <c r="E12" s="1"/>
  <c r="F12" s="1"/>
  <c r="L12" s="1"/>
  <c r="J25"/>
  <c r="J26" i="82"/>
  <c r="D50" s="1"/>
  <c r="L14"/>
  <c r="J38"/>
  <c r="B35" i="81" s="1"/>
  <c r="D35" s="1"/>
  <c r="E38" i="82"/>
  <c r="B11" i="81" s="1"/>
  <c r="D11" s="1"/>
  <c r="L18" i="82"/>
  <c r="J14"/>
  <c r="I38" s="1"/>
  <c r="J25"/>
  <c r="D49" s="1"/>
  <c r="D40"/>
  <c r="E41"/>
  <c r="B14" i="81" s="1"/>
  <c r="D14" s="1"/>
  <c r="P14" s="1"/>
  <c r="K25" i="82"/>
  <c r="E49" s="1"/>
  <c r="B22" i="81" s="1"/>
  <c r="M7"/>
  <c r="B31"/>
  <c r="B29" i="4"/>
  <c r="B36"/>
  <c r="I34" i="74"/>
  <c r="J34" s="1"/>
  <c r="F54" i="73"/>
  <c r="I7"/>
  <c r="J7" s="1"/>
  <c r="K7" s="1"/>
  <c r="D51" i="82"/>
  <c r="L17"/>
  <c r="J17"/>
  <c r="C32" i="43"/>
  <c r="L37" i="44"/>
  <c r="E59" i="60" s="1"/>
  <c r="O24" i="81"/>
  <c r="O20"/>
  <c r="K26" i="82"/>
  <c r="J50" s="1"/>
  <c r="B47" i="81" s="1"/>
  <c r="D47" s="1"/>
  <c r="D42" i="82"/>
  <c r="K28"/>
  <c r="J52" s="1"/>
  <c r="B49" i="81" s="1"/>
  <c r="D49" s="1"/>
  <c r="P20"/>
  <c r="D44" i="82"/>
  <c r="D43"/>
  <c r="B28" i="4"/>
  <c r="J13" i="37"/>
  <c r="F17" i="74"/>
  <c r="P16" i="81"/>
  <c r="L37" i="4"/>
  <c r="E23" i="37" s="1"/>
  <c r="D23"/>
  <c r="D24"/>
  <c r="L38" i="4"/>
  <c r="E24" i="37" s="1"/>
  <c r="O16" i="81"/>
  <c r="J13" i="82"/>
  <c r="D37" s="1"/>
  <c r="O17" i="81"/>
  <c r="D17"/>
  <c r="P17" s="1"/>
  <c r="I45" i="82"/>
  <c r="D45"/>
  <c r="I46"/>
  <c r="D46"/>
  <c r="I49"/>
  <c r="O14" i="81"/>
  <c r="J28" i="82"/>
  <c r="O13" i="81"/>
  <c r="D13"/>
  <c r="P13" s="1"/>
  <c r="K13" i="82"/>
  <c r="L13"/>
  <c r="D10" i="37"/>
  <c r="L24" i="4"/>
  <c r="E10" i="37" s="1"/>
  <c r="I10" s="1"/>
  <c r="D10" i="46" s="1"/>
  <c r="J49" i="82"/>
  <c r="B46" i="81" s="1"/>
  <c r="D46" s="1"/>
  <c r="K21" i="82"/>
  <c r="L21"/>
  <c r="L32" i="4"/>
  <c r="E18" i="37" s="1"/>
  <c r="D18"/>
  <c r="O15" i="81"/>
  <c r="D15"/>
  <c r="P15" s="1"/>
  <c r="K25" i="74"/>
  <c r="I13" i="37"/>
  <c r="D13" i="46" s="1"/>
  <c r="G13" s="1"/>
  <c r="L26" i="4"/>
  <c r="D12" i="37"/>
  <c r="L23" i="4"/>
  <c r="E9" i="37" s="1"/>
  <c r="D9"/>
  <c r="L35" i="4"/>
  <c r="E21" i="37" s="1"/>
  <c r="D21"/>
  <c r="L30" i="4"/>
  <c r="E16" i="37" s="1"/>
  <c r="D16"/>
  <c r="D20"/>
  <c r="L34" i="4"/>
  <c r="I19" i="37"/>
  <c r="D19" i="46" s="1"/>
  <c r="K19" i="37"/>
  <c r="J19"/>
  <c r="I17"/>
  <c r="D17" i="46" s="1"/>
  <c r="J17" i="37"/>
  <c r="K17"/>
  <c r="F13" i="46"/>
  <c r="E13"/>
  <c r="J25" i="37"/>
  <c r="I25"/>
  <c r="D25" i="46" s="1"/>
  <c r="K25" i="37"/>
  <c r="F11" i="46"/>
  <c r="E11"/>
  <c r="J11"/>
  <c r="G11"/>
  <c r="J12" i="74" l="1"/>
  <c r="K12"/>
  <c r="I50" i="82"/>
  <c r="K19" i="74"/>
  <c r="L19"/>
  <c r="L22"/>
  <c r="K22"/>
  <c r="J46" i="82"/>
  <c r="B43" i="81" s="1"/>
  <c r="D43" s="1"/>
  <c r="E46" i="82"/>
  <c r="B19" i="81" s="1"/>
  <c r="E29" i="74"/>
  <c r="E30" s="1"/>
  <c r="E29" i="82"/>
  <c r="E30" s="1"/>
  <c r="J13" i="74"/>
  <c r="K13"/>
  <c r="L13"/>
  <c r="I37" i="82"/>
  <c r="K24"/>
  <c r="L24"/>
  <c r="J24"/>
  <c r="D26" i="37"/>
  <c r="L40" i="4"/>
  <c r="E26" i="37" s="1"/>
  <c r="L15" i="74"/>
  <c r="J15"/>
  <c r="K15"/>
  <c r="K15" i="82"/>
  <c r="J15"/>
  <c r="L15"/>
  <c r="K24" i="74"/>
  <c r="L24"/>
  <c r="J24"/>
  <c r="K12" i="82"/>
  <c r="L12"/>
  <c r="J12"/>
  <c r="E50"/>
  <c r="B23" i="81" s="1"/>
  <c r="O23" s="1"/>
  <c r="O11"/>
  <c r="P11"/>
  <c r="K10" i="37"/>
  <c r="E52" i="82"/>
  <c r="B25" i="81" s="1"/>
  <c r="O25" s="1"/>
  <c r="D38" i="82"/>
  <c r="B41" i="4"/>
  <c r="H41" s="1"/>
  <c r="J13" i="46"/>
  <c r="J10" i="37"/>
  <c r="C31" i="81"/>
  <c r="D31" s="1"/>
  <c r="C54" i="80"/>
  <c r="L29" i="4"/>
  <c r="E15" i="37" s="1"/>
  <c r="D15"/>
  <c r="L36" i="4"/>
  <c r="D22" i="37"/>
  <c r="K34" i="74"/>
  <c r="F57" i="73"/>
  <c r="B31"/>
  <c r="E68" i="60"/>
  <c r="I41" i="82"/>
  <c r="D41"/>
  <c r="D32" i="43"/>
  <c r="E32" s="1"/>
  <c r="C41" i="60" s="1"/>
  <c r="J60" i="57"/>
  <c r="J61" s="1"/>
  <c r="X60"/>
  <c r="X61" s="1"/>
  <c r="AB60"/>
  <c r="AB61" s="1"/>
  <c r="S60"/>
  <c r="S61" s="1"/>
  <c r="O60"/>
  <c r="O61" s="1"/>
  <c r="AC60"/>
  <c r="AC61" s="1"/>
  <c r="K60"/>
  <c r="K61" s="1"/>
  <c r="W60"/>
  <c r="W61" s="1"/>
  <c r="H60"/>
  <c r="H61" s="1"/>
  <c r="Z60"/>
  <c r="Z61" s="1"/>
  <c r="R60"/>
  <c r="R61" s="1"/>
  <c r="Y60"/>
  <c r="Y61" s="1"/>
  <c r="I60"/>
  <c r="I61" s="1"/>
  <c r="G60"/>
  <c r="G61" s="1"/>
  <c r="U60"/>
  <c r="U61" s="1"/>
  <c r="AA60"/>
  <c r="AA61" s="1"/>
  <c r="M60"/>
  <c r="M61" s="1"/>
  <c r="L60"/>
  <c r="L61" s="1"/>
  <c r="V60"/>
  <c r="V61" s="1"/>
  <c r="T60"/>
  <c r="T61" s="1"/>
  <c r="N60"/>
  <c r="N61" s="1"/>
  <c r="P60"/>
  <c r="P61" s="1"/>
  <c r="F60"/>
  <c r="AD60"/>
  <c r="AD61" s="1"/>
  <c r="Q60"/>
  <c r="Q61" s="1"/>
  <c r="L28" i="4"/>
  <c r="E14" i="37" s="1"/>
  <c r="D14"/>
  <c r="K17" i="74"/>
  <c r="J17"/>
  <c r="L17"/>
  <c r="J23" i="37"/>
  <c r="K23"/>
  <c r="I23"/>
  <c r="D23" i="46" s="1"/>
  <c r="I24" i="37"/>
  <c r="D24" i="46" s="1"/>
  <c r="J24" i="37"/>
  <c r="K24"/>
  <c r="J18"/>
  <c r="K18"/>
  <c r="I18"/>
  <c r="D18" i="46" s="1"/>
  <c r="J45" i="82"/>
  <c r="B42" i="81" s="1"/>
  <c r="D42" s="1"/>
  <c r="E45" i="82"/>
  <c r="B18" i="81" s="1"/>
  <c r="J37" i="82"/>
  <c r="E37"/>
  <c r="I52"/>
  <c r="D52"/>
  <c r="D23" i="81"/>
  <c r="P23" s="1"/>
  <c r="O22"/>
  <c r="D22"/>
  <c r="P22" s="1"/>
  <c r="D25"/>
  <c r="P25" s="1"/>
  <c r="J41" i="4"/>
  <c r="E20" i="37"/>
  <c r="I16"/>
  <c r="D16" i="46" s="1"/>
  <c r="K16" i="37"/>
  <c r="J16"/>
  <c r="I21"/>
  <c r="D21" i="46" s="1"/>
  <c r="J21" i="37"/>
  <c r="K21"/>
  <c r="D27"/>
  <c r="E12"/>
  <c r="E17" i="46"/>
  <c r="E19"/>
  <c r="J19"/>
  <c r="G19"/>
  <c r="F17"/>
  <c r="J17"/>
  <c r="G17"/>
  <c r="F19"/>
  <c r="H13"/>
  <c r="K13"/>
  <c r="I13"/>
  <c r="L13"/>
  <c r="J15" i="37"/>
  <c r="I15"/>
  <c r="D15" i="46" s="1"/>
  <c r="K15" i="37"/>
  <c r="L11" i="46"/>
  <c r="I11"/>
  <c r="G25"/>
  <c r="J25"/>
  <c r="E10"/>
  <c r="G10"/>
  <c r="J10"/>
  <c r="H11"/>
  <c r="K11"/>
  <c r="F25"/>
  <c r="E25"/>
  <c r="F10"/>
  <c r="D19" i="81" l="1"/>
  <c r="P19" s="1"/>
  <c r="O19"/>
  <c r="F29" i="82"/>
  <c r="F29" i="74"/>
  <c r="J39" i="82"/>
  <c r="B36" i="81" s="1"/>
  <c r="D36" s="1"/>
  <c r="E39" i="82"/>
  <c r="B12" i="81" s="1"/>
  <c r="K26" i="37"/>
  <c r="F26" i="46" s="1"/>
  <c r="I26" s="1"/>
  <c r="I26" i="37"/>
  <c r="D26" i="46" s="1"/>
  <c r="J26" i="37"/>
  <c r="E26" i="46" s="1"/>
  <c r="K26" s="1"/>
  <c r="I48" i="82"/>
  <c r="D48"/>
  <c r="J48"/>
  <c r="B45" i="81" s="1"/>
  <c r="D45" s="1"/>
  <c r="E48" i="82"/>
  <c r="B21" i="81" s="1"/>
  <c r="I39" i="82"/>
  <c r="D39"/>
  <c r="D36"/>
  <c r="I36"/>
  <c r="J36"/>
  <c r="B33" i="81" s="1"/>
  <c r="D33" s="1"/>
  <c r="E36" i="82"/>
  <c r="B9" i="81" s="1"/>
  <c r="F41" i="4"/>
  <c r="D41"/>
  <c r="L41"/>
  <c r="C45" i="80"/>
  <c r="F31" i="81"/>
  <c r="H58" i="43"/>
  <c r="E22" i="37"/>
  <c r="E27" s="1"/>
  <c r="L34" i="74"/>
  <c r="I57" i="73" s="1"/>
  <c r="I54"/>
  <c r="C54" i="72"/>
  <c r="C31" i="73"/>
  <c r="D31" s="1"/>
  <c r="F32" i="43"/>
  <c r="G32" s="1"/>
  <c r="H32" s="1"/>
  <c r="C42" i="60" s="1"/>
  <c r="F61" i="57"/>
  <c r="D61" s="1"/>
  <c r="D60"/>
  <c r="J14" i="37"/>
  <c r="K14"/>
  <c r="I14"/>
  <c r="D14" i="46" s="1"/>
  <c r="G23"/>
  <c r="J23"/>
  <c r="E23"/>
  <c r="F23"/>
  <c r="F24"/>
  <c r="G24"/>
  <c r="J24"/>
  <c r="E24"/>
  <c r="B10" i="81"/>
  <c r="O18"/>
  <c r="D18"/>
  <c r="P18" s="1"/>
  <c r="J18" i="46"/>
  <c r="G18"/>
  <c r="E18"/>
  <c r="B34" i="81"/>
  <c r="F18" i="46"/>
  <c r="J12" i="37"/>
  <c r="I12"/>
  <c r="D12" i="46" s="1"/>
  <c r="K12" i="37"/>
  <c r="E21" i="46"/>
  <c r="E16"/>
  <c r="J16"/>
  <c r="G16"/>
  <c r="I20" i="37"/>
  <c r="D20" i="46" s="1"/>
  <c r="K20" i="37"/>
  <c r="J20"/>
  <c r="I9"/>
  <c r="D9" i="46" s="1"/>
  <c r="J9" s="1"/>
  <c r="K9" i="37"/>
  <c r="J9"/>
  <c r="E9" i="46" s="1"/>
  <c r="F21"/>
  <c r="J21"/>
  <c r="G21"/>
  <c r="F16"/>
  <c r="L17"/>
  <c r="I17"/>
  <c r="K19"/>
  <c r="H19"/>
  <c r="I19"/>
  <c r="L19"/>
  <c r="H17"/>
  <c r="K17"/>
  <c r="H10"/>
  <c r="K10"/>
  <c r="L26"/>
  <c r="F15"/>
  <c r="E15"/>
  <c r="I10"/>
  <c r="L10"/>
  <c r="K25"/>
  <c r="H25"/>
  <c r="I25"/>
  <c r="L25"/>
  <c r="H26"/>
  <c r="J15"/>
  <c r="G15"/>
  <c r="J29" i="82" l="1"/>
  <c r="F30"/>
  <c r="L29"/>
  <c r="L30" s="1"/>
  <c r="K29"/>
  <c r="K29" i="74"/>
  <c r="K30" s="1"/>
  <c r="L29"/>
  <c r="L30" s="1"/>
  <c r="J29"/>
  <c r="J30" s="1"/>
  <c r="F30"/>
  <c r="D21" i="81"/>
  <c r="P21" s="1"/>
  <c r="O21"/>
  <c r="J26" i="46"/>
  <c r="G26"/>
  <c r="O12" i="81"/>
  <c r="D12"/>
  <c r="P12" s="1"/>
  <c r="D9"/>
  <c r="P9" s="1"/>
  <c r="O9"/>
  <c r="I32" i="43"/>
  <c r="J32" s="1"/>
  <c r="K32" s="1"/>
  <c r="C43" i="60" s="1"/>
  <c r="G31" i="81"/>
  <c r="H31" s="1"/>
  <c r="C55" i="80"/>
  <c r="K22" i="37"/>
  <c r="I22"/>
  <c r="D22" i="46" s="1"/>
  <c r="D27" s="1"/>
  <c r="J22" i="37"/>
  <c r="E31" i="73"/>
  <c r="C45" i="72"/>
  <c r="G9" i="46"/>
  <c r="G14"/>
  <c r="J14"/>
  <c r="E14"/>
  <c r="F14"/>
  <c r="I23"/>
  <c r="L23"/>
  <c r="K23"/>
  <c r="H23"/>
  <c r="K24"/>
  <c r="H24"/>
  <c r="I24"/>
  <c r="L24"/>
  <c r="I18"/>
  <c r="L18"/>
  <c r="H18"/>
  <c r="K18"/>
  <c r="O10" i="81"/>
  <c r="D10"/>
  <c r="K27" i="37"/>
  <c r="E60" i="60" s="1"/>
  <c r="D34" i="81"/>
  <c r="J27" i="37"/>
  <c r="I16" i="46"/>
  <c r="L16"/>
  <c r="F20"/>
  <c r="K16"/>
  <c r="H16"/>
  <c r="F12"/>
  <c r="E12"/>
  <c r="L21"/>
  <c r="I21"/>
  <c r="F9"/>
  <c r="E20"/>
  <c r="J20"/>
  <c r="G20"/>
  <c r="H21"/>
  <c r="K21"/>
  <c r="G12"/>
  <c r="J12"/>
  <c r="K15"/>
  <c r="H15"/>
  <c r="I15"/>
  <c r="L15"/>
  <c r="D53" i="82" l="1"/>
  <c r="D54" s="1"/>
  <c r="I53"/>
  <c r="I54" s="1"/>
  <c r="J30"/>
  <c r="E80" i="60" s="1"/>
  <c r="E89" s="1"/>
  <c r="K30" i="82"/>
  <c r="J53"/>
  <c r="E53"/>
  <c r="J31" i="81"/>
  <c r="C46" i="80"/>
  <c r="I27" i="37"/>
  <c r="E63" i="60" s="1"/>
  <c r="E72" s="1"/>
  <c r="E22" i="46"/>
  <c r="F22"/>
  <c r="F27" s="1"/>
  <c r="D10" i="57" s="1"/>
  <c r="J22" i="46"/>
  <c r="J27" s="1"/>
  <c r="G22"/>
  <c r="G27" s="1"/>
  <c r="F31" i="73"/>
  <c r="G31" s="1"/>
  <c r="C55" i="72"/>
  <c r="E62" i="60"/>
  <c r="E71" s="1"/>
  <c r="E69"/>
  <c r="I14" i="46"/>
  <c r="L14"/>
  <c r="H14"/>
  <c r="K14"/>
  <c r="P10" i="81"/>
  <c r="K20" i="46"/>
  <c r="H20"/>
  <c r="I9"/>
  <c r="L9"/>
  <c r="H12"/>
  <c r="K12"/>
  <c r="I12"/>
  <c r="L12"/>
  <c r="L20"/>
  <c r="I20"/>
  <c r="H9"/>
  <c r="K9"/>
  <c r="E27"/>
  <c r="D15" i="57" s="1"/>
  <c r="B50" i="81" l="1"/>
  <c r="J54" i="82"/>
  <c r="B26" i="81"/>
  <c r="E54" i="82"/>
  <c r="Z10" i="57"/>
  <c r="Z22" s="1"/>
  <c r="N10"/>
  <c r="AA10"/>
  <c r="AA22" s="1"/>
  <c r="U10"/>
  <c r="O10"/>
  <c r="O22" s="1"/>
  <c r="L10"/>
  <c r="K31" i="81"/>
  <c r="L31" s="1"/>
  <c r="C56" i="80"/>
  <c r="D19" i="57"/>
  <c r="J19" s="1"/>
  <c r="J44" s="1"/>
  <c r="J45" s="1"/>
  <c r="Q10"/>
  <c r="Q22" s="1"/>
  <c r="R10"/>
  <c r="R22" s="1"/>
  <c r="AB10"/>
  <c r="M10"/>
  <c r="M22" s="1"/>
  <c r="AD10"/>
  <c r="F10"/>
  <c r="F22" s="1"/>
  <c r="Y10"/>
  <c r="AC10"/>
  <c r="AC22" s="1"/>
  <c r="J10"/>
  <c r="V10"/>
  <c r="V22" s="1"/>
  <c r="X10"/>
  <c r="X22" s="1"/>
  <c r="G10"/>
  <c r="G22" s="1"/>
  <c r="S10"/>
  <c r="S22" s="1"/>
  <c r="W10"/>
  <c r="E10"/>
  <c r="E22" s="1"/>
  <c r="T10"/>
  <c r="T22" s="1"/>
  <c r="K10"/>
  <c r="K22" s="1"/>
  <c r="I10"/>
  <c r="I22" s="1"/>
  <c r="H10"/>
  <c r="H22" s="1"/>
  <c r="P10"/>
  <c r="P22" s="1"/>
  <c r="D11"/>
  <c r="U11" s="1"/>
  <c r="U12" s="1"/>
  <c r="D18"/>
  <c r="I18" s="1"/>
  <c r="I35" s="1"/>
  <c r="I36" s="1"/>
  <c r="L22" i="46"/>
  <c r="L27" s="1"/>
  <c r="I22"/>
  <c r="B21" i="45" s="1"/>
  <c r="H22" i="46"/>
  <c r="H27" s="1"/>
  <c r="K22"/>
  <c r="K27" s="1"/>
  <c r="H31" i="73"/>
  <c r="C46" i="72"/>
  <c r="S15" i="57"/>
  <c r="N15"/>
  <c r="Y15"/>
  <c r="AB15"/>
  <c r="P15"/>
  <c r="H15"/>
  <c r="L15"/>
  <c r="E15"/>
  <c r="Z15"/>
  <c r="G15"/>
  <c r="F15"/>
  <c r="AD15"/>
  <c r="R15"/>
  <c r="X15"/>
  <c r="U15"/>
  <c r="J15"/>
  <c r="W15"/>
  <c r="M15"/>
  <c r="V15"/>
  <c r="AC15"/>
  <c r="O15"/>
  <c r="AA15"/>
  <c r="I15"/>
  <c r="K15"/>
  <c r="Q15"/>
  <c r="T15"/>
  <c r="J22"/>
  <c r="W22"/>
  <c r="Y22"/>
  <c r="U22"/>
  <c r="L22"/>
  <c r="AB22"/>
  <c r="N22"/>
  <c r="AD22"/>
  <c r="B22" i="45" l="1"/>
  <c r="D26" i="81"/>
  <c r="B27"/>
  <c r="O26"/>
  <c r="O27" s="1"/>
  <c r="E31" i="80" s="1"/>
  <c r="D50" i="81"/>
  <c r="D51" s="1"/>
  <c r="B51"/>
  <c r="I27" i="46"/>
  <c r="B23" i="45"/>
  <c r="B15"/>
  <c r="B25"/>
  <c r="B24"/>
  <c r="B20"/>
  <c r="B17"/>
  <c r="B18"/>
  <c r="B19"/>
  <c r="B16"/>
  <c r="X19" i="57"/>
  <c r="X44" s="1"/>
  <c r="X45" s="1"/>
  <c r="T19"/>
  <c r="T44" s="1"/>
  <c r="T45" s="1"/>
  <c r="L19"/>
  <c r="L44" s="1"/>
  <c r="L45" s="1"/>
  <c r="AD19"/>
  <c r="AD44" s="1"/>
  <c r="AD45" s="1"/>
  <c r="O19"/>
  <c r="O44" s="1"/>
  <c r="O45" s="1"/>
  <c r="E18"/>
  <c r="E35" s="1"/>
  <c r="E36" s="1"/>
  <c r="W19"/>
  <c r="W44" s="1"/>
  <c r="W45" s="1"/>
  <c r="V19"/>
  <c r="V44" s="1"/>
  <c r="V45" s="1"/>
  <c r="U19"/>
  <c r="U44" s="1"/>
  <c r="U45" s="1"/>
  <c r="H19"/>
  <c r="H44" s="1"/>
  <c r="H45" s="1"/>
  <c r="F19"/>
  <c r="F44" s="1"/>
  <c r="F45" s="1"/>
  <c r="R19"/>
  <c r="R44" s="1"/>
  <c r="R45" s="1"/>
  <c r="N19"/>
  <c r="N44" s="1"/>
  <c r="N45" s="1"/>
  <c r="S19"/>
  <c r="S44" s="1"/>
  <c r="S45" s="1"/>
  <c r="Q19"/>
  <c r="Q44" s="1"/>
  <c r="Q45" s="1"/>
  <c r="AA19"/>
  <c r="AA44" s="1"/>
  <c r="AA45" s="1"/>
  <c r="Z19"/>
  <c r="Z44" s="1"/>
  <c r="Z45" s="1"/>
  <c r="P19"/>
  <c r="P44" s="1"/>
  <c r="P45" s="1"/>
  <c r="I19"/>
  <c r="I44" s="1"/>
  <c r="I45" s="1"/>
  <c r="Y19"/>
  <c r="Y44" s="1"/>
  <c r="Y45" s="1"/>
  <c r="AC19"/>
  <c r="AC44" s="1"/>
  <c r="AC45" s="1"/>
  <c r="AB19"/>
  <c r="AB44" s="1"/>
  <c r="AB45" s="1"/>
  <c r="G18"/>
  <c r="G35" s="1"/>
  <c r="G36" s="1"/>
  <c r="Q18"/>
  <c r="Q35" s="1"/>
  <c r="Q36" s="1"/>
  <c r="I11"/>
  <c r="I12" s="1"/>
  <c r="M11"/>
  <c r="M12" s="1"/>
  <c r="V18"/>
  <c r="V35" s="1"/>
  <c r="V36" s="1"/>
  <c r="S18"/>
  <c r="S35" s="1"/>
  <c r="S36" s="1"/>
  <c r="AD18"/>
  <c r="AD35" s="1"/>
  <c r="AD36" s="1"/>
  <c r="M31" i="81"/>
  <c r="C47" i="80"/>
  <c r="T18" i="57"/>
  <c r="T35" s="1"/>
  <c r="T36" s="1"/>
  <c r="N18"/>
  <c r="N35" s="1"/>
  <c r="N36" s="1"/>
  <c r="AA18"/>
  <c r="AA35" s="1"/>
  <c r="AA36" s="1"/>
  <c r="F18"/>
  <c r="F35" s="1"/>
  <c r="F36" s="1"/>
  <c r="L18"/>
  <c r="L35" s="1"/>
  <c r="L36" s="1"/>
  <c r="W18"/>
  <c r="W35" s="1"/>
  <c r="W36" s="1"/>
  <c r="AB18"/>
  <c r="AB35" s="1"/>
  <c r="AB36" s="1"/>
  <c r="P18"/>
  <c r="P35" s="1"/>
  <c r="P36" s="1"/>
  <c r="Y18"/>
  <c r="Y35" s="1"/>
  <c r="Y36" s="1"/>
  <c r="O18"/>
  <c r="O35" s="1"/>
  <c r="O36" s="1"/>
  <c r="AC18"/>
  <c r="AC35" s="1"/>
  <c r="AC36" s="1"/>
  <c r="J18"/>
  <c r="J35" s="1"/>
  <c r="J36" s="1"/>
  <c r="Z18"/>
  <c r="Z35" s="1"/>
  <c r="Z36" s="1"/>
  <c r="U18"/>
  <c r="U35" s="1"/>
  <c r="U36" s="1"/>
  <c r="M18"/>
  <c r="M35" s="1"/>
  <c r="M36" s="1"/>
  <c r="H18"/>
  <c r="H35" s="1"/>
  <c r="H36" s="1"/>
  <c r="K18"/>
  <c r="K35" s="1"/>
  <c r="K36" s="1"/>
  <c r="X18"/>
  <c r="X35" s="1"/>
  <c r="X36" s="1"/>
  <c r="R18"/>
  <c r="R35" s="1"/>
  <c r="R36" s="1"/>
  <c r="M19"/>
  <c r="M44" s="1"/>
  <c r="M45" s="1"/>
  <c r="E19"/>
  <c r="E44" s="1"/>
  <c r="E45" s="1"/>
  <c r="G19"/>
  <c r="G44" s="1"/>
  <c r="G45" s="1"/>
  <c r="K19"/>
  <c r="K44" s="1"/>
  <c r="K45" s="1"/>
  <c r="AB11"/>
  <c r="AB12" s="1"/>
  <c r="S11"/>
  <c r="AD11"/>
  <c r="AD12" s="1"/>
  <c r="P11"/>
  <c r="P12" s="1"/>
  <c r="K11"/>
  <c r="K12" s="1"/>
  <c r="G11"/>
  <c r="G12" s="1"/>
  <c r="E11"/>
  <c r="E23" s="1"/>
  <c r="E50" s="1"/>
  <c r="AA11"/>
  <c r="S12"/>
  <c r="D12"/>
  <c r="Q11"/>
  <c r="X11"/>
  <c r="F11"/>
  <c r="AC11"/>
  <c r="AC12" s="1"/>
  <c r="R11"/>
  <c r="R12" s="1"/>
  <c r="N11"/>
  <c r="W11"/>
  <c r="W12" s="1"/>
  <c r="L11"/>
  <c r="L12" s="1"/>
  <c r="Z11"/>
  <c r="J11"/>
  <c r="O11"/>
  <c r="O12" s="1"/>
  <c r="Y11"/>
  <c r="H11"/>
  <c r="H12" s="1"/>
  <c r="V11"/>
  <c r="T11"/>
  <c r="I31" i="73"/>
  <c r="J31" s="1"/>
  <c r="K31" s="1"/>
  <c r="C56" i="72"/>
  <c r="S23" i="57" l="1"/>
  <c r="S26" s="1"/>
  <c r="J23"/>
  <c r="E51"/>
  <c r="E52" s="1"/>
  <c r="E26"/>
  <c r="P26" i="81"/>
  <c r="P27" s="1"/>
  <c r="E9" i="80" s="1"/>
  <c r="E71" s="1"/>
  <c r="D27" i="81"/>
  <c r="B30" i="45"/>
  <c r="AC23" i="57"/>
  <c r="AC50" s="1"/>
  <c r="I23"/>
  <c r="I51" s="1"/>
  <c r="L23"/>
  <c r="L26" s="1"/>
  <c r="AD23"/>
  <c r="AD51" s="1"/>
  <c r="P23"/>
  <c r="P50" s="1"/>
  <c r="R23"/>
  <c r="R50" s="1"/>
  <c r="H23"/>
  <c r="W23"/>
  <c r="W51" s="1"/>
  <c r="O23"/>
  <c r="O50" s="1"/>
  <c r="J26"/>
  <c r="J24"/>
  <c r="AA12"/>
  <c r="AB23"/>
  <c r="E24"/>
  <c r="E27" s="1"/>
  <c r="E29" s="1"/>
  <c r="M23"/>
  <c r="E12"/>
  <c r="V23"/>
  <c r="V12"/>
  <c r="Y23"/>
  <c r="Y12"/>
  <c r="J12"/>
  <c r="K23"/>
  <c r="N12"/>
  <c r="N23"/>
  <c r="X23"/>
  <c r="X12"/>
  <c r="T23"/>
  <c r="T12"/>
  <c r="U23"/>
  <c r="Z23"/>
  <c r="AA23"/>
  <c r="Z12"/>
  <c r="F12"/>
  <c r="F23"/>
  <c r="G23"/>
  <c r="Q23"/>
  <c r="Q12"/>
  <c r="C47" i="72"/>
  <c r="O26" i="57"/>
  <c r="S51"/>
  <c r="J50"/>
  <c r="J51"/>
  <c r="L51"/>
  <c r="R26" l="1"/>
  <c r="S50"/>
  <c r="I50"/>
  <c r="I52" s="1"/>
  <c r="AD50"/>
  <c r="AD52" s="1"/>
  <c r="P24"/>
  <c r="S24"/>
  <c r="S27" s="1"/>
  <c r="S28" s="1"/>
  <c r="S34" s="1"/>
  <c r="S37" s="1"/>
  <c r="S38" s="1"/>
  <c r="AC51"/>
  <c r="AC52" s="1"/>
  <c r="E28"/>
  <c r="E34" s="1"/>
  <c r="E37" s="1"/>
  <c r="E38" s="1"/>
  <c r="AD26"/>
  <c r="J27"/>
  <c r="J28" s="1"/>
  <c r="J34" s="1"/>
  <c r="J37" s="1"/>
  <c r="J38" s="1"/>
  <c r="W50"/>
  <c r="W52" s="1"/>
  <c r="P26"/>
  <c r="P51"/>
  <c r="P52" s="1"/>
  <c r="AC24"/>
  <c r="L24"/>
  <c r="L27" s="1"/>
  <c r="L28" s="1"/>
  <c r="L34" s="1"/>
  <c r="L37" s="1"/>
  <c r="L38" s="1"/>
  <c r="AD24"/>
  <c r="I26"/>
  <c r="I24"/>
  <c r="AC26"/>
  <c r="L50"/>
  <c r="L52" s="1"/>
  <c r="R51"/>
  <c r="R52" s="1"/>
  <c r="R24"/>
  <c r="H51"/>
  <c r="H24"/>
  <c r="H50"/>
  <c r="H26"/>
  <c r="W24"/>
  <c r="W26"/>
  <c r="O51"/>
  <c r="O52" s="1"/>
  <c r="O24"/>
  <c r="O27" s="1"/>
  <c r="M51"/>
  <c r="M24"/>
  <c r="M50"/>
  <c r="M52" s="1"/>
  <c r="M26"/>
  <c r="AB51"/>
  <c r="AB26"/>
  <c r="AB50"/>
  <c r="AB24"/>
  <c r="AB27" s="1"/>
  <c r="AB29" s="1"/>
  <c r="AB43" s="1"/>
  <c r="AB46" s="1"/>
  <c r="AB47" s="1"/>
  <c r="G51"/>
  <c r="G50"/>
  <c r="G26"/>
  <c r="G24"/>
  <c r="AA51"/>
  <c r="AA24"/>
  <c r="AA50"/>
  <c r="AA26"/>
  <c r="U50"/>
  <c r="U24"/>
  <c r="U51"/>
  <c r="U52" s="1"/>
  <c r="U26"/>
  <c r="T24"/>
  <c r="T50"/>
  <c r="T26"/>
  <c r="T51"/>
  <c r="T52" s="1"/>
  <c r="X50"/>
  <c r="X24"/>
  <c r="X26"/>
  <c r="X51"/>
  <c r="Y50"/>
  <c r="Y51"/>
  <c r="Y26"/>
  <c r="Y24"/>
  <c r="V51"/>
  <c r="V24"/>
  <c r="V26"/>
  <c r="V50"/>
  <c r="Q50"/>
  <c r="Q51"/>
  <c r="Q24"/>
  <c r="Q26"/>
  <c r="F51"/>
  <c r="F50"/>
  <c r="F24"/>
  <c r="F26"/>
  <c r="Z51"/>
  <c r="Z24"/>
  <c r="Z50"/>
  <c r="Z52" s="1"/>
  <c r="Z26"/>
  <c r="N51"/>
  <c r="N26"/>
  <c r="N50"/>
  <c r="N24"/>
  <c r="K26"/>
  <c r="K50"/>
  <c r="K24"/>
  <c r="K51"/>
  <c r="E43"/>
  <c r="E46" s="1"/>
  <c r="E47" s="1"/>
  <c r="S52"/>
  <c r="J52"/>
  <c r="S29"/>
  <c r="S43" s="1"/>
  <c r="S46" s="1"/>
  <c r="S47" s="1"/>
  <c r="L29"/>
  <c r="L43" s="1"/>
  <c r="L46" s="1"/>
  <c r="L47" s="1"/>
  <c r="R27" l="1"/>
  <c r="R28" s="1"/>
  <c r="R34" s="1"/>
  <c r="R37" s="1"/>
  <c r="R38" s="1"/>
  <c r="P27"/>
  <c r="P28" s="1"/>
  <c r="P34" s="1"/>
  <c r="P37" s="1"/>
  <c r="P38" s="1"/>
  <c r="AB28"/>
  <c r="AB34" s="1"/>
  <c r="AB37" s="1"/>
  <c r="AB38" s="1"/>
  <c r="N27"/>
  <c r="AD27"/>
  <c r="K52"/>
  <c r="J29"/>
  <c r="J43" s="1"/>
  <c r="J46" s="1"/>
  <c r="J47" s="1"/>
  <c r="AC27"/>
  <c r="AC29" s="1"/>
  <c r="AC43" s="1"/>
  <c r="AC46" s="1"/>
  <c r="AC47" s="1"/>
  <c r="I27"/>
  <c r="I28" s="1"/>
  <c r="I34" s="1"/>
  <c r="I37" s="1"/>
  <c r="I38" s="1"/>
  <c r="AC28"/>
  <c r="AC34" s="1"/>
  <c r="AC37" s="1"/>
  <c r="AC38" s="1"/>
  <c r="W27"/>
  <c r="H52"/>
  <c r="H27"/>
  <c r="O28"/>
  <c r="O34" s="1"/>
  <c r="O37" s="1"/>
  <c r="O38" s="1"/>
  <c r="O29"/>
  <c r="O43" s="1"/>
  <c r="O46" s="1"/>
  <c r="O47" s="1"/>
  <c r="M27"/>
  <c r="AB52"/>
  <c r="K27"/>
  <c r="Q52"/>
  <c r="V27"/>
  <c r="V28" s="1"/>
  <c r="V34" s="1"/>
  <c r="V37" s="1"/>
  <c r="V38" s="1"/>
  <c r="Y27"/>
  <c r="Y52"/>
  <c r="X52"/>
  <c r="X27"/>
  <c r="X29" s="1"/>
  <c r="X43" s="1"/>
  <c r="X46" s="1"/>
  <c r="X47" s="1"/>
  <c r="G27"/>
  <c r="G52"/>
  <c r="D50"/>
  <c r="V29"/>
  <c r="V43" s="1"/>
  <c r="V46" s="1"/>
  <c r="V47" s="1"/>
  <c r="D51"/>
  <c r="N52"/>
  <c r="F27"/>
  <c r="F52"/>
  <c r="Q27"/>
  <c r="V52"/>
  <c r="T27"/>
  <c r="AA52"/>
  <c r="Z27"/>
  <c r="U27"/>
  <c r="AA27"/>
  <c r="P29"/>
  <c r="P43" s="1"/>
  <c r="P46" s="1"/>
  <c r="P47" s="1"/>
  <c r="B50" i="74"/>
  <c r="I50"/>
  <c r="J50"/>
  <c r="B47" i="73" s="1"/>
  <c r="B46" i="74"/>
  <c r="I46"/>
  <c r="J46"/>
  <c r="B43" i="73" s="1"/>
  <c r="B42" i="74"/>
  <c r="J42"/>
  <c r="B39" i="73" s="1"/>
  <c r="I42" i="74"/>
  <c r="B38"/>
  <c r="I38"/>
  <c r="J38"/>
  <c r="B35" i="73" s="1"/>
  <c r="B53" i="74"/>
  <c r="J53"/>
  <c r="B50" i="73" s="1"/>
  <c r="I53" i="74"/>
  <c r="B49"/>
  <c r="I49"/>
  <c r="J49"/>
  <c r="B46" i="73" s="1"/>
  <c r="B45" i="74"/>
  <c r="I45"/>
  <c r="J45"/>
  <c r="B42" i="73" s="1"/>
  <c r="B41" i="74"/>
  <c r="J41"/>
  <c r="B38" i="73" s="1"/>
  <c r="I41" i="74"/>
  <c r="B37"/>
  <c r="J37"/>
  <c r="B34" i="73" s="1"/>
  <c r="I37" i="74"/>
  <c r="B52"/>
  <c r="J52"/>
  <c r="B49" i="73" s="1"/>
  <c r="I52" i="74"/>
  <c r="B48"/>
  <c r="J48"/>
  <c r="B45" i="73" s="1"/>
  <c r="I48" i="74"/>
  <c r="B44"/>
  <c r="J44"/>
  <c r="B41" i="73" s="1"/>
  <c r="I44" i="74"/>
  <c r="B40"/>
  <c r="I40"/>
  <c r="J40"/>
  <c r="B37" i="73" s="1"/>
  <c r="B36" i="74"/>
  <c r="J36"/>
  <c r="I36"/>
  <c r="B51"/>
  <c r="I51"/>
  <c r="J51"/>
  <c r="B48" i="73" s="1"/>
  <c r="B47" i="74"/>
  <c r="I47"/>
  <c r="J47"/>
  <c r="B44" i="73" s="1"/>
  <c r="B43" i="74"/>
  <c r="J43"/>
  <c r="B40" i="73" s="1"/>
  <c r="I43" i="74"/>
  <c r="B39"/>
  <c r="I39"/>
  <c r="J39"/>
  <c r="B36" i="73" s="1"/>
  <c r="I29" i="57" l="1"/>
  <c r="I43" s="1"/>
  <c r="I46" s="1"/>
  <c r="I47" s="1"/>
  <c r="R29"/>
  <c r="R43" s="1"/>
  <c r="R46" s="1"/>
  <c r="R47" s="1"/>
  <c r="N28"/>
  <c r="N34" s="1"/>
  <c r="N37" s="1"/>
  <c r="N38" s="1"/>
  <c r="N29"/>
  <c r="N43" s="1"/>
  <c r="N46" s="1"/>
  <c r="N47" s="1"/>
  <c r="AD29"/>
  <c r="AD43" s="1"/>
  <c r="AD46" s="1"/>
  <c r="AD47" s="1"/>
  <c r="AD28"/>
  <c r="AD34" s="1"/>
  <c r="AD37" s="1"/>
  <c r="AD38" s="1"/>
  <c r="D36" i="73"/>
  <c r="C37" i="43"/>
  <c r="E37" s="1"/>
  <c r="D48" i="73"/>
  <c r="C49" i="43"/>
  <c r="E49" s="1"/>
  <c r="D37" i="73"/>
  <c r="C38" i="43"/>
  <c r="E38" s="1"/>
  <c r="D41" i="73"/>
  <c r="C42" i="43"/>
  <c r="E42" s="1"/>
  <c r="D49" i="73"/>
  <c r="C50" i="43"/>
  <c r="E50" s="1"/>
  <c r="D38" i="73"/>
  <c r="C39" i="43"/>
  <c r="E39" s="1"/>
  <c r="D42" i="73"/>
  <c r="C43" i="43"/>
  <c r="E43" s="1"/>
  <c r="D47" i="73"/>
  <c r="C48" i="43"/>
  <c r="E48" s="1"/>
  <c r="D40" i="73"/>
  <c r="C41" i="43"/>
  <c r="E41" s="1"/>
  <c r="D44" i="73"/>
  <c r="C45" i="43"/>
  <c r="E45" s="1"/>
  <c r="D45" i="73"/>
  <c r="C46" i="43"/>
  <c r="E46" s="1"/>
  <c r="D34" i="73"/>
  <c r="C35" i="43"/>
  <c r="E35" s="1"/>
  <c r="D46" i="73"/>
  <c r="C47" i="43"/>
  <c r="E47" s="1"/>
  <c r="D50" i="73"/>
  <c r="C51" i="43"/>
  <c r="E51" s="1"/>
  <c r="D35" i="73"/>
  <c r="C36" i="43"/>
  <c r="E36" s="1"/>
  <c r="D39" i="73"/>
  <c r="C40" i="43"/>
  <c r="E40" s="1"/>
  <c r="D43" i="73"/>
  <c r="C44" i="43"/>
  <c r="E44" s="1"/>
  <c r="W28" i="57"/>
  <c r="W34" s="1"/>
  <c r="W37" s="1"/>
  <c r="W38" s="1"/>
  <c r="W29"/>
  <c r="W43" s="1"/>
  <c r="W46" s="1"/>
  <c r="W47" s="1"/>
  <c r="H28"/>
  <c r="H34" s="1"/>
  <c r="H37" s="1"/>
  <c r="H38" s="1"/>
  <c r="H29"/>
  <c r="H43" s="1"/>
  <c r="H46" s="1"/>
  <c r="H47" s="1"/>
  <c r="X28"/>
  <c r="X34" s="1"/>
  <c r="X37" s="1"/>
  <c r="X38" s="1"/>
  <c r="M29"/>
  <c r="M43" s="1"/>
  <c r="M46" s="1"/>
  <c r="M47" s="1"/>
  <c r="M28"/>
  <c r="M34" s="1"/>
  <c r="M37" s="1"/>
  <c r="M38" s="1"/>
  <c r="D52"/>
  <c r="D27"/>
  <c r="C30" i="45" s="1"/>
  <c r="C26" s="1"/>
  <c r="K28" i="57"/>
  <c r="K34" s="1"/>
  <c r="K37" s="1"/>
  <c r="K38" s="1"/>
  <c r="K29"/>
  <c r="K43" s="1"/>
  <c r="K46" s="1"/>
  <c r="K47" s="1"/>
  <c r="G28"/>
  <c r="G34" s="1"/>
  <c r="G37" s="1"/>
  <c r="G38" s="1"/>
  <c r="G29"/>
  <c r="G43" s="1"/>
  <c r="G46" s="1"/>
  <c r="G47" s="1"/>
  <c r="Y29"/>
  <c r="Y43" s="1"/>
  <c r="Y46" s="1"/>
  <c r="Y47" s="1"/>
  <c r="Y28"/>
  <c r="Y34" s="1"/>
  <c r="Y37" s="1"/>
  <c r="Y38" s="1"/>
  <c r="U28"/>
  <c r="U34" s="1"/>
  <c r="U37" s="1"/>
  <c r="U38" s="1"/>
  <c r="U29"/>
  <c r="U43" s="1"/>
  <c r="U46" s="1"/>
  <c r="U47" s="1"/>
  <c r="T28"/>
  <c r="T34" s="1"/>
  <c r="T37" s="1"/>
  <c r="T38" s="1"/>
  <c r="T29"/>
  <c r="T43" s="1"/>
  <c r="T46" s="1"/>
  <c r="T47" s="1"/>
  <c r="Q29"/>
  <c r="Q43" s="1"/>
  <c r="Q46" s="1"/>
  <c r="Q47" s="1"/>
  <c r="Q28"/>
  <c r="Q34" s="1"/>
  <c r="Q37" s="1"/>
  <c r="Q38" s="1"/>
  <c r="F29"/>
  <c r="F43" s="1"/>
  <c r="F46" s="1"/>
  <c r="F47" s="1"/>
  <c r="F28"/>
  <c r="F34" s="1"/>
  <c r="F37" s="1"/>
  <c r="F38" s="1"/>
  <c r="AA29"/>
  <c r="AA43" s="1"/>
  <c r="AA46" s="1"/>
  <c r="AA47" s="1"/>
  <c r="AA28"/>
  <c r="AA34" s="1"/>
  <c r="AA37" s="1"/>
  <c r="AA38" s="1"/>
  <c r="Z28"/>
  <c r="Z34" s="1"/>
  <c r="Z37" s="1"/>
  <c r="Z38" s="1"/>
  <c r="Z29"/>
  <c r="Z43" s="1"/>
  <c r="Z46" s="1"/>
  <c r="Z47" s="1"/>
  <c r="C15" i="45"/>
  <c r="C27"/>
  <c r="D43" i="74"/>
  <c r="E43"/>
  <c r="B16" i="73" s="1"/>
  <c r="C16" i="43" s="1"/>
  <c r="E51" i="74"/>
  <c r="B24" i="73" s="1"/>
  <c r="C24" i="43" s="1"/>
  <c r="D51" i="74"/>
  <c r="B33" i="73"/>
  <c r="C34" i="43" s="1"/>
  <c r="J54" i="74"/>
  <c r="D40"/>
  <c r="E40"/>
  <c r="B13" i="73" s="1"/>
  <c r="C13" i="43" s="1"/>
  <c r="E48" i="74"/>
  <c r="B21" i="73" s="1"/>
  <c r="C21" i="43" s="1"/>
  <c r="D48" i="74"/>
  <c r="E37"/>
  <c r="B10" i="73" s="1"/>
  <c r="C10" i="43" s="1"/>
  <c r="D37" i="74"/>
  <c r="D45"/>
  <c r="E45"/>
  <c r="B18" i="73" s="1"/>
  <c r="C18" i="43" s="1"/>
  <c r="D53" i="74"/>
  <c r="E53"/>
  <c r="B26" i="73" s="1"/>
  <c r="C26" i="43" s="1"/>
  <c r="D42" i="74"/>
  <c r="E42"/>
  <c r="B15" i="73" s="1"/>
  <c r="C15" i="43" s="1"/>
  <c r="D50" i="74"/>
  <c r="E50"/>
  <c r="B23" i="73" s="1"/>
  <c r="C23" i="43" s="1"/>
  <c r="E39" i="74"/>
  <c r="B12" i="73" s="1"/>
  <c r="C12" i="43" s="1"/>
  <c r="D39" i="74"/>
  <c r="E47"/>
  <c r="B20" i="73" s="1"/>
  <c r="C20" i="43" s="1"/>
  <c r="D47" i="74"/>
  <c r="E36"/>
  <c r="D36"/>
  <c r="E44"/>
  <c r="B17" i="73" s="1"/>
  <c r="C17" i="43" s="1"/>
  <c r="D44" i="74"/>
  <c r="E52"/>
  <c r="B25" i="73" s="1"/>
  <c r="C25" i="43" s="1"/>
  <c r="D52" i="74"/>
  <c r="D41"/>
  <c r="E41"/>
  <c r="B14" i="73" s="1"/>
  <c r="C14" i="43" s="1"/>
  <c r="D49" i="74"/>
  <c r="E49"/>
  <c r="B22" i="73" s="1"/>
  <c r="C22" i="43" s="1"/>
  <c r="D38" i="74"/>
  <c r="E38"/>
  <c r="B11" i="73" s="1"/>
  <c r="C11" i="43" s="1"/>
  <c r="D46" i="74"/>
  <c r="E46"/>
  <c r="B19" i="73" s="1"/>
  <c r="C19" i="43" s="1"/>
  <c r="I54" i="74"/>
  <c r="C28" i="45"/>
  <c r="C21"/>
  <c r="C17" l="1"/>
  <c r="F41" i="74" s="1"/>
  <c r="C25" i="45"/>
  <c r="C24"/>
  <c r="F48" i="82" s="1"/>
  <c r="C16" i="45"/>
  <c r="E61" i="60"/>
  <c r="E70" s="1"/>
  <c r="D63" i="57"/>
  <c r="L46" i="74" s="1"/>
  <c r="F52" i="82"/>
  <c r="F52" i="74"/>
  <c r="F51" i="82"/>
  <c r="F51" i="74"/>
  <c r="F50" i="82"/>
  <c r="F50" i="74"/>
  <c r="K45" i="82"/>
  <c r="F42" i="81" s="1"/>
  <c r="H42" s="1"/>
  <c r="E25" i="43"/>
  <c r="O25" s="1"/>
  <c r="N25"/>
  <c r="N12"/>
  <c r="E12"/>
  <c r="O12" s="1"/>
  <c r="E10"/>
  <c r="O10" s="1"/>
  <c r="N10"/>
  <c r="E34"/>
  <c r="E52" s="1"/>
  <c r="C52"/>
  <c r="N19"/>
  <c r="E19"/>
  <c r="O19" s="1"/>
  <c r="N11"/>
  <c r="E11"/>
  <c r="O11" s="1"/>
  <c r="E22"/>
  <c r="O22" s="1"/>
  <c r="N22"/>
  <c r="N14"/>
  <c r="E14"/>
  <c r="O14" s="1"/>
  <c r="N23"/>
  <c r="E23"/>
  <c r="O23" s="1"/>
  <c r="E15"/>
  <c r="O15" s="1"/>
  <c r="N15"/>
  <c r="E26"/>
  <c r="O26" s="1"/>
  <c r="N26"/>
  <c r="N18"/>
  <c r="E18"/>
  <c r="O18" s="1"/>
  <c r="N13"/>
  <c r="E13"/>
  <c r="O13" s="1"/>
  <c r="E16"/>
  <c r="O16" s="1"/>
  <c r="N16"/>
  <c r="N17"/>
  <c r="E17"/>
  <c r="O17" s="1"/>
  <c r="E20"/>
  <c r="O20" s="1"/>
  <c r="N20"/>
  <c r="E21"/>
  <c r="O21" s="1"/>
  <c r="N21"/>
  <c r="E24"/>
  <c r="O24" s="1"/>
  <c r="N24"/>
  <c r="L46" i="82"/>
  <c r="F45"/>
  <c r="F45" i="74"/>
  <c r="F39" i="82"/>
  <c r="F39" i="74"/>
  <c r="F41" i="82"/>
  <c r="F49"/>
  <c r="F49" i="74"/>
  <c r="F40"/>
  <c r="F40" i="82"/>
  <c r="L37" i="74"/>
  <c r="L45"/>
  <c r="H42" i="73" s="1"/>
  <c r="L53" i="74"/>
  <c r="H50" i="73" s="1"/>
  <c r="K44" i="82"/>
  <c r="F41" i="81" s="1"/>
  <c r="H41" s="1"/>
  <c r="K52" i="82"/>
  <c r="F49" i="81" s="1"/>
  <c r="H49" s="1"/>
  <c r="K36" i="74"/>
  <c r="L42" i="82"/>
  <c r="L36" i="74"/>
  <c r="K45"/>
  <c r="E42" i="73" s="1"/>
  <c r="K44" i="74"/>
  <c r="E41" i="73" s="1"/>
  <c r="L39" i="82"/>
  <c r="L37"/>
  <c r="L44" i="74"/>
  <c r="K46" i="82"/>
  <c r="F43" i="81" s="1"/>
  <c r="H43" s="1"/>
  <c r="K52" i="74"/>
  <c r="E49" i="73" s="1"/>
  <c r="L48" i="82"/>
  <c r="L51" i="74"/>
  <c r="K36" i="82"/>
  <c r="L50" i="74"/>
  <c r="H50" s="1"/>
  <c r="H23" i="73" s="1"/>
  <c r="K48" i="82"/>
  <c r="F45" i="81" s="1"/>
  <c r="H45" s="1"/>
  <c r="K53" i="74"/>
  <c r="E50" i="73" s="1"/>
  <c r="L49" i="82"/>
  <c r="L43" i="74"/>
  <c r="H43" s="1"/>
  <c r="H16" i="73" s="1"/>
  <c r="C20" i="45"/>
  <c r="C22"/>
  <c r="G22" s="1"/>
  <c r="C18"/>
  <c r="C14"/>
  <c r="G14" s="1"/>
  <c r="C12"/>
  <c r="C29"/>
  <c r="C23"/>
  <c r="C13"/>
  <c r="C19"/>
  <c r="G19" s="1"/>
  <c r="G26"/>
  <c r="G15"/>
  <c r="G21"/>
  <c r="G16"/>
  <c r="G27"/>
  <c r="G23"/>
  <c r="M11" i="73"/>
  <c r="D11"/>
  <c r="N11" s="1"/>
  <c r="M14"/>
  <c r="D14"/>
  <c r="N14" s="1"/>
  <c r="M25"/>
  <c r="D25"/>
  <c r="N25" s="1"/>
  <c r="B9"/>
  <c r="C9" i="43" s="1"/>
  <c r="E54" i="74"/>
  <c r="D12" i="73"/>
  <c r="N12" s="1"/>
  <c r="M12"/>
  <c r="D23"/>
  <c r="N23" s="1"/>
  <c r="M23"/>
  <c r="M26"/>
  <c r="D26"/>
  <c r="N26" s="1"/>
  <c r="M21"/>
  <c r="D21"/>
  <c r="N21" s="1"/>
  <c r="D13"/>
  <c r="N13" s="1"/>
  <c r="M13"/>
  <c r="B51"/>
  <c r="D33"/>
  <c r="D51" s="1"/>
  <c r="D24"/>
  <c r="N24" s="1"/>
  <c r="M24"/>
  <c r="D16"/>
  <c r="N16" s="1"/>
  <c r="M16"/>
  <c r="D54" i="74"/>
  <c r="D19" i="73"/>
  <c r="N19" s="1"/>
  <c r="M19"/>
  <c r="D22"/>
  <c r="N22" s="1"/>
  <c r="M22"/>
  <c r="M17"/>
  <c r="D17"/>
  <c r="N17" s="1"/>
  <c r="M20"/>
  <c r="D20"/>
  <c r="N20" s="1"/>
  <c r="M15"/>
  <c r="D15"/>
  <c r="N15" s="1"/>
  <c r="M18"/>
  <c r="D18"/>
  <c r="N18" s="1"/>
  <c r="D10"/>
  <c r="N10" s="1"/>
  <c r="M10"/>
  <c r="G25" i="45"/>
  <c r="G28"/>
  <c r="L43" i="82" l="1"/>
  <c r="K37"/>
  <c r="F34" i="81" s="1"/>
  <c r="H34" s="1"/>
  <c r="G17" i="45"/>
  <c r="E64" i="60"/>
  <c r="E73" s="1"/>
  <c r="F48" i="74"/>
  <c r="G24" i="45"/>
  <c r="L50" i="82"/>
  <c r="H50" s="1"/>
  <c r="J23" i="81" s="1"/>
  <c r="I23" i="43" s="1"/>
  <c r="K23" s="1"/>
  <c r="K50" i="82"/>
  <c r="K38" i="74"/>
  <c r="E35" i="73" s="1"/>
  <c r="G35" s="1"/>
  <c r="G45" i="82"/>
  <c r="F18" i="81" s="1"/>
  <c r="R18" s="1"/>
  <c r="K38" i="82"/>
  <c r="F35" i="81" s="1"/>
  <c r="K42" i="74"/>
  <c r="E39" i="73" s="1"/>
  <c r="G39" s="1"/>
  <c r="K50" i="74"/>
  <c r="K53" i="82"/>
  <c r="F50" i="81" s="1"/>
  <c r="H50" s="1"/>
  <c r="K39" i="74"/>
  <c r="E36" i="73" s="1"/>
  <c r="G36" s="1"/>
  <c r="H53" i="74"/>
  <c r="H26" i="73" s="1"/>
  <c r="J26" s="1"/>
  <c r="L40" i="74"/>
  <c r="H40" s="1"/>
  <c r="H13" i="73" s="1"/>
  <c r="L51" i="82"/>
  <c r="H51" s="1"/>
  <c r="J24" i="81" s="1"/>
  <c r="K37" i="74"/>
  <c r="E34" i="73" s="1"/>
  <c r="G34" s="1"/>
  <c r="K51" i="74"/>
  <c r="E48" i="73" s="1"/>
  <c r="G48" s="1"/>
  <c r="K5" i="74"/>
  <c r="L42"/>
  <c r="H42" s="1"/>
  <c r="H15" i="73" s="1"/>
  <c r="J15" s="1"/>
  <c r="L48" i="74"/>
  <c r="H45" i="73" s="1"/>
  <c r="L45" i="82"/>
  <c r="J42" i="81" s="1"/>
  <c r="L42" s="1"/>
  <c r="K41" i="74"/>
  <c r="E38" i="73" s="1"/>
  <c r="G38" s="1"/>
  <c r="K40" i="74"/>
  <c r="E37" i="73" s="1"/>
  <c r="G37" s="1"/>
  <c r="K40" i="82"/>
  <c r="F37" i="81" s="1"/>
  <c r="H37" s="1"/>
  <c r="L47" i="74"/>
  <c r="H47" s="1"/>
  <c r="H20" i="73" s="1"/>
  <c r="L38" i="82"/>
  <c r="H38" s="1"/>
  <c r="J11" i="81" s="1"/>
  <c r="K42" i="82"/>
  <c r="F39" i="81" s="1"/>
  <c r="H39" s="1"/>
  <c r="K49" i="74"/>
  <c r="E46" i="73" s="1"/>
  <c r="G46" s="1"/>
  <c r="L52" i="74"/>
  <c r="H52" s="1"/>
  <c r="H25" i="73" s="1"/>
  <c r="L39" i="74"/>
  <c r="H39" s="1"/>
  <c r="H12" i="73" s="1"/>
  <c r="L41" i="82"/>
  <c r="J38" i="81" s="1"/>
  <c r="L38" s="1"/>
  <c r="K48" i="74"/>
  <c r="E45" i="73" s="1"/>
  <c r="F46" i="43" s="1"/>
  <c r="H46" s="1"/>
  <c r="K43" i="82"/>
  <c r="F40" i="81" s="1"/>
  <c r="H40" s="1"/>
  <c r="L38" i="74"/>
  <c r="H35" i="73" s="1"/>
  <c r="L49" i="74"/>
  <c r="H49" s="1"/>
  <c r="H22" i="73" s="1"/>
  <c r="L41" i="74"/>
  <c r="H38" i="73" s="1"/>
  <c r="L36" i="82"/>
  <c r="J33" i="81" s="1"/>
  <c r="L33" s="1"/>
  <c r="L52" i="82"/>
  <c r="H52" s="1"/>
  <c r="J25" i="81" s="1"/>
  <c r="L44" i="82"/>
  <c r="L47"/>
  <c r="J44" i="81" s="1"/>
  <c r="L44" s="1"/>
  <c r="L40" i="82"/>
  <c r="H40" s="1"/>
  <c r="J13" i="81" s="1"/>
  <c r="L53" i="82"/>
  <c r="H53" s="1"/>
  <c r="J26" i="81" s="1"/>
  <c r="K43" i="74"/>
  <c r="E40" i="73" s="1"/>
  <c r="G40" s="1"/>
  <c r="K46" i="74"/>
  <c r="E43" i="73" s="1"/>
  <c r="G43" s="1"/>
  <c r="K41" i="82"/>
  <c r="F38" i="81" s="1"/>
  <c r="H38" s="1"/>
  <c r="K47" i="74"/>
  <c r="E44" i="73" s="1"/>
  <c r="G44" s="1"/>
  <c r="K39" i="82"/>
  <c r="K51"/>
  <c r="F48" i="81" s="1"/>
  <c r="H48" s="1"/>
  <c r="K47" i="82"/>
  <c r="F44" i="81" s="1"/>
  <c r="K5" i="82"/>
  <c r="K49"/>
  <c r="H46" i="74"/>
  <c r="H19" i="73" s="1"/>
  <c r="J19" s="1"/>
  <c r="H43"/>
  <c r="J43" s="1"/>
  <c r="G40" i="82"/>
  <c r="F13" i="81" s="1"/>
  <c r="R13" s="1"/>
  <c r="G48" i="82"/>
  <c r="F21" i="81" s="1"/>
  <c r="R21" s="1"/>
  <c r="H45" i="74"/>
  <c r="H18" i="73" s="1"/>
  <c r="J18" s="1"/>
  <c r="J47" i="81"/>
  <c r="L47" s="1"/>
  <c r="F53" i="74"/>
  <c r="G53" s="1"/>
  <c r="E26" i="73" s="1"/>
  <c r="F53" i="82"/>
  <c r="J50" i="81"/>
  <c r="L50" s="1"/>
  <c r="H43" i="82"/>
  <c r="J16" i="81" s="1"/>
  <c r="J40"/>
  <c r="L40" s="1"/>
  <c r="I16" i="43"/>
  <c r="K16" s="1"/>
  <c r="J23" i="73"/>
  <c r="H47"/>
  <c r="S23" s="1"/>
  <c r="G49"/>
  <c r="F50" i="43"/>
  <c r="H50" s="1"/>
  <c r="G41" i="73"/>
  <c r="F42" i="43"/>
  <c r="H42" s="1"/>
  <c r="G42" i="73"/>
  <c r="F43" i="43"/>
  <c r="H43" s="1"/>
  <c r="E9"/>
  <c r="C28"/>
  <c r="N9"/>
  <c r="N28" s="1"/>
  <c r="E79" i="60" s="1"/>
  <c r="E88" s="1"/>
  <c r="J50" i="73"/>
  <c r="J42"/>
  <c r="G50"/>
  <c r="F51" i="43"/>
  <c r="H51" s="1"/>
  <c r="J35" i="73"/>
  <c r="G40" i="74"/>
  <c r="E13" i="73" s="1"/>
  <c r="G48" i="74"/>
  <c r="E21" i="73" s="1"/>
  <c r="J43" i="81"/>
  <c r="L43" s="1"/>
  <c r="H46" i="82"/>
  <c r="J19" i="81" s="1"/>
  <c r="J49"/>
  <c r="L49" s="1"/>
  <c r="F37" i="82"/>
  <c r="G37" s="1"/>
  <c r="F10" i="81" s="1"/>
  <c r="R10" s="1"/>
  <c r="F37" i="74"/>
  <c r="G37" s="1"/>
  <c r="E10" i="73" s="1"/>
  <c r="F38" i="82"/>
  <c r="F38" i="74"/>
  <c r="G38" s="1"/>
  <c r="E11" i="73" s="1"/>
  <c r="P11" s="1"/>
  <c r="F46" i="74"/>
  <c r="F46" i="82"/>
  <c r="G46" s="1"/>
  <c r="F19" i="81" s="1"/>
  <c r="F43" i="82"/>
  <c r="G43" s="1"/>
  <c r="F16" i="81" s="1"/>
  <c r="H16" s="1"/>
  <c r="S16" s="1"/>
  <c r="F43" i="74"/>
  <c r="F47" i="82"/>
  <c r="G47" s="1"/>
  <c r="F20" i="81" s="1"/>
  <c r="R20" s="1"/>
  <c r="F47" i="74"/>
  <c r="G47" s="1"/>
  <c r="E20" i="73" s="1"/>
  <c r="F36" i="82"/>
  <c r="G36" s="1"/>
  <c r="F36" i="74"/>
  <c r="G36" s="1"/>
  <c r="E9" i="73" s="1"/>
  <c r="F42" i="74"/>
  <c r="G42" s="1"/>
  <c r="E15" i="73" s="1"/>
  <c r="G15" s="1"/>
  <c r="Q15" s="1"/>
  <c r="F42" i="82"/>
  <c r="G20" i="45"/>
  <c r="F44" i="74"/>
  <c r="G44" s="1"/>
  <c r="E17" i="73" s="1"/>
  <c r="G17" s="1"/>
  <c r="F44" i="82"/>
  <c r="G44" s="1"/>
  <c r="F17" i="81" s="1"/>
  <c r="H17" s="1"/>
  <c r="S17" s="1"/>
  <c r="H37" i="74"/>
  <c r="H10" i="73" s="1"/>
  <c r="H34"/>
  <c r="H41" i="74"/>
  <c r="H14" i="73" s="1"/>
  <c r="H46"/>
  <c r="G18" i="45"/>
  <c r="G12"/>
  <c r="G29"/>
  <c r="G13"/>
  <c r="G45" i="74"/>
  <c r="E18" i="73" s="1"/>
  <c r="G18" s="1"/>
  <c r="G52" i="82"/>
  <c r="F25" i="81" s="1"/>
  <c r="H25" s="1"/>
  <c r="S25" s="1"/>
  <c r="H39" i="73"/>
  <c r="H40"/>
  <c r="J16"/>
  <c r="H49" i="82"/>
  <c r="J22" i="81" s="1"/>
  <c r="J46"/>
  <c r="L46" s="1"/>
  <c r="F33"/>
  <c r="H48" i="74"/>
  <c r="H21" i="73" s="1"/>
  <c r="H44" i="74"/>
  <c r="H17" i="73" s="1"/>
  <c r="H41"/>
  <c r="J34" i="81"/>
  <c r="H37" i="82"/>
  <c r="H39"/>
  <c r="J12" i="81" s="1"/>
  <c r="J36"/>
  <c r="L36" s="1"/>
  <c r="H36" i="74"/>
  <c r="H33" i="73"/>
  <c r="H42" i="82"/>
  <c r="J15" i="81" s="1"/>
  <c r="J39"/>
  <c r="L39" s="1"/>
  <c r="E33" i="73"/>
  <c r="H37"/>
  <c r="H51" i="74"/>
  <c r="H24" i="73" s="1"/>
  <c r="H48"/>
  <c r="J45" i="81"/>
  <c r="L45" s="1"/>
  <c r="H48" i="82"/>
  <c r="J21" i="81" s="1"/>
  <c r="H36" i="73"/>
  <c r="H18" i="81"/>
  <c r="S18" s="1"/>
  <c r="H13"/>
  <c r="S13" s="1"/>
  <c r="G52" i="74"/>
  <c r="E25" i="73" s="1"/>
  <c r="G51" i="74"/>
  <c r="E24" i="73" s="1"/>
  <c r="G21"/>
  <c r="D9"/>
  <c r="M9"/>
  <c r="M27" s="1"/>
  <c r="E31" i="72" s="1"/>
  <c r="B27" i="73"/>
  <c r="G13"/>
  <c r="R17" i="81" l="1"/>
  <c r="J35"/>
  <c r="L35" s="1"/>
  <c r="I19" i="43"/>
  <c r="K19" s="1"/>
  <c r="G41" i="74"/>
  <c r="E14" i="73" s="1"/>
  <c r="P14" s="1"/>
  <c r="G45"/>
  <c r="Q21" s="1"/>
  <c r="F35" i="43"/>
  <c r="H35" s="1"/>
  <c r="H47" i="82"/>
  <c r="J20" i="81" s="1"/>
  <c r="H21"/>
  <c r="S21" s="1"/>
  <c r="H41" i="82"/>
  <c r="J14" i="81" s="1"/>
  <c r="I14" i="43" s="1"/>
  <c r="K14" s="1"/>
  <c r="H49" i="73"/>
  <c r="H44"/>
  <c r="J44" s="1"/>
  <c r="K54" i="74"/>
  <c r="H45" i="82"/>
  <c r="J18" i="81" s="1"/>
  <c r="I18" i="43" s="1"/>
  <c r="K18" s="1"/>
  <c r="L54" i="74"/>
  <c r="F21" i="43"/>
  <c r="H21" s="1"/>
  <c r="R21" s="1"/>
  <c r="J37" i="81"/>
  <c r="L37" s="1"/>
  <c r="I26" i="43"/>
  <c r="K26" s="1"/>
  <c r="P17" i="73"/>
  <c r="F47" i="81"/>
  <c r="H47" s="1"/>
  <c r="G50" i="82"/>
  <c r="F23" i="81" s="1"/>
  <c r="I51" i="43"/>
  <c r="K51" s="1"/>
  <c r="G41" i="82"/>
  <c r="F14" i="81" s="1"/>
  <c r="F14" i="43" s="1"/>
  <c r="H14" s="1"/>
  <c r="I12"/>
  <c r="K12" s="1"/>
  <c r="Q18" i="73"/>
  <c r="G11"/>
  <c r="Q11" s="1"/>
  <c r="G39" i="74"/>
  <c r="E12" i="73" s="1"/>
  <c r="G12" s="1"/>
  <c r="Q12" s="1"/>
  <c r="S18"/>
  <c r="G46" i="74"/>
  <c r="E19" i="73" s="1"/>
  <c r="G19" s="1"/>
  <c r="Q19" s="1"/>
  <c r="G38" i="82"/>
  <c r="F11" i="81" s="1"/>
  <c r="H11" s="1"/>
  <c r="G49" i="74"/>
  <c r="E22" i="73" s="1"/>
  <c r="G22" s="1"/>
  <c r="Q22" s="1"/>
  <c r="F49" i="43"/>
  <c r="H49" s="1"/>
  <c r="F44"/>
  <c r="H44" s="1"/>
  <c r="G51" i="82"/>
  <c r="F24" i="81" s="1"/>
  <c r="H38" i="74"/>
  <c r="H11" i="73" s="1"/>
  <c r="I11" i="43" s="1"/>
  <c r="K11" s="1"/>
  <c r="F24"/>
  <c r="H24" s="1"/>
  <c r="R24" s="1"/>
  <c r="I48"/>
  <c r="K48" s="1"/>
  <c r="K54" i="82"/>
  <c r="H10" i="81"/>
  <c r="S10" s="1"/>
  <c r="J48"/>
  <c r="L48" s="1"/>
  <c r="L54" i="82"/>
  <c r="H36"/>
  <c r="J9" i="81" s="1"/>
  <c r="L9" s="1"/>
  <c r="V9" s="1"/>
  <c r="F41" i="43"/>
  <c r="H41" s="1"/>
  <c r="H20" i="81"/>
  <c r="R16"/>
  <c r="T19" i="73"/>
  <c r="F38" i="43"/>
  <c r="H38" s="1"/>
  <c r="F34"/>
  <c r="H34" s="1"/>
  <c r="H35" i="81"/>
  <c r="F36" i="43"/>
  <c r="H36" s="1"/>
  <c r="I20"/>
  <c r="K20" s="1"/>
  <c r="T26" i="73"/>
  <c r="G14"/>
  <c r="Q14" s="1"/>
  <c r="G43" i="74"/>
  <c r="E16" i="73" s="1"/>
  <c r="F16" i="43" s="1"/>
  <c r="H16" s="1"/>
  <c r="I24"/>
  <c r="K24" s="1"/>
  <c r="I13"/>
  <c r="K13" s="1"/>
  <c r="I15"/>
  <c r="K15" s="1"/>
  <c r="S26" i="73"/>
  <c r="Q17"/>
  <c r="G42" i="82"/>
  <c r="F15" i="81" s="1"/>
  <c r="G53" i="82"/>
  <c r="F26" i="81" s="1"/>
  <c r="S19" i="73"/>
  <c r="F39" i="43"/>
  <c r="F40"/>
  <c r="H40" s="1"/>
  <c r="E47" i="73"/>
  <c r="E51" s="1"/>
  <c r="G50" i="74"/>
  <c r="E23" i="73" s="1"/>
  <c r="J41" i="81"/>
  <c r="L41" s="1"/>
  <c r="H44" i="82"/>
  <c r="J17" i="81" s="1"/>
  <c r="I17" i="43" s="1"/>
  <c r="K17" s="1"/>
  <c r="F46" i="81"/>
  <c r="G49" i="82"/>
  <c r="F22" i="81" s="1"/>
  <c r="H44"/>
  <c r="F45" i="43"/>
  <c r="H45" s="1"/>
  <c r="F36" i="81"/>
  <c r="G39" i="82"/>
  <c r="F12" i="81" s="1"/>
  <c r="T18" i="73"/>
  <c r="J47"/>
  <c r="T23" s="1"/>
  <c r="R25" i="81"/>
  <c r="I34" i="43"/>
  <c r="K34" s="1"/>
  <c r="G30" i="45"/>
  <c r="E14" i="80" s="1"/>
  <c r="R19" i="81"/>
  <c r="H19"/>
  <c r="S19" s="1"/>
  <c r="U23"/>
  <c r="L23"/>
  <c r="V23" s="1"/>
  <c r="P21" i="73"/>
  <c r="F25" i="43"/>
  <c r="H25" s="1"/>
  <c r="R25" s="1"/>
  <c r="F54" i="82"/>
  <c r="I25" i="43"/>
  <c r="K25" s="1"/>
  <c r="U26" i="81"/>
  <c r="L26"/>
  <c r="V26" s="1"/>
  <c r="U16"/>
  <c r="L16"/>
  <c r="V16" s="1"/>
  <c r="U13"/>
  <c r="L13"/>
  <c r="U20"/>
  <c r="L20"/>
  <c r="V20" s="1"/>
  <c r="F17" i="43"/>
  <c r="F10"/>
  <c r="I36"/>
  <c r="K36" s="1"/>
  <c r="I44"/>
  <c r="K44" s="1"/>
  <c r="U19" s="1"/>
  <c r="I21"/>
  <c r="K21" s="1"/>
  <c r="I22"/>
  <c r="K22" s="1"/>
  <c r="I43"/>
  <c r="K43" s="1"/>
  <c r="U23"/>
  <c r="J41" i="73"/>
  <c r="I42" i="43"/>
  <c r="K42" s="1"/>
  <c r="J45" i="73"/>
  <c r="I46" i="43"/>
  <c r="K46" s="1"/>
  <c r="J39" i="73"/>
  <c r="T15" s="1"/>
  <c r="I40" i="43"/>
  <c r="K40" s="1"/>
  <c r="J46" i="73"/>
  <c r="I47" i="43"/>
  <c r="K47" s="1"/>
  <c r="P20" i="73"/>
  <c r="F20" i="43"/>
  <c r="O9"/>
  <c r="O28" s="1"/>
  <c r="E28"/>
  <c r="J36" i="73"/>
  <c r="I37" i="43"/>
  <c r="K37" s="1"/>
  <c r="J49" i="73"/>
  <c r="I50" i="43"/>
  <c r="K50" s="1"/>
  <c r="J48" i="73"/>
  <c r="J37"/>
  <c r="I38" i="43"/>
  <c r="K38" s="1"/>
  <c r="J40" i="73"/>
  <c r="T16" s="1"/>
  <c r="I41" i="43"/>
  <c r="P18" i="73"/>
  <c r="F18" i="43"/>
  <c r="J38" i="73"/>
  <c r="I39" i="43"/>
  <c r="K39" s="1"/>
  <c r="J34" i="73"/>
  <c r="I35" i="43"/>
  <c r="K35" s="1"/>
  <c r="P15" i="73"/>
  <c r="F15" i="43"/>
  <c r="F19"/>
  <c r="F22"/>
  <c r="P13" i="73"/>
  <c r="F13" i="43"/>
  <c r="T26"/>
  <c r="S15" i="73"/>
  <c r="P19"/>
  <c r="F54" i="74"/>
  <c r="G20" i="73"/>
  <c r="Q20" s="1"/>
  <c r="P10"/>
  <c r="G10"/>
  <c r="Q10" s="1"/>
  <c r="L19" i="81"/>
  <c r="V19" s="1"/>
  <c r="U19"/>
  <c r="U25"/>
  <c r="L25"/>
  <c r="V25" s="1"/>
  <c r="P9" i="73"/>
  <c r="G9"/>
  <c r="S10"/>
  <c r="J10"/>
  <c r="S14"/>
  <c r="J14"/>
  <c r="J22"/>
  <c r="S22"/>
  <c r="S16"/>
  <c r="U11" i="81"/>
  <c r="L11"/>
  <c r="U21"/>
  <c r="L21"/>
  <c r="V21" s="1"/>
  <c r="G33" i="73"/>
  <c r="U15" i="81"/>
  <c r="L15"/>
  <c r="V15" s="1"/>
  <c r="H9" i="73"/>
  <c r="H54" i="74"/>
  <c r="U12" i="81"/>
  <c r="L12"/>
  <c r="V12" s="1"/>
  <c r="L34"/>
  <c r="J51"/>
  <c r="J17" i="73"/>
  <c r="T17" s="1"/>
  <c r="S17"/>
  <c r="S21"/>
  <c r="J21"/>
  <c r="H33" i="81"/>
  <c r="U22"/>
  <c r="L22"/>
  <c r="V22" s="1"/>
  <c r="J12" i="73"/>
  <c r="S12"/>
  <c r="J25"/>
  <c r="S25"/>
  <c r="J20"/>
  <c r="S24"/>
  <c r="J24"/>
  <c r="L24" i="81"/>
  <c r="S13" i="73"/>
  <c r="J13"/>
  <c r="J33"/>
  <c r="J10" i="81"/>
  <c r="I10" i="43" s="1"/>
  <c r="K10" s="1"/>
  <c r="H54" i="82"/>
  <c r="F9" i="81"/>
  <c r="F9" i="43" s="1"/>
  <c r="P16" i="73"/>
  <c r="G26"/>
  <c r="Q26" s="1"/>
  <c r="P26"/>
  <c r="P12"/>
  <c r="G24"/>
  <c r="Q24" s="1"/>
  <c r="P24"/>
  <c r="P25"/>
  <c r="G25"/>
  <c r="Q25" s="1"/>
  <c r="D27"/>
  <c r="N9"/>
  <c r="Q13"/>
  <c r="Q25" i="43" l="1"/>
  <c r="G54" i="74"/>
  <c r="L18" i="81"/>
  <c r="V18" s="1"/>
  <c r="V24"/>
  <c r="V11"/>
  <c r="U14"/>
  <c r="Q24" i="43"/>
  <c r="I49"/>
  <c r="K49" s="1"/>
  <c r="I45"/>
  <c r="K45" s="1"/>
  <c r="U9" i="81"/>
  <c r="V13"/>
  <c r="U26" i="43"/>
  <c r="G16" i="73"/>
  <c r="Q16" s="1"/>
  <c r="U18" i="81"/>
  <c r="H51" i="73"/>
  <c r="S20"/>
  <c r="L14" i="81"/>
  <c r="V14" s="1"/>
  <c r="F11" i="43"/>
  <c r="Q11" s="1"/>
  <c r="F51" i="81"/>
  <c r="Q21" i="43"/>
  <c r="R16"/>
  <c r="Q16"/>
  <c r="S20" i="81"/>
  <c r="S11"/>
  <c r="R11"/>
  <c r="E27" i="73"/>
  <c r="G54" i="82"/>
  <c r="U24" i="81"/>
  <c r="L51"/>
  <c r="I9" i="43"/>
  <c r="T9" s="1"/>
  <c r="E14" i="72"/>
  <c r="E14" i="60" s="1"/>
  <c r="T19" i="43"/>
  <c r="P22" i="73"/>
  <c r="T23" i="43"/>
  <c r="F12"/>
  <c r="H23" i="81"/>
  <c r="S23" s="1"/>
  <c r="R23"/>
  <c r="R14"/>
  <c r="H14"/>
  <c r="S14" s="1"/>
  <c r="R24"/>
  <c r="H24"/>
  <c r="S24" s="1"/>
  <c r="S11" i="73"/>
  <c r="J11"/>
  <c r="T11" s="1"/>
  <c r="R15" i="81"/>
  <c r="H15"/>
  <c r="S15" s="1"/>
  <c r="H39" i="43"/>
  <c r="R14" s="1"/>
  <c r="Q14"/>
  <c r="H26" i="81"/>
  <c r="S26" s="1"/>
  <c r="R26"/>
  <c r="F26" i="43"/>
  <c r="G47" i="73"/>
  <c r="F48" i="43"/>
  <c r="H48" s="1"/>
  <c r="G51" i="73"/>
  <c r="U15" i="43"/>
  <c r="G23" i="73"/>
  <c r="Q23" s="1"/>
  <c r="F23" i="43"/>
  <c r="P23" i="73"/>
  <c r="T21" i="43"/>
  <c r="H12"/>
  <c r="H36" i="81"/>
  <c r="F37" i="43"/>
  <c r="H46" i="81"/>
  <c r="F47" i="43"/>
  <c r="H47" s="1"/>
  <c r="H51" i="81"/>
  <c r="H12"/>
  <c r="R12"/>
  <c r="H22"/>
  <c r="R22"/>
  <c r="U17"/>
  <c r="L17"/>
  <c r="V17" s="1"/>
  <c r="T14" i="73"/>
  <c r="T10"/>
  <c r="T13"/>
  <c r="T24"/>
  <c r="T21"/>
  <c r="T22"/>
  <c r="J51"/>
  <c r="T11" i="43"/>
  <c r="U18"/>
  <c r="U22"/>
  <c r="U17"/>
  <c r="U21"/>
  <c r="T20" i="73"/>
  <c r="T25"/>
  <c r="T12"/>
  <c r="E78" i="60"/>
  <c r="E87" s="1"/>
  <c r="U11" i="43"/>
  <c r="T18"/>
  <c r="T15"/>
  <c r="T17"/>
  <c r="H9"/>
  <c r="R9" s="1"/>
  <c r="Q9"/>
  <c r="H10"/>
  <c r="R10" s="1"/>
  <c r="Q10"/>
  <c r="T22"/>
  <c r="H11"/>
  <c r="R11" s="1"/>
  <c r="H17"/>
  <c r="R17" s="1"/>
  <c r="Q17"/>
  <c r="U10"/>
  <c r="U14"/>
  <c r="U13"/>
  <c r="U24"/>
  <c r="U20"/>
  <c r="U25"/>
  <c r="U12"/>
  <c r="H13"/>
  <c r="Q13"/>
  <c r="H22"/>
  <c r="H19"/>
  <c r="R19" s="1"/>
  <c r="Q19"/>
  <c r="H15"/>
  <c r="R15" s="1"/>
  <c r="Q15"/>
  <c r="H18"/>
  <c r="R18" s="1"/>
  <c r="Q18"/>
  <c r="K41"/>
  <c r="U16" s="1"/>
  <c r="T16"/>
  <c r="H20"/>
  <c r="R20" s="1"/>
  <c r="Q20"/>
  <c r="T10"/>
  <c r="T14"/>
  <c r="T13"/>
  <c r="T25"/>
  <c r="T12"/>
  <c r="Q9" i="73"/>
  <c r="U10" i="81"/>
  <c r="L10"/>
  <c r="J27"/>
  <c r="S9" i="73"/>
  <c r="J9"/>
  <c r="H27"/>
  <c r="F27" i="81"/>
  <c r="R9"/>
  <c r="H9"/>
  <c r="N27" i="73"/>
  <c r="E9" i="72" s="1"/>
  <c r="E9" i="60" s="1"/>
  <c r="T20" i="43" l="1"/>
  <c r="R22"/>
  <c r="K9"/>
  <c r="U9" s="1"/>
  <c r="U28" s="1"/>
  <c r="S27" i="73"/>
  <c r="E33" i="72" s="1"/>
  <c r="T24" i="43"/>
  <c r="I52"/>
  <c r="I28"/>
  <c r="F28"/>
  <c r="G27" i="73"/>
  <c r="R27" i="81"/>
  <c r="E32" i="80" s="1"/>
  <c r="Q27" i="73"/>
  <c r="E10" i="72" s="1"/>
  <c r="S22" i="81"/>
  <c r="S12"/>
  <c r="P27" i="73"/>
  <c r="E32" i="72" s="1"/>
  <c r="U27" i="81"/>
  <c r="E33" i="80" s="1"/>
  <c r="Q22" i="43"/>
  <c r="H26"/>
  <c r="R26" s="1"/>
  <c r="Q26"/>
  <c r="H23"/>
  <c r="R23" s="1"/>
  <c r="Q23"/>
  <c r="H37"/>
  <c r="H52" s="1"/>
  <c r="F52"/>
  <c r="Q12"/>
  <c r="E35" i="72"/>
  <c r="E71"/>
  <c r="R13" i="43"/>
  <c r="K52"/>
  <c r="J27" i="73"/>
  <c r="T9"/>
  <c r="V10" i="81"/>
  <c r="L27"/>
  <c r="H27"/>
  <c r="S9"/>
  <c r="T28" i="43" l="1"/>
  <c r="E76" i="60" s="1"/>
  <c r="K28" i="43"/>
  <c r="E35" i="80"/>
  <c r="E29" i="60" s="1"/>
  <c r="H28" i="43"/>
  <c r="Q28"/>
  <c r="E77" i="60" s="1"/>
  <c r="E86" s="1"/>
  <c r="R12" i="43"/>
  <c r="R28" s="1"/>
  <c r="E85" i="60"/>
  <c r="V27" i="81"/>
  <c r="E11" i="80" s="1"/>
  <c r="E68" s="1"/>
  <c r="T27" i="73"/>
  <c r="E11" i="72" s="1"/>
  <c r="S27" i="81"/>
  <c r="E10" i="80" s="1"/>
  <c r="E10" i="60" s="1"/>
  <c r="E67" i="72"/>
  <c r="E81" i="60" l="1"/>
  <c r="E90" s="1"/>
  <c r="E12" i="72"/>
  <c r="E19" s="1"/>
  <c r="E11" i="60"/>
  <c r="E68" i="72"/>
  <c r="E69"/>
  <c r="E67" i="80"/>
  <c r="E12"/>
  <c r="E19" s="1"/>
  <c r="E69"/>
  <c r="E23" i="72" l="1"/>
  <c r="E36" s="1"/>
  <c r="E12" i="60"/>
  <c r="E23" i="80"/>
  <c r="E19" i="60" l="1"/>
  <c r="E27" s="1"/>
  <c r="E38" i="72"/>
  <c r="E41" s="1"/>
  <c r="E38" i="80"/>
  <c r="E36"/>
  <c r="E32" i="60" l="1"/>
  <c r="E34" s="1"/>
  <c r="E36" s="1"/>
  <c r="E30"/>
  <c r="E41" i="80"/>
  <c r="S56" i="57"/>
  <c r="S55" l="1"/>
  <c r="S57" s="1"/>
  <c r="E56"/>
  <c r="AB56"/>
  <c r="AD56"/>
  <c r="I56"/>
  <c r="F56"/>
  <c r="W56"/>
  <c r="AC56"/>
  <c r="M56"/>
  <c r="AA56"/>
  <c r="X56"/>
  <c r="N56"/>
  <c r="Y56"/>
  <c r="J56"/>
  <c r="L56"/>
  <c r="R56"/>
  <c r="G56"/>
  <c r="U56"/>
  <c r="K56"/>
  <c r="H56"/>
  <c r="O56"/>
  <c r="P56"/>
  <c r="V56"/>
  <c r="Z56"/>
  <c r="Q56"/>
  <c r="T56"/>
  <c r="T55" l="1"/>
  <c r="T57" s="1"/>
  <c r="P55"/>
  <c r="P57" s="1"/>
  <c r="H55"/>
  <c r="H57" s="1"/>
  <c r="U55"/>
  <c r="U57" s="1"/>
  <c r="R55"/>
  <c r="R57" s="1"/>
  <c r="J55"/>
  <c r="J57" s="1"/>
  <c r="N55"/>
  <c r="N57" s="1"/>
  <c r="AA55"/>
  <c r="AA57" s="1"/>
  <c r="AC55"/>
  <c r="AC57" s="1"/>
  <c r="F55"/>
  <c r="F57" s="1"/>
  <c r="AD55"/>
  <c r="AD57" s="1"/>
  <c r="E55"/>
  <c r="D56"/>
  <c r="E57"/>
  <c r="Z55"/>
  <c r="Z57" s="1"/>
  <c r="Q55"/>
  <c r="Q57" s="1"/>
  <c r="V55"/>
  <c r="V57" s="1"/>
  <c r="O55"/>
  <c r="O57" s="1"/>
  <c r="K55"/>
  <c r="K57" s="1"/>
  <c r="G55"/>
  <c r="G57" s="1"/>
  <c r="L55"/>
  <c r="L57" s="1"/>
  <c r="Y55"/>
  <c r="Y57" s="1"/>
  <c r="X55"/>
  <c r="X57" s="1"/>
  <c r="M55"/>
  <c r="M57" s="1"/>
  <c r="W55"/>
  <c r="W57" s="1"/>
  <c r="I55"/>
  <c r="I57" s="1"/>
  <c r="AB55"/>
  <c r="AB57" s="1"/>
  <c r="D57" l="1"/>
  <c r="D55"/>
</calcChain>
</file>

<file path=xl/sharedStrings.xml><?xml version="1.0" encoding="utf-8"?>
<sst xmlns="http://schemas.openxmlformats.org/spreadsheetml/2006/main" count="879" uniqueCount="409">
  <si>
    <t>Population</t>
  </si>
  <si>
    <t>Total</t>
  </si>
  <si>
    <t>Excess qx</t>
  </si>
  <si>
    <t>Age Range</t>
  </si>
  <si>
    <t>Selected</t>
  </si>
  <si>
    <t>Severe</t>
  </si>
  <si>
    <t>Moderate</t>
  </si>
  <si>
    <t>Percent</t>
  </si>
  <si>
    <t>85+</t>
  </si>
  <si>
    <t>Column Notes: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</si>
  <si>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</si>
  <si>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</si>
  <si>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</si>
  <si>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</si>
  <si>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</si>
  <si>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</si>
  <si>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</si>
  <si>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</si>
  <si>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</si>
  <si>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</si>
  <si>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</si>
  <si>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</si>
  <si>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</si>
  <si>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</si>
  <si>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</si>
  <si>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</si>
  <si>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</si>
  <si>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Percentage</t>
  </si>
  <si>
    <t xml:space="preserve">Morbidity  (1) </t>
  </si>
  <si>
    <t>US Census</t>
  </si>
  <si>
    <t xml:space="preserve">Mortality Ratio of     </t>
  </si>
  <si>
    <t>Scenario</t>
  </si>
  <si>
    <t>Morbidity</t>
  </si>
  <si>
    <t>Distribution of Morbidity by Age</t>
  </si>
  <si>
    <t>Cases</t>
  </si>
  <si>
    <t>Mild</t>
  </si>
  <si>
    <t>Age</t>
  </si>
  <si>
    <t>Range</t>
  </si>
  <si>
    <t>Deaths</t>
  </si>
  <si>
    <t># Physicians</t>
  </si>
  <si>
    <t># Nurses</t>
  </si>
  <si>
    <t>Hospital</t>
  </si>
  <si>
    <t xml:space="preserve">Distribution by Age  (2) </t>
  </si>
  <si>
    <t>Outpatient</t>
  </si>
  <si>
    <t>Not Seeking</t>
  </si>
  <si>
    <t xml:space="preserve"> Hypothetical distribution based on data from 1957 and 1968</t>
  </si>
  <si>
    <t xml:space="preserve"> Hypothetical distribution based on data from 1918</t>
  </si>
  <si>
    <t xml:space="preserve"> Selected scenario excess qx by age</t>
  </si>
  <si>
    <t xml:space="preserve">Insured vs Gen Pop (3) </t>
  </si>
  <si>
    <t>Distribution of Mortality by Age</t>
  </si>
  <si>
    <t>Mortality</t>
  </si>
  <si>
    <t>Low Risk</t>
  </si>
  <si>
    <t>Cost</t>
  </si>
  <si>
    <t>High Risk</t>
  </si>
  <si>
    <t>Outpatient - Low Risk</t>
  </si>
  <si>
    <t>Deaths - Low Risk</t>
  </si>
  <si>
    <t>Seasonal</t>
  </si>
  <si>
    <t>Pandemic Scenario Assumptions</t>
  </si>
  <si>
    <t>Outpatient - High Risk</t>
  </si>
  <si>
    <t>Deaths - High Risk</t>
  </si>
  <si>
    <t>Hospitalizations - Low Risk</t>
  </si>
  <si>
    <t>(Millions)</t>
  </si>
  <si>
    <t>Length of</t>
  </si>
  <si>
    <t>Stay</t>
  </si>
  <si>
    <t>Per Diem</t>
  </si>
  <si>
    <t>Case Distribution by Provider Type</t>
  </si>
  <si>
    <t>Number of Cases by Provider Type</t>
  </si>
  <si>
    <t>Mortality Distribution</t>
  </si>
  <si>
    <t>Morbidity Distribution</t>
  </si>
  <si>
    <t>Low Risk Cases by Provider Type</t>
  </si>
  <si>
    <t>High Risk Cases by Provider Type</t>
  </si>
  <si>
    <t xml:space="preserve"> Based on Molinari</t>
  </si>
  <si>
    <t xml:space="preserve"> (5) x (1)</t>
  </si>
  <si>
    <t xml:space="preserve"> (7) x (1)</t>
  </si>
  <si>
    <t xml:space="preserve"> (9) x (1)</t>
  </si>
  <si>
    <t xml:space="preserve"> (11) x (1)</t>
  </si>
  <si>
    <t>Case Distribution by Risk Class</t>
  </si>
  <si>
    <t>Family Care Factor</t>
  </si>
  <si>
    <t>Total Hospital Beds</t>
  </si>
  <si>
    <t>Hospitalizations - High Risk</t>
  </si>
  <si>
    <t>Total Capacity</t>
  </si>
  <si>
    <t>Hospital Capacity Assumptions</t>
  </si>
  <si>
    <t>Total Non-ICU Beds</t>
  </si>
  <si>
    <t>Total Ventilators</t>
  </si>
  <si>
    <t>ICU Bed Use</t>
  </si>
  <si>
    <t>Non-ICU Bed Use</t>
  </si>
  <si>
    <t>Ventilator Use</t>
  </si>
  <si>
    <t>Average Utilization</t>
  </si>
  <si>
    <t>Average Daily Inpatients</t>
  </si>
  <si>
    <t>Hospital Staffing Considerations</t>
  </si>
  <si>
    <t>Physicians Per Bed</t>
  </si>
  <si>
    <t>Nurses Per Bed</t>
  </si>
  <si>
    <t>Hospital Beds</t>
  </si>
  <si>
    <t>Non-ICU Beds</t>
  </si>
  <si>
    <t>Ventilators</t>
  </si>
  <si>
    <t>Hospital Utilization Assumptions</t>
  </si>
  <si>
    <t>Ventilator Length of Stay</t>
  </si>
  <si>
    <t xml:space="preserve"> % of Deaths Hospitalized</t>
  </si>
  <si>
    <t>Hospital Capacity</t>
  </si>
  <si>
    <t>ICU Capacity</t>
  </si>
  <si>
    <t>Ventilator Capacity</t>
  </si>
  <si>
    <t># of influenza deaths in hospital</t>
  </si>
  <si>
    <t>% Needing ICU Care</t>
  </si>
  <si>
    <t>% Needing Ventilators</t>
  </si>
  <si>
    <t>Excess Ventilator Demand</t>
  </si>
  <si>
    <t>ACF Demand</t>
  </si>
  <si>
    <t xml:space="preserve"> social distance, impact of mitigation, interventions, etc.</t>
  </si>
  <si>
    <t>Net of Deaths</t>
  </si>
  <si>
    <t>Outpatient Cases</t>
  </si>
  <si>
    <t>Provider Utilization by Week</t>
  </si>
  <si>
    <t>Pandemic Influenza Cases</t>
  </si>
  <si>
    <t>Week of Scenario</t>
  </si>
  <si>
    <t>ACF Staffing - Nurses</t>
  </si>
  <si>
    <t>Outpatient Nurse Capacity</t>
  </si>
  <si>
    <t>ACF Staffing - Physician</t>
  </si>
  <si>
    <t>Outpatient Physician Capacity</t>
  </si>
  <si>
    <t>Total Physician Capacity</t>
  </si>
  <si>
    <t>Hospital Needs</t>
  </si>
  <si>
    <t>ACF Needs</t>
  </si>
  <si>
    <t>Physicians Remaining</t>
  </si>
  <si>
    <t>Total Nurse Capacity</t>
  </si>
  <si>
    <t>Nurses Remaining</t>
  </si>
  <si>
    <t>ICU Bed Capacity</t>
  </si>
  <si>
    <t>Hospital Non-ICU Cases</t>
  </si>
  <si>
    <t>Hospital ICU Cases</t>
  </si>
  <si>
    <t>Total Hospital Demand</t>
  </si>
  <si>
    <t>Weekly Outpatient Caseload</t>
  </si>
  <si>
    <t>Physician Cases (Hosp + Out)</t>
  </si>
  <si>
    <t>Nurse Cases (Hosp + Out)</t>
  </si>
  <si>
    <t>Multiple of Seasonal</t>
  </si>
  <si>
    <t>Provider Scenario Assumptions</t>
  </si>
  <si>
    <t>Outpatient Capacity Assumptions</t>
  </si>
  <si>
    <t>Total Physicians</t>
  </si>
  <si>
    <t>Total Nurses</t>
  </si>
  <si>
    <t>Family Care Absences</t>
  </si>
  <si>
    <t>Exhibit 2, Page 5</t>
  </si>
  <si>
    <t>Capacity and Staffing by Provider</t>
  </si>
  <si>
    <t>ACF Considerations</t>
  </si>
  <si>
    <t>Length of Stay</t>
  </si>
  <si>
    <t>Hospital Case Distribution</t>
  </si>
  <si>
    <t>Outpatient Case Distribution</t>
  </si>
  <si>
    <t>Charge</t>
  </si>
  <si>
    <t>Per Diem Charge</t>
  </si>
  <si>
    <t>Charges</t>
  </si>
  <si>
    <t>Avg Cost (Hosp + Dth)</t>
  </si>
  <si>
    <t>Weibull Alpha</t>
  </si>
  <si>
    <t>Weibull Beta</t>
  </si>
  <si>
    <t>Distribution Input Parameters</t>
  </si>
  <si>
    <t>Death</t>
  </si>
  <si>
    <t>Provider Case Distribution</t>
  </si>
  <si>
    <t>Weekly Physician Illnesses</t>
  </si>
  <si>
    <t>Weekly Nurse Illnesses</t>
  </si>
  <si>
    <t>ICU Demand</t>
  </si>
  <si>
    <t>Avg Hosp Costs</t>
  </si>
  <si>
    <t>Avg Death Costs</t>
  </si>
  <si>
    <t>Avg Outpatient Cost</t>
  </si>
  <si>
    <t>Average Cost By Provider</t>
  </si>
  <si>
    <t>Total # of deaths from influenza</t>
  </si>
  <si>
    <t>Estimated Value of Deferred Elective Care</t>
  </si>
  <si>
    <t>Gross Cost</t>
  </si>
  <si>
    <t>S</t>
  </si>
  <si>
    <t>Per Stay</t>
  </si>
  <si>
    <t>M</t>
  </si>
  <si>
    <t>Provider Charges By Scenario, Provider, and Risk Group</t>
  </si>
  <si>
    <t>Total Costs</t>
  </si>
  <si>
    <t>Total Costs by Provider and Risk Group</t>
  </si>
  <si>
    <t>Base</t>
  </si>
  <si>
    <t>Distribution</t>
  </si>
  <si>
    <t>Hospital Bed Demand</t>
  </si>
  <si>
    <t>Private Ins.</t>
  </si>
  <si>
    <t>Deferrals by Payer</t>
  </si>
  <si>
    <t>Number of Deferrals</t>
  </si>
  <si>
    <t>VV</t>
  </si>
  <si>
    <t>Rate</t>
  </si>
  <si>
    <t xml:space="preserve">Utilization Adjustment    </t>
  </si>
  <si>
    <t xml:space="preserve">Insured vs Gen Pop (4) </t>
  </si>
  <si>
    <t xml:space="preserve">Wave Duration (5) </t>
  </si>
  <si>
    <t xml:space="preserve">Risk Adjustment    </t>
  </si>
  <si>
    <t>By Age</t>
  </si>
  <si>
    <t>Distribution by Age</t>
  </si>
  <si>
    <t>Members</t>
  </si>
  <si>
    <t># Cases</t>
  </si>
  <si>
    <t>Dths Hosp</t>
  </si>
  <si>
    <t>Inflation 2003 - 2010</t>
  </si>
  <si>
    <t>Deferred Elective</t>
  </si>
  <si>
    <t>Care Allocation</t>
  </si>
  <si>
    <t>Cases by Provider</t>
  </si>
  <si>
    <t>Employee</t>
  </si>
  <si>
    <t>ACF Cost Allocation</t>
  </si>
  <si>
    <t>EE OOP Costs</t>
  </si>
  <si>
    <t>OOP Costs</t>
  </si>
  <si>
    <t>OOP x Cases</t>
  </si>
  <si>
    <t/>
  </si>
  <si>
    <t>as % of Total</t>
  </si>
  <si>
    <t>Gross Cost as of 2003 (Millions)</t>
  </si>
  <si>
    <t>Net 2003 Payer Cost</t>
  </si>
  <si>
    <t xml:space="preserve"> Selected scenario morbidity by age</t>
  </si>
  <si>
    <t>Bed Vacancies</t>
  </si>
  <si>
    <t>ACF</t>
  </si>
  <si>
    <t>Self-Care</t>
  </si>
  <si>
    <t>Hospitalizations</t>
  </si>
  <si>
    <t>Total Hospital Cases (w/ Deaths)</t>
  </si>
  <si>
    <t>1918 "V\ " Curve</t>
  </si>
  <si>
    <t>V\</t>
  </si>
  <si>
    <t>Moderate "U" Curve</t>
  </si>
  <si>
    <t xml:space="preserve"> Based on moderate distribution of deaths</t>
  </si>
  <si>
    <t xml:space="preserve">  Seasonal "S", Moderate "U" curve, Severe "VV", or 1918 "V\"</t>
  </si>
  <si>
    <t xml:space="preserve"> From Life report; based on HHS figures</t>
  </si>
  <si>
    <t xml:space="preserve"> Selected mortality curve (mortality distribution by age)</t>
  </si>
  <si>
    <t xml:space="preserve"> 300mm distributed based on US Census projected as of 2004</t>
  </si>
  <si>
    <t xml:space="preserve"> Seasonal distribution based on Molinari</t>
  </si>
  <si>
    <t xml:space="preserve"> (13) x (1)</t>
  </si>
  <si>
    <t xml:space="preserve"> Hypothetical distribution extrapolating historic data from 1918, 1957 and 1968</t>
  </si>
  <si>
    <t xml:space="preserve"> (13) x (4)</t>
  </si>
  <si>
    <t xml:space="preserve"> Relative impact of pandemic on insured vs general population;</t>
  </si>
  <si>
    <t xml:space="preserve"> includes difference in ratio of high risk individuals, ability to</t>
  </si>
  <si>
    <t xml:space="preserve"> Selected morbidity curve (morbidity distribution by age)</t>
  </si>
  <si>
    <t xml:space="preserve"> Relative proportion of high risk individuals for insured vs general population</t>
  </si>
  <si>
    <t xml:space="preserve"> Weeks for a wave to pass. Longer is conservative - allows more services and higher resulting costs.</t>
  </si>
  <si>
    <t xml:space="preserve"> Relative intensity of utilization of services for insureds vs general population</t>
  </si>
  <si>
    <t xml:space="preserve">  Weeks for wave to pass (6 - 24)</t>
  </si>
  <si>
    <t xml:space="preserve"> Census population net of deaths and their proportionate exposures</t>
  </si>
  <si>
    <t xml:space="preserve"> Based on severe "V\" distribution of deaths</t>
  </si>
  <si>
    <t xml:space="preserve"> Based on severe "VV" distribution of deaths</t>
  </si>
  <si>
    <t xml:space="preserve"> Seasonal from Molinari; moderate &amp; severe based on HHS</t>
  </si>
  <si>
    <t xml:space="preserve"> (15) x (6)</t>
  </si>
  <si>
    <t xml:space="preserve"> Exhibit 3, Page 2 Column 16</t>
  </si>
  <si>
    <t xml:space="preserve"> Exhibit 3, Page 2 Column 6</t>
  </si>
  <si>
    <t xml:space="preserve"> Based on Scenario</t>
  </si>
  <si>
    <t xml:space="preserve"> (3) x (2)</t>
  </si>
  <si>
    <t xml:space="preserve"> (4) x (2)</t>
  </si>
  <si>
    <t xml:space="preserve"> (5) x (2)</t>
  </si>
  <si>
    <t xml:space="preserve"> 1 - (10) - (11)</t>
  </si>
  <si>
    <t xml:space="preserve"> Based on Molinari research</t>
  </si>
  <si>
    <t xml:space="preserve"> 1 - (13) - (14)</t>
  </si>
  <si>
    <t xml:space="preserve"> Based on ratio of moderate vs seasonal</t>
  </si>
  <si>
    <t xml:space="preserve"> morbidity &amp; judgment</t>
  </si>
  <si>
    <t xml:space="preserve"> deaths &amp; judgment</t>
  </si>
  <si>
    <t xml:space="preserve"> 1 - (16) - (17)</t>
  </si>
  <si>
    <t xml:space="preserve"> Based on ratio of severe vs moderate morbidity by age &amp; judgment</t>
  </si>
  <si>
    <t xml:space="preserve"> Based on ratio of severe vs moderate mortality by age &amp; judgment</t>
  </si>
  <si>
    <t xml:space="preserve"> 1 - (19) - (20)</t>
  </si>
  <si>
    <t xml:space="preserve"> Based on ratio of 1918 vs moderate morbidity by age &amp; judgment</t>
  </si>
  <si>
    <t xml:space="preserve"> Based on ratio of 1918 vs moderate mortality by age &amp; judgment</t>
  </si>
  <si>
    <t xml:space="preserve"> 1 - (2)</t>
  </si>
  <si>
    <t xml:space="preserve"> Exhibit 3, Page 3, Column 6</t>
  </si>
  <si>
    <t xml:space="preserve"> Exhibit 3, Page 3, Column 7</t>
  </si>
  <si>
    <t xml:space="preserve"> Exhibit 3, Page 3, Column 8</t>
  </si>
  <si>
    <t xml:space="preserve"> (1) x (3)</t>
  </si>
  <si>
    <t xml:space="preserve"> (1) x (4)</t>
  </si>
  <si>
    <t xml:space="preserve"> (1) x (5)</t>
  </si>
  <si>
    <t xml:space="preserve"> (2) x (3)</t>
  </si>
  <si>
    <t xml:space="preserve"> (2) x (4)</t>
  </si>
  <si>
    <t xml:space="preserve"> (2) x (5)</t>
  </si>
  <si>
    <t>Moderate*</t>
  </si>
  <si>
    <t>Total ICU Beds</t>
  </si>
  <si>
    <t>ICU Beds</t>
  </si>
  <si>
    <t>Severe*</t>
  </si>
  <si>
    <t xml:space="preserve"> Based on literature review and judgment</t>
  </si>
  <si>
    <t xml:space="preserve"> (3) x (4)</t>
  </si>
  <si>
    <t>Net Vacancies</t>
  </si>
  <si>
    <t xml:space="preserve"> (1) x (2)</t>
  </si>
  <si>
    <t>Average Length of Stay</t>
  </si>
  <si>
    <t>Est. Total for Wave</t>
  </si>
  <si>
    <t>Excess ICU Demand</t>
  </si>
  <si>
    <t>Non-ICU Length of Stay</t>
  </si>
  <si>
    <t>ICU Length of Stay</t>
  </si>
  <si>
    <t>Hospital Charge Adj.*</t>
  </si>
  <si>
    <t>* Reduction in hospital charges as a percentage of reduction in non - ICU length of stay.</t>
  </si>
  <si>
    <t>% of Wave Deferring</t>
  </si>
  <si>
    <t>Length of Period Deferring</t>
  </si>
  <si>
    <t>Length of Period (Days)</t>
  </si>
  <si>
    <t>Estimated Value of</t>
  </si>
  <si>
    <t>* Adjusted by 1/2 of the assumed reduction of length in hospital stay, if any (see Exhibit 2, Page 1)</t>
  </si>
  <si>
    <t xml:space="preserve"> Excess of base bed demand minus scenario bed demand (see Exhibit 2, Page 1)</t>
  </si>
  <si>
    <t>Elective Care Distribution</t>
  </si>
  <si>
    <t>Avg. Procedure Cost</t>
  </si>
  <si>
    <t xml:space="preserve"> Percentage of wave assumed to be deferring elective care</t>
  </si>
  <si>
    <t xml:space="preserve"> (5) x Wave Duration (assumes beginning and end of wave not impacted)</t>
  </si>
  <si>
    <t xml:space="preserve"> (6) x 7</t>
  </si>
  <si>
    <t xml:space="preserve"> Average length of stay for elective care by payer (HCUP data)</t>
  </si>
  <si>
    <t xml:space="preserve"> Average cost of elective procedure\ by payer (HCUP data)</t>
  </si>
  <si>
    <t xml:space="preserve"> (3) x (7) / (8)</t>
  </si>
  <si>
    <t xml:space="preserve"> (4) x (9)</t>
  </si>
  <si>
    <t xml:space="preserve"> Sum by payer</t>
  </si>
  <si>
    <t>Hospital Non-ICU Bed Demand</t>
  </si>
  <si>
    <t>Hospital ICU Bed Demand</t>
  </si>
  <si>
    <t>Hospital Demand</t>
  </si>
  <si>
    <t>Distribution 1:  Normal</t>
  </si>
  <si>
    <t>Distribution 2:  Weibull</t>
  </si>
  <si>
    <t xml:space="preserve"> Based on Meltzer</t>
  </si>
  <si>
    <t xml:space="preserve"> Informed by 2009 H1N1</t>
  </si>
  <si>
    <t>Normal Std Deviation Factor</t>
  </si>
  <si>
    <t>Weekly Hospital Bed Demand</t>
  </si>
  <si>
    <t xml:space="preserve"> Based on low risk hospital distribution</t>
  </si>
  <si>
    <t>Other</t>
  </si>
  <si>
    <t>Covered Members  (1)</t>
  </si>
  <si>
    <t>Deaths Hospital</t>
  </si>
  <si>
    <t>Insured vs Pop Mortality Ratio  (2)</t>
  </si>
  <si>
    <t>Utilization Adjustment  (3)</t>
  </si>
  <si>
    <t>Risk Adjustment  (4)</t>
  </si>
  <si>
    <t>% Deaths in Hospital  (6)</t>
  </si>
  <si>
    <t>ICU Stepdown %  (5)</t>
  </si>
  <si>
    <t>Est 2010 Gross Cost</t>
  </si>
  <si>
    <t>Net Pre-Tax Cost</t>
  </si>
  <si>
    <t>Net After Tax Cost</t>
  </si>
  <si>
    <t>(1) + (2) + (3)</t>
  </si>
  <si>
    <t>(4) - (5) - (6)</t>
  </si>
  <si>
    <t>(7) * (8)</t>
  </si>
  <si>
    <t>(2) * (3)</t>
  </si>
  <si>
    <t>(5) * (6)</t>
  </si>
  <si>
    <t>(8) * (9)</t>
  </si>
  <si>
    <t>(15) * (16)</t>
  </si>
  <si>
    <t>(18) * (19)</t>
  </si>
  <si>
    <t>Sum of Rows (10), (11), AND (12): (Cases by Provider) * (Employee OOP Costs)</t>
  </si>
  <si>
    <t>(13) / (9)</t>
  </si>
  <si>
    <t>(10) * (11)</t>
  </si>
  <si>
    <t>(1) * (2)</t>
  </si>
  <si>
    <t>(4) * (5)</t>
  </si>
  <si>
    <t>(13) * (14)</t>
  </si>
  <si>
    <t>(16) * (17)</t>
  </si>
  <si>
    <t>(8) * (9) / 1000</t>
  </si>
  <si>
    <t>(11) * (12)</t>
  </si>
  <si>
    <t>(11) * (13)</t>
  </si>
  <si>
    <t>(11) * (14)</t>
  </si>
  <si>
    <t>1- (19)</t>
  </si>
  <si>
    <t>(15) * (18)</t>
  </si>
  <si>
    <t>(16) * (18)</t>
  </si>
  <si>
    <t>(17) - (22) - (27)</t>
  </si>
  <si>
    <t>(10) * (6) - (28)</t>
  </si>
  <si>
    <t>(15) * (19)</t>
  </si>
  <si>
    <t>(16) * (19)</t>
  </si>
  <si>
    <t>(17) * (19) * (1 - (5))</t>
  </si>
  <si>
    <t>(5) * (6) * (10) * (19)</t>
  </si>
  <si>
    <t>(13) - (9)</t>
  </si>
  <si>
    <t>Row Notes:</t>
  </si>
  <si>
    <t>2010 Gross Cost</t>
  </si>
  <si>
    <t>1 - (13) - (14)</t>
  </si>
  <si>
    <t>1 - Exh 2, Page 5 Total: (Row 31 / Row 32)</t>
  </si>
  <si>
    <t>Alternate Care Facility Costs</t>
  </si>
  <si>
    <t xml:space="preserve"> (1) x ACF demand (Exhibit 2, Page 3, Total)</t>
  </si>
  <si>
    <t>Total Outpatient</t>
  </si>
  <si>
    <t>Total Hospitalizations</t>
  </si>
  <si>
    <t>Total Deaths</t>
  </si>
  <si>
    <t>Provider Labels:</t>
  </si>
  <si>
    <t>Current Scenario:</t>
  </si>
  <si>
    <t>Medical Inflation Rate:</t>
  </si>
  <si>
    <t>Cumulative Inflation:</t>
  </si>
  <si>
    <t>TaxRate:</t>
  </si>
  <si>
    <t>LOB1 Population:</t>
  </si>
  <si>
    <t>Pop0to69:</t>
  </si>
  <si>
    <t>ICU Stepdown:</t>
  </si>
  <si>
    <t>Population Statistics</t>
  </si>
  <si>
    <t>LOB2 Population:</t>
  </si>
  <si>
    <t>Insured Population:</t>
  </si>
  <si>
    <t>Total Private Insurance:</t>
  </si>
  <si>
    <t>Net After Tax PMPM</t>
  </si>
  <si>
    <t>Covered Members</t>
  </si>
  <si>
    <t>"VV " Curve</t>
  </si>
  <si>
    <t>Hypothetical "W"</t>
  </si>
  <si>
    <t>(Drop Down Menu)</t>
  </si>
  <si>
    <t>Company Statistics</t>
  </si>
  <si>
    <t>Gross Cost as of 2010 (Millions)</t>
  </si>
  <si>
    <t>LOB1:</t>
  </si>
  <si>
    <t>LOB2:</t>
  </si>
  <si>
    <t>LOB_1</t>
  </si>
  <si>
    <t>LOB_2</t>
  </si>
  <si>
    <t>Seasonal "U"</t>
  </si>
  <si>
    <t>Moderate "U"</t>
  </si>
  <si>
    <t>1918 "V\"</t>
  </si>
  <si>
    <t>Scenario Selection</t>
  </si>
  <si>
    <t xml:space="preserve">per 1000  (1) </t>
  </si>
  <si>
    <t xml:space="preserve">Population Deaths   </t>
  </si>
  <si>
    <t>(10) / (9)</t>
  </si>
  <si>
    <t>(10) - (9)</t>
  </si>
  <si>
    <t>(13) / (12 * Insured Population)</t>
  </si>
  <si>
    <t>Claims Projected From:</t>
  </si>
  <si>
    <t>Claims Projected To:</t>
  </si>
  <si>
    <t>Company Specific Assumptions</t>
  </si>
  <si>
    <t>Distribution Curve:</t>
  </si>
  <si>
    <t>Distribution Curve Menu:</t>
  </si>
  <si>
    <t>Distribution Curve Labels:</t>
  </si>
  <si>
    <t>Scenario Menu:</t>
  </si>
  <si>
    <t>Tab:: Scenario</t>
  </si>
  <si>
    <t>Tab:: Total Costs</t>
  </si>
  <si>
    <t>Tab:: Total Summary</t>
  </si>
  <si>
    <t>Tab:: LOB1 Sum</t>
  </si>
  <si>
    <t>Tab:: Mortality Distribution</t>
  </si>
  <si>
    <t>Tab:: Morbidity Distribution</t>
  </si>
  <si>
    <t>Tab:: Distribution by Provider</t>
  </si>
  <si>
    <t>Tab:: Distribution by Risk Class</t>
  </si>
  <si>
    <t>Available Surge Capacity</t>
  </si>
  <si>
    <t>Selected Severity:</t>
  </si>
  <si>
    <t>Tab:: LOB2 Sum</t>
  </si>
  <si>
    <t>Tab:: LOB2 Costs</t>
  </si>
  <si>
    <t>Tab:: LOB2 Dist</t>
  </si>
  <si>
    <t>Tab:: LOB1 Costs</t>
  </si>
  <si>
    <t>Tab:: LOB1 Dist</t>
  </si>
  <si>
    <t>Tab:: Deferred Care</t>
  </si>
  <si>
    <t>Tab:: ACF Costs</t>
  </si>
  <si>
    <t>Tab:: Case Graph</t>
  </si>
  <si>
    <t>Tab:: Case Distribution</t>
  </si>
  <si>
    <t>Tab:: Provider Utilization</t>
  </si>
  <si>
    <t>Tab:: Provider Charges</t>
  </si>
  <si>
    <t>Tab:: Provider Scenario</t>
  </si>
  <si>
    <t>Patients Needing Ventilators</t>
  </si>
  <si>
    <t>Total Company Estimated Gross Costs as of 2010</t>
  </si>
  <si>
    <t>Adjustment for Employee Out Of Pocket as of 2010 (Millions)</t>
  </si>
  <si>
    <t xml:space="preserve"> Distribution of elective care by payer (HCUP data)</t>
  </si>
</sst>
</file>

<file path=xl/styles.xml><?xml version="1.0" encoding="utf-8"?>
<styleSheet xmlns="http://schemas.openxmlformats.org/spreadsheetml/2006/main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"/>
    <numFmt numFmtId="169" formatCode="_(* #,##0.000_);_(* \(#,##0.000\);_(* &quot;-&quot;??_);_(@_)"/>
    <numFmt numFmtId="170" formatCode="_(* #,##0.00000_);_(* \(#,##0.00000\);_(* &quot;-&quot;??_);_(@_)"/>
    <numFmt numFmtId="171" formatCode="0_);\(0\)"/>
    <numFmt numFmtId="172" formatCode="_(* #,##0.0000_);_(* \(#,##0.0000\);_(* &quot;-&quot;??_);_(@_)"/>
    <numFmt numFmtId="173" formatCode="_(* #,##0.0_);_(* \(#,##0.0\);_(* &quot;-&quot;?_);_(@_)"/>
    <numFmt numFmtId="174" formatCode="_(&quot;$&quot;* #,##0_);_(&quot;$&quot;* \(#,##0\);_(&quot;$&quot;* &quot;-&quot;??_);_(@_)"/>
    <numFmt numFmtId="175" formatCode="_(* #,##0_);_(* \(#,##0\);_(* &quot;-&quot;???_);_(@_)"/>
    <numFmt numFmtId="176" formatCode="_(&quot;$&quot;* #,##0.0_);_(&quot;$&quot;* \(#,##0.0\);_(&quot;$&quot;* &quot;-&quot;??_);_(@_)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36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31">
    <xf numFmtId="0" fontId="0" fillId="0" borderId="0" xfId="0"/>
    <xf numFmtId="0" fontId="4" fillId="0" borderId="0" xfId="5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6" applyFont="1"/>
    <xf numFmtId="167" fontId="4" fillId="0" borderId="0" xfId="1" applyNumberFormat="1" applyFont="1"/>
    <xf numFmtId="167" fontId="4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3" fontId="4" fillId="0" borderId="0" xfId="1" applyFont="1"/>
    <xf numFmtId="43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5" applyFont="1" applyAlignment="1">
      <alignment horizontal="center"/>
    </xf>
    <xf numFmtId="167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4" fillId="0" borderId="0" xfId="5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6" fontId="3" fillId="0" borderId="0" xfId="1" quotePrefix="1" applyNumberFormat="1" applyFont="1" applyBorder="1" applyAlignment="1">
      <alignment horizontal="right"/>
    </xf>
    <xf numFmtId="166" fontId="0" fillId="0" borderId="0" xfId="1" applyNumberFormat="1" applyFont="1" applyBorder="1"/>
    <xf numFmtId="166" fontId="3" fillId="0" borderId="0" xfId="1" applyNumberFormat="1" applyFont="1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0" fontId="4" fillId="0" borderId="0" xfId="0" applyFont="1" applyFill="1"/>
    <xf numFmtId="0" fontId="4" fillId="0" borderId="0" xfId="0" applyFont="1" applyAlignment="1">
      <alignment horizontal="centerContinuous"/>
    </xf>
    <xf numFmtId="0" fontId="3" fillId="0" borderId="0" xfId="0" applyFont="1"/>
    <xf numFmtId="43" fontId="3" fillId="0" borderId="0" xfId="1" applyFont="1" applyAlignment="1">
      <alignment horizontal="center"/>
    </xf>
    <xf numFmtId="0" fontId="4" fillId="0" borderId="1" xfId="0" applyFont="1" applyBorder="1"/>
    <xf numFmtId="167" fontId="4" fillId="0" borderId="2" xfId="1" applyNumberFormat="1" applyFont="1" applyBorder="1"/>
    <xf numFmtId="0" fontId="4" fillId="0" borderId="0" xfId="0" applyFont="1" applyBorder="1"/>
    <xf numFmtId="43" fontId="0" fillId="0" borderId="0" xfId="0" applyNumberFormat="1"/>
    <xf numFmtId="167" fontId="4" fillId="0" borderId="0" xfId="1" applyNumberFormat="1" applyFont="1" applyFill="1" applyBorder="1"/>
    <xf numFmtId="0" fontId="9" fillId="0" borderId="0" xfId="0" applyFont="1" applyAlignment="1">
      <alignment horizontal="centerContinuous"/>
    </xf>
    <xf numFmtId="0" fontId="4" fillId="0" borderId="0" xfId="0" applyFont="1" applyBorder="1" applyAlignment="1">
      <alignment horizontal="center"/>
    </xf>
    <xf numFmtId="43" fontId="3" fillId="0" borderId="0" xfId="0" applyNumberFormat="1" applyFont="1"/>
    <xf numFmtId="0" fontId="0" fillId="0" borderId="0" xfId="0" applyFill="1" applyBorder="1"/>
    <xf numFmtId="0" fontId="7" fillId="0" borderId="0" xfId="0" applyFont="1"/>
    <xf numFmtId="0" fontId="4" fillId="0" borderId="0" xfId="0" applyFont="1" applyBorder="1" applyAlignment="1">
      <alignment horizontal="right"/>
    </xf>
    <xf numFmtId="43" fontId="4" fillId="0" borderId="0" xfId="0" applyNumberFormat="1" applyFont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43" fontId="3" fillId="0" borderId="0" xfId="1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43" fontId="4" fillId="0" borderId="0" xfId="1" applyNumberFormat="1" applyFont="1" applyFill="1" applyBorder="1"/>
    <xf numFmtId="43" fontId="4" fillId="0" borderId="0" xfId="1" applyFont="1" applyFill="1"/>
    <xf numFmtId="0" fontId="6" fillId="0" borderId="0" xfId="0" applyFont="1" applyAlignment="1">
      <alignment horizontal="left"/>
    </xf>
    <xf numFmtId="9" fontId="11" fillId="0" borderId="0" xfId="6" applyFont="1" applyFill="1" applyAlignment="1">
      <alignment horizontal="centerContinuous"/>
    </xf>
    <xf numFmtId="0" fontId="4" fillId="0" borderId="0" xfId="0" applyFont="1" applyFill="1" applyAlignment="1">
      <alignment horizontal="right"/>
    </xf>
    <xf numFmtId="0" fontId="12" fillId="0" borderId="0" xfId="0" applyFont="1" applyAlignment="1">
      <alignment horizontal="centerContinuous"/>
    </xf>
    <xf numFmtId="0" fontId="11" fillId="0" borderId="0" xfId="0" applyFont="1" applyAlignment="1">
      <alignment horizontal="left"/>
    </xf>
    <xf numFmtId="167" fontId="3" fillId="0" borderId="0" xfId="1" applyNumberFormat="1" applyFont="1" applyBorder="1"/>
    <xf numFmtId="0" fontId="4" fillId="0" borderId="3" xfId="0" applyFont="1" applyBorder="1"/>
    <xf numFmtId="0" fontId="3" fillId="0" borderId="4" xfId="0" applyFont="1" applyFill="1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4" fillId="0" borderId="3" xfId="5" applyFont="1" applyBorder="1" applyAlignment="1">
      <alignment horizontal="right"/>
    </xf>
    <xf numFmtId="171" fontId="4" fillId="0" borderId="1" xfId="0" applyNumberFormat="1" applyFont="1" applyBorder="1" applyAlignment="1">
      <alignment horizontal="center"/>
    </xf>
    <xf numFmtId="171" fontId="4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71" fontId="4" fillId="0" borderId="0" xfId="0" applyNumberFormat="1" applyFont="1" applyBorder="1" applyAlignment="1">
      <alignment horizontal="center"/>
    </xf>
    <xf numFmtId="165" fontId="3" fillId="0" borderId="0" xfId="6" applyNumberFormat="1" applyFont="1" applyFill="1" applyBorder="1"/>
    <xf numFmtId="0" fontId="2" fillId="0" borderId="0" xfId="0" applyFont="1"/>
    <xf numFmtId="167" fontId="0" fillId="0" borderId="0" xfId="1" applyNumberFormat="1" applyFont="1" applyFill="1" applyBorder="1"/>
    <xf numFmtId="0" fontId="0" fillId="0" borderId="8" xfId="0" applyBorder="1" applyAlignment="1">
      <alignment horizontal="centerContinuous"/>
    </xf>
    <xf numFmtId="43" fontId="2" fillId="0" borderId="0" xfId="0" applyNumberFormat="1" applyFont="1"/>
    <xf numFmtId="43" fontId="2" fillId="0" borderId="0" xfId="6" applyNumberFormat="1" applyFont="1"/>
    <xf numFmtId="167" fontId="3" fillId="0" borderId="0" xfId="0" applyNumberFormat="1" applyFont="1"/>
    <xf numFmtId="165" fontId="2" fillId="0" borderId="0" xfId="6" applyNumberFormat="1" applyFont="1"/>
    <xf numFmtId="43" fontId="4" fillId="0" borderId="0" xfId="1" applyFont="1" applyAlignment="1">
      <alignment horizontal="right"/>
    </xf>
    <xf numFmtId="43" fontId="4" fillId="0" borderId="0" xfId="1" quotePrefix="1" applyFont="1" applyAlignment="1">
      <alignment horizontal="right"/>
    </xf>
    <xf numFmtId="43" fontId="4" fillId="0" borderId="0" xfId="1" applyFont="1" applyBorder="1" applyAlignment="1">
      <alignment horizontal="right"/>
    </xf>
    <xf numFmtId="43" fontId="4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8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3" fillId="0" borderId="0" xfId="1" applyNumberFormat="1" applyFont="1" applyFill="1" applyBorder="1"/>
    <xf numFmtId="43" fontId="3" fillId="0" borderId="0" xfId="1" applyFont="1" applyFill="1" applyBorder="1"/>
    <xf numFmtId="0" fontId="4" fillId="0" borderId="5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43" fontId="7" fillId="0" borderId="0" xfId="1" applyNumberFormat="1" applyFont="1" applyFill="1"/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6" xfId="0" applyBorder="1" applyAlignment="1">
      <alignment horizontal="center"/>
    </xf>
    <xf numFmtId="167" fontId="0" fillId="0" borderId="3" xfId="1" applyNumberFormat="1" applyFont="1" applyBorder="1"/>
    <xf numFmtId="167" fontId="0" fillId="0" borderId="9" xfId="1" applyNumberFormat="1" applyFont="1" applyBorder="1"/>
    <xf numFmtId="43" fontId="6" fillId="0" borderId="0" xfId="1" applyNumberFormat="1" applyFont="1" applyFill="1"/>
    <xf numFmtId="167" fontId="4" fillId="0" borderId="1" xfId="1" applyNumberFormat="1" applyFont="1" applyBorder="1"/>
    <xf numFmtId="167" fontId="4" fillId="0" borderId="0" xfId="1" applyNumberFormat="1" applyFont="1" applyBorder="1"/>
    <xf numFmtId="167" fontId="4" fillId="0" borderId="3" xfId="1" applyNumberFormat="1" applyFont="1" applyBorder="1"/>
    <xf numFmtId="167" fontId="4" fillId="0" borderId="7" xfId="1" applyNumberFormat="1" applyFont="1" applyBorder="1"/>
    <xf numFmtId="167" fontId="4" fillId="0" borderId="9" xfId="1" applyNumberFormat="1" applyFont="1" applyBorder="1"/>
    <xf numFmtId="9" fontId="4" fillId="0" borderId="0" xfId="6" applyFont="1" applyFill="1" applyBorder="1"/>
    <xf numFmtId="0" fontId="4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165" fontId="3" fillId="0" borderId="0" xfId="1" quotePrefix="1" applyNumberFormat="1" applyFont="1" applyBorder="1" applyAlignment="1">
      <alignment horizontal="right"/>
    </xf>
    <xf numFmtId="165" fontId="4" fillId="0" borderId="1" xfId="1" quotePrefix="1" applyNumberFormat="1" applyFont="1" applyBorder="1" applyAlignment="1">
      <alignment horizontal="right"/>
    </xf>
    <xf numFmtId="165" fontId="4" fillId="0" borderId="7" xfId="1" quotePrefix="1" applyNumberFormat="1" applyFont="1" applyBorder="1" applyAlignment="1">
      <alignment horizontal="right"/>
    </xf>
    <xf numFmtId="0" fontId="0" fillId="0" borderId="11" xfId="0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167" fontId="0" fillId="0" borderId="0" xfId="1" applyNumberFormat="1" applyFont="1"/>
    <xf numFmtId="2" fontId="4" fillId="0" borderId="1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3" fontId="4" fillId="0" borderId="4" xfId="1" applyNumberFormat="1" applyFont="1" applyFill="1" applyBorder="1" applyAlignment="1">
      <alignment horizontal="center"/>
    </xf>
    <xf numFmtId="165" fontId="4" fillId="0" borderId="4" xfId="6" applyNumberFormat="1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7" fontId="1" fillId="0" borderId="3" xfId="1" applyNumberFormat="1" applyBorder="1"/>
    <xf numFmtId="167" fontId="1" fillId="0" borderId="9" xfId="1" applyNumberFormat="1" applyBorder="1"/>
    <xf numFmtId="2" fontId="4" fillId="0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Border="1"/>
    <xf numFmtId="165" fontId="4" fillId="0" borderId="3" xfId="6" quotePrefix="1" applyNumberFormat="1" applyFont="1" applyBorder="1" applyAlignment="1">
      <alignment horizontal="right"/>
    </xf>
    <xf numFmtId="165" fontId="4" fillId="0" borderId="9" xfId="6" quotePrefix="1" applyNumberFormat="1" applyFont="1" applyBorder="1" applyAlignment="1">
      <alignment horizontal="right"/>
    </xf>
    <xf numFmtId="165" fontId="4" fillId="0" borderId="13" xfId="6" applyNumberFormat="1" applyFont="1" applyFill="1" applyBorder="1" applyAlignment="1">
      <alignment horizontal="center"/>
    </xf>
    <xf numFmtId="165" fontId="2" fillId="0" borderId="0" xfId="0" applyNumberFormat="1" applyFont="1"/>
    <xf numFmtId="9" fontId="10" fillId="0" borderId="0" xfId="6" applyFont="1" applyFill="1" applyAlignment="1">
      <alignment horizontal="centerContinuous"/>
    </xf>
    <xf numFmtId="43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9" fontId="1" fillId="0" borderId="3" xfId="1" applyNumberFormat="1" applyBorder="1"/>
    <xf numFmtId="169" fontId="1" fillId="0" borderId="9" xfId="1" applyNumberFormat="1" applyBorder="1"/>
    <xf numFmtId="169" fontId="4" fillId="0" borderId="1" xfId="1" quotePrefix="1" applyNumberFormat="1" applyFont="1" applyBorder="1" applyAlignment="1">
      <alignment horizontal="right"/>
    </xf>
    <xf numFmtId="169" fontId="4" fillId="0" borderId="7" xfId="1" quotePrefix="1" applyNumberFormat="1" applyFont="1" applyBorder="1" applyAlignment="1">
      <alignment horizontal="right"/>
    </xf>
    <xf numFmtId="167" fontId="2" fillId="0" borderId="0" xfId="1" applyNumberFormat="1" applyFont="1" applyFill="1" applyBorder="1" applyAlignment="1">
      <alignment horizontal="centerContinuous"/>
    </xf>
    <xf numFmtId="167" fontId="2" fillId="0" borderId="0" xfId="1" applyNumberFormat="1" applyFont="1" applyFill="1" applyBorder="1" applyAlignment="1">
      <alignment horizontal="center"/>
    </xf>
    <xf numFmtId="9" fontId="11" fillId="0" borderId="0" xfId="6" applyFont="1" applyFill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9" fontId="10" fillId="0" borderId="0" xfId="6" applyFont="1" applyFill="1" applyBorder="1" applyAlignment="1">
      <alignment horizontal="centerContinuous"/>
    </xf>
    <xf numFmtId="165" fontId="4" fillId="0" borderId="0" xfId="6" applyNumberFormat="1" applyFont="1" applyBorder="1"/>
    <xf numFmtId="167" fontId="4" fillId="0" borderId="0" xfId="1" applyNumberFormat="1" applyFont="1" applyBorder="1" applyAlignment="1">
      <alignment horizontal="centerContinuous"/>
    </xf>
    <xf numFmtId="165" fontId="4" fillId="0" borderId="0" xfId="6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0" borderId="0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4" fillId="0" borderId="14" xfId="6" applyNumberFormat="1" applyFont="1" applyFill="1" applyBorder="1" applyAlignment="1">
      <alignment horizontal="center"/>
    </xf>
    <xf numFmtId="171" fontId="4" fillId="0" borderId="1" xfId="5" applyNumberFormat="1" applyFont="1" applyBorder="1" applyAlignment="1">
      <alignment horizontal="center"/>
    </xf>
    <xf numFmtId="171" fontId="4" fillId="0" borderId="0" xfId="5" applyNumberFormat="1" applyFont="1" applyBorder="1" applyAlignment="1">
      <alignment horizontal="center"/>
    </xf>
    <xf numFmtId="171" fontId="4" fillId="0" borderId="3" xfId="5" applyNumberFormat="1" applyFont="1" applyBorder="1" applyAlignment="1">
      <alignment horizontal="center"/>
    </xf>
    <xf numFmtId="167" fontId="4" fillId="0" borderId="3" xfId="1" applyNumberFormat="1" applyFont="1" applyBorder="1" applyAlignment="1">
      <alignment horizontal="left"/>
    </xf>
    <xf numFmtId="0" fontId="4" fillId="0" borderId="0" xfId="5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/>
    </xf>
    <xf numFmtId="9" fontId="4" fillId="0" borderId="1" xfId="0" applyNumberFormat="1" applyFont="1" applyBorder="1"/>
    <xf numFmtId="9" fontId="4" fillId="0" borderId="7" xfId="0" applyNumberFormat="1" applyFont="1" applyBorder="1"/>
    <xf numFmtId="0" fontId="4" fillId="0" borderId="3" xfId="5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5" fontId="4" fillId="0" borderId="1" xfId="6" quotePrefix="1" applyNumberFormat="1" applyFont="1" applyBorder="1" applyAlignment="1">
      <alignment horizontal="right"/>
    </xf>
    <xf numFmtId="165" fontId="4" fillId="0" borderId="7" xfId="6" quotePrefix="1" applyNumberFormat="1" applyFont="1" applyBorder="1" applyAlignment="1">
      <alignment horizontal="right"/>
    </xf>
    <xf numFmtId="165" fontId="0" fillId="0" borderId="0" xfId="0" applyNumberFormat="1"/>
    <xf numFmtId="9" fontId="4" fillId="0" borderId="0" xfId="6" applyFont="1" applyBorder="1"/>
    <xf numFmtId="166" fontId="3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9" fontId="18" fillId="0" borderId="0" xfId="6" applyFont="1" applyFill="1" applyAlignment="1">
      <alignment horizontal="right"/>
    </xf>
    <xf numFmtId="167" fontId="1" fillId="0" borderId="0" xfId="1" applyNumberFormat="1" applyFont="1" applyBorder="1"/>
    <xf numFmtId="0" fontId="1" fillId="0" borderId="0" xfId="0" applyFont="1" applyBorder="1" applyAlignment="1">
      <alignment horizontal="centerContinuous"/>
    </xf>
    <xf numFmtId="173" fontId="4" fillId="0" borderId="0" xfId="0" applyNumberFormat="1" applyFont="1"/>
    <xf numFmtId="2" fontId="8" fillId="0" borderId="0" xfId="0" applyNumberFormat="1" applyFont="1" applyFill="1" applyBorder="1"/>
    <xf numFmtId="0" fontId="0" fillId="0" borderId="0" xfId="0" applyFill="1"/>
    <xf numFmtId="165" fontId="3" fillId="0" borderId="0" xfId="1" quotePrefix="1" applyNumberFormat="1" applyFont="1" applyFill="1" applyBorder="1" applyAlignment="1">
      <alignment horizontal="right"/>
    </xf>
    <xf numFmtId="165" fontId="4" fillId="0" borderId="0" xfId="1" quotePrefix="1" applyNumberFormat="1" applyFont="1" applyFill="1" applyBorder="1" applyAlignment="1">
      <alignment horizontal="right"/>
    </xf>
    <xf numFmtId="165" fontId="4" fillId="0" borderId="2" xfId="1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67" fontId="0" fillId="0" borderId="0" xfId="0" applyNumberFormat="1" applyFill="1"/>
    <xf numFmtId="17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left"/>
    </xf>
    <xf numFmtId="166" fontId="3" fillId="0" borderId="0" xfId="1" quotePrefix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0" applyFont="1" applyFill="1"/>
    <xf numFmtId="170" fontId="5" fillId="0" borderId="0" xfId="1" quotePrefix="1" applyNumberFormat="1" applyFont="1" applyFill="1" applyBorder="1" applyAlignment="1">
      <alignment horizontal="right"/>
    </xf>
    <xf numFmtId="16" fontId="3" fillId="0" borderId="0" xfId="0" quotePrefix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Continuous"/>
    </xf>
    <xf numFmtId="43" fontId="14" fillId="0" borderId="0" xfId="1" applyFont="1"/>
    <xf numFmtId="0" fontId="1" fillId="0" borderId="1" xfId="5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9" fillId="0" borderId="0" xfId="0" applyFont="1"/>
    <xf numFmtId="9" fontId="4" fillId="0" borderId="0" xfId="6" applyFont="1" applyFill="1"/>
    <xf numFmtId="166" fontId="1" fillId="0" borderId="0" xfId="2" applyNumberFormat="1" applyFont="1" applyBorder="1" applyAlignment="1">
      <alignment horizontal="center"/>
    </xf>
    <xf numFmtId="0" fontId="15" fillId="0" borderId="0" xfId="0" applyFont="1" applyBorder="1"/>
    <xf numFmtId="165" fontId="1" fillId="0" borderId="0" xfId="6" applyNumberFormat="1" applyFont="1" applyBorder="1" applyAlignment="1">
      <alignment horizontal="right"/>
    </xf>
    <xf numFmtId="167" fontId="1" fillId="0" borderId="0" xfId="2" applyNumberFormat="1" applyFont="1" applyBorder="1" applyAlignment="1">
      <alignment horizontal="right"/>
    </xf>
    <xf numFmtId="0" fontId="1" fillId="0" borderId="0" xfId="0" applyFont="1" applyBorder="1"/>
    <xf numFmtId="166" fontId="1" fillId="0" borderId="0" xfId="2" applyNumberFormat="1" applyFont="1" applyBorder="1"/>
    <xf numFmtId="167" fontId="1" fillId="0" borderId="0" xfId="2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1" fillId="0" borderId="0" xfId="2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6" fontId="1" fillId="0" borderId="0" xfId="2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6" fontId="0" fillId="0" borderId="0" xfId="1" applyNumberFormat="1" applyFont="1"/>
    <xf numFmtId="166" fontId="2" fillId="0" borderId="0" xfId="2" applyNumberFormat="1" applyFont="1" applyFill="1" applyBorder="1" applyAlignment="1">
      <alignment horizontal="right"/>
    </xf>
    <xf numFmtId="43" fontId="1" fillId="0" borderId="0" xfId="1" applyFont="1" applyBorder="1" applyAlignment="1">
      <alignment horizontal="right"/>
    </xf>
    <xf numFmtId="166" fontId="0" fillId="0" borderId="0" xfId="0" applyNumberFormat="1"/>
    <xf numFmtId="166" fontId="2" fillId="0" borderId="0" xfId="2" applyNumberFormat="1" applyFont="1" applyBorder="1" applyAlignment="1">
      <alignment horizontal="right"/>
    </xf>
    <xf numFmtId="167" fontId="1" fillId="0" borderId="0" xfId="1" applyNumberFormat="1" applyFont="1" applyBorder="1" applyAlignment="1">
      <alignment horizontal="right"/>
    </xf>
    <xf numFmtId="166" fontId="20" fillId="0" borderId="0" xfId="0" applyNumberFormat="1" applyFont="1" applyBorder="1" applyAlignment="1">
      <alignment horizontal="right"/>
    </xf>
    <xf numFmtId="167" fontId="20" fillId="0" borderId="0" xfId="2" applyNumberFormat="1" applyFont="1" applyBorder="1"/>
    <xf numFmtId="166" fontId="1" fillId="0" borderId="2" xfId="2" applyNumberFormat="1" applyFont="1" applyFill="1" applyBorder="1" applyAlignment="1">
      <alignment horizontal="right"/>
    </xf>
    <xf numFmtId="166" fontId="8" fillId="0" borderId="0" xfId="1" applyNumberFormat="1" applyFont="1" applyFill="1" applyBorder="1"/>
    <xf numFmtId="167" fontId="1" fillId="0" borderId="2" xfId="2" applyNumberFormat="1" applyFont="1" applyFill="1" applyBorder="1" applyAlignment="1">
      <alignment horizontal="right"/>
    </xf>
    <xf numFmtId="9" fontId="1" fillId="0" borderId="0" xfId="6" applyFont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19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4" fillId="0" borderId="0" xfId="0" applyFont="1"/>
    <xf numFmtId="9" fontId="16" fillId="0" borderId="0" xfId="6" applyFont="1" applyFill="1" applyBorder="1" applyAlignment="1">
      <alignment horizontal="centerContinuous"/>
    </xf>
    <xf numFmtId="9" fontId="17" fillId="0" borderId="0" xfId="6" applyFont="1" applyFill="1" applyBorder="1" applyAlignment="1">
      <alignment horizontal="centerContinuous"/>
    </xf>
    <xf numFmtId="0" fontId="14" fillId="0" borderId="0" xfId="0" applyFont="1" applyBorder="1" applyAlignment="1">
      <alignment horizontal="center"/>
    </xf>
    <xf numFmtId="165" fontId="14" fillId="0" borderId="0" xfId="6" applyNumberFormat="1" applyFont="1" applyBorder="1" applyAlignment="1">
      <alignment horizontal="right"/>
    </xf>
    <xf numFmtId="165" fontId="14" fillId="0" borderId="0" xfId="0" applyNumberFormat="1" applyFont="1"/>
    <xf numFmtId="167" fontId="4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9" fontId="0" fillId="0" borderId="0" xfId="6" applyFont="1" applyFill="1" applyAlignment="1">
      <alignment horizontal="right"/>
    </xf>
    <xf numFmtId="9" fontId="9" fillId="0" borderId="0" xfId="6" applyFont="1" applyFill="1" applyAlignment="1">
      <alignment horizontal="centerContinuous"/>
    </xf>
    <xf numFmtId="9" fontId="4" fillId="0" borderId="1" xfId="6" applyFont="1" applyFill="1" applyBorder="1"/>
    <xf numFmtId="9" fontId="4" fillId="0" borderId="3" xfId="6" applyFont="1" applyFill="1" applyBorder="1"/>
    <xf numFmtId="0" fontId="7" fillId="0" borderId="1" xfId="0" applyFont="1" applyFill="1" applyBorder="1" applyAlignment="1">
      <alignment horizontal="center"/>
    </xf>
    <xf numFmtId="9" fontId="7" fillId="0" borderId="3" xfId="6" applyFont="1" applyFill="1" applyBorder="1" applyAlignment="1">
      <alignment horizontal="center"/>
    </xf>
    <xf numFmtId="167" fontId="4" fillId="0" borderId="0" xfId="0" applyNumberFormat="1" applyFont="1" applyFill="1" applyBorder="1"/>
    <xf numFmtId="43" fontId="1" fillId="0" borderId="0" xfId="1" applyNumberFormat="1" applyFont="1" applyBorder="1"/>
    <xf numFmtId="168" fontId="1" fillId="0" borderId="0" xfId="0" applyNumberFormat="1" applyFont="1" applyFill="1" applyBorder="1"/>
    <xf numFmtId="168" fontId="18" fillId="0" borderId="0" xfId="0" applyNumberFormat="1" applyFont="1" applyFill="1" applyBorder="1"/>
    <xf numFmtId="166" fontId="1" fillId="0" borderId="0" xfId="1" applyNumberFormat="1" applyFont="1" applyBorder="1"/>
    <xf numFmtId="167" fontId="1" fillId="0" borderId="0" xfId="1" applyNumberFormat="1" applyFont="1"/>
    <xf numFmtId="0" fontId="1" fillId="0" borderId="0" xfId="0" applyFont="1" applyAlignment="1">
      <alignment horizontal="centerContinuous"/>
    </xf>
    <xf numFmtId="165" fontId="1" fillId="0" borderId="0" xfId="6" applyNumberFormat="1" applyFont="1" applyFill="1" applyBorder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165" fontId="0" fillId="0" borderId="0" xfId="6" applyNumberFormat="1" applyFont="1" applyFill="1"/>
    <xf numFmtId="165" fontId="0" fillId="0" borderId="0" xfId="6" applyNumberFormat="1" applyFont="1"/>
    <xf numFmtId="165" fontId="2" fillId="0" borderId="0" xfId="6" applyNumberFormat="1" applyFont="1" applyBorder="1" applyAlignment="1">
      <alignment horizontal="right"/>
    </xf>
    <xf numFmtId="43" fontId="4" fillId="0" borderId="0" xfId="0" applyNumberFormat="1" applyFont="1" applyBorder="1"/>
    <xf numFmtId="168" fontId="19" fillId="0" borderId="0" xfId="0" applyNumberFormat="1" applyFont="1" applyFill="1" applyBorder="1"/>
    <xf numFmtId="166" fontId="1" fillId="0" borderId="0" xfId="1" applyNumberFormat="1" applyFont="1" applyFill="1" applyBorder="1"/>
    <xf numFmtId="166" fontId="18" fillId="0" borderId="0" xfId="1" applyNumberFormat="1" applyFont="1" applyFill="1" applyBorder="1"/>
    <xf numFmtId="9" fontId="0" fillId="0" borderId="0" xfId="6" applyFont="1" applyFill="1" applyBorder="1" applyAlignment="1">
      <alignment horizontal="center"/>
    </xf>
    <xf numFmtId="9" fontId="4" fillId="0" borderId="0" xfId="6" applyFont="1" applyFill="1" applyBorder="1" applyAlignment="1">
      <alignment horizontal="center"/>
    </xf>
    <xf numFmtId="9" fontId="3" fillId="0" borderId="0" xfId="6" quotePrefix="1" applyFont="1" applyFill="1" applyBorder="1" applyAlignment="1">
      <alignment horizontal="center"/>
    </xf>
    <xf numFmtId="9" fontId="3" fillId="0" borderId="0" xfId="6" applyFont="1" applyFill="1" applyBorder="1" applyAlignment="1">
      <alignment horizontal="center"/>
    </xf>
    <xf numFmtId="9" fontId="3" fillId="0" borderId="0" xfId="6" applyFont="1" applyBorder="1" applyAlignment="1">
      <alignment horizontal="center"/>
    </xf>
    <xf numFmtId="9" fontId="0" fillId="0" borderId="0" xfId="6" applyFont="1" applyBorder="1" applyAlignment="1">
      <alignment horizontal="center"/>
    </xf>
    <xf numFmtId="9" fontId="0" fillId="0" borderId="0" xfId="6" applyFont="1" applyAlignment="1">
      <alignment horizontal="center"/>
    </xf>
    <xf numFmtId="174" fontId="4" fillId="0" borderId="0" xfId="3" applyNumberFormat="1" applyFont="1" applyBorder="1"/>
    <xf numFmtId="0" fontId="2" fillId="0" borderId="0" xfId="0" applyFont="1" applyBorder="1" applyAlignment="1">
      <alignment horizontal="centerContinuous"/>
    </xf>
    <xf numFmtId="167" fontId="1" fillId="0" borderId="2" xfId="1" applyNumberFormat="1" applyFont="1" applyBorder="1"/>
    <xf numFmtId="167" fontId="0" fillId="0" borderId="0" xfId="0" applyNumberFormat="1" applyFill="1" applyBorder="1"/>
    <xf numFmtId="0" fontId="1" fillId="0" borderId="0" xfId="4" applyFont="1"/>
    <xf numFmtId="164" fontId="1" fillId="0" borderId="0" xfId="4" applyNumberFormat="1" applyFont="1" applyAlignment="1">
      <alignment horizontal="left"/>
    </xf>
    <xf numFmtId="0" fontId="1" fillId="0" borderId="0" xfId="4" applyFont="1" applyAlignment="1">
      <alignment horizontal="right"/>
    </xf>
    <xf numFmtId="166" fontId="1" fillId="0" borderId="0" xfId="1" applyNumberFormat="1" applyFont="1"/>
    <xf numFmtId="167" fontId="1" fillId="0" borderId="0" xfId="4" applyNumberFormat="1" applyFont="1"/>
    <xf numFmtId="0" fontId="1" fillId="0" borderId="2" xfId="4" applyFont="1" applyBorder="1"/>
    <xf numFmtId="165" fontId="1" fillId="0" borderId="0" xfId="6" applyNumberFormat="1" applyFont="1"/>
    <xf numFmtId="165" fontId="1" fillId="0" borderId="2" xfId="6" applyNumberFormat="1" applyFont="1" applyBorder="1"/>
    <xf numFmtId="167" fontId="1" fillId="0" borderId="0" xfId="1" applyNumberFormat="1" applyFont="1" applyFill="1" applyBorder="1"/>
    <xf numFmtId="167" fontId="0" fillId="0" borderId="2" xfId="0" applyNumberFormat="1" applyFill="1" applyBorder="1"/>
    <xf numFmtId="167" fontId="1" fillId="0" borderId="0" xfId="0" applyNumberFormat="1" applyFont="1"/>
    <xf numFmtId="43" fontId="1" fillId="0" borderId="0" xfId="0" applyNumberFormat="1" applyFont="1"/>
    <xf numFmtId="174" fontId="1" fillId="0" borderId="0" xfId="3" applyNumberFormat="1" applyFont="1"/>
    <xf numFmtId="9" fontId="4" fillId="0" borderId="0" xfId="0" applyNumberFormat="1" applyFont="1"/>
    <xf numFmtId="10" fontId="3" fillId="0" borderId="0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Continuous"/>
    </xf>
    <xf numFmtId="167" fontId="1" fillId="0" borderId="0" xfId="1" applyNumberFormat="1" applyFont="1" applyBorder="1" applyAlignment="1">
      <alignment horizontal="center"/>
    </xf>
    <xf numFmtId="167" fontId="1" fillId="0" borderId="0" xfId="1" applyNumberFormat="1" applyFont="1" applyBorder="1" applyAlignment="1">
      <alignment horizontal="centerContinuous"/>
    </xf>
    <xf numFmtId="167" fontId="1" fillId="0" borderId="0" xfId="1" applyNumberFormat="1" applyFont="1" applyFill="1"/>
    <xf numFmtId="0" fontId="2" fillId="0" borderId="0" xfId="0" applyFont="1" applyAlignment="1">
      <alignment horizontal="centerContinuous"/>
    </xf>
    <xf numFmtId="174" fontId="1" fillId="0" borderId="0" xfId="3" applyNumberFormat="1" applyFont="1" applyBorder="1"/>
    <xf numFmtId="9" fontId="1" fillId="0" borderId="0" xfId="6" applyFont="1" applyAlignment="1">
      <alignment horizontal="centerContinuous"/>
    </xf>
    <xf numFmtId="0" fontId="7" fillId="0" borderId="0" xfId="0" applyFont="1" applyFill="1" applyAlignment="1">
      <alignment horizontal="right"/>
    </xf>
    <xf numFmtId="0" fontId="1" fillId="0" borderId="0" xfId="0" applyFont="1" applyBorder="1" applyAlignment="1">
      <alignment horizontal="left"/>
    </xf>
    <xf numFmtId="167" fontId="22" fillId="0" borderId="0" xfId="1" applyNumberFormat="1" applyFont="1"/>
    <xf numFmtId="165" fontId="1" fillId="0" borderId="0" xfId="1" quotePrefix="1" applyNumberFormat="1" applyFont="1" applyFill="1" applyBorder="1" applyAlignment="1">
      <alignment horizontal="right"/>
    </xf>
    <xf numFmtId="165" fontId="1" fillId="0" borderId="2" xfId="1" quotePrefix="1" applyNumberFormat="1" applyFont="1" applyFill="1" applyBorder="1" applyAlignment="1">
      <alignment horizontal="right"/>
    </xf>
    <xf numFmtId="165" fontId="4" fillId="0" borderId="0" xfId="6" applyNumberFormat="1" applyFont="1"/>
    <xf numFmtId="165" fontId="3" fillId="0" borderId="0" xfId="6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0" fontId="4" fillId="0" borderId="0" xfId="0" applyNumberFormat="1" applyFont="1"/>
    <xf numFmtId="175" fontId="1" fillId="0" borderId="2" xfId="4" applyNumberFormat="1" applyFont="1" applyBorder="1" applyAlignment="1">
      <alignment horizontal="right"/>
    </xf>
    <xf numFmtId="0" fontId="1" fillId="0" borderId="1" xfId="4" applyFont="1" applyBorder="1"/>
    <xf numFmtId="0" fontId="1" fillId="0" borderId="0" xfId="4" applyFont="1" applyBorder="1"/>
    <xf numFmtId="0" fontId="1" fillId="0" borderId="3" xfId="4" applyFont="1" applyBorder="1"/>
    <xf numFmtId="165" fontId="1" fillId="0" borderId="0" xfId="6" applyNumberFormat="1" applyFont="1" applyBorder="1"/>
    <xf numFmtId="165" fontId="1" fillId="0" borderId="3" xfId="6" applyNumberFormat="1" applyFont="1" applyBorder="1"/>
    <xf numFmtId="165" fontId="1" fillId="0" borderId="9" xfId="6" applyNumberFormat="1" applyFont="1" applyBorder="1"/>
    <xf numFmtId="165" fontId="1" fillId="0" borderId="1" xfId="4" applyNumberFormat="1" applyFont="1" applyBorder="1"/>
    <xf numFmtId="165" fontId="1" fillId="0" borderId="7" xfId="4" applyNumberFormat="1" applyFont="1" applyBorder="1"/>
    <xf numFmtId="167" fontId="1" fillId="0" borderId="1" xfId="4" applyNumberFormat="1" applyFont="1" applyBorder="1"/>
    <xf numFmtId="167" fontId="1" fillId="0" borderId="0" xfId="4" applyNumberFormat="1" applyFont="1" applyBorder="1"/>
    <xf numFmtId="167" fontId="1" fillId="0" borderId="3" xfId="4" applyNumberFormat="1" applyFont="1" applyBorder="1"/>
    <xf numFmtId="167" fontId="1" fillId="0" borderId="7" xfId="4" applyNumberFormat="1" applyFont="1" applyBorder="1"/>
    <xf numFmtId="167" fontId="1" fillId="0" borderId="2" xfId="4" applyNumberFormat="1" applyFont="1" applyBorder="1"/>
    <xf numFmtId="167" fontId="1" fillId="0" borderId="9" xfId="4" applyNumberFormat="1" applyFont="1" applyBorder="1"/>
    <xf numFmtId="165" fontId="1" fillId="0" borderId="3" xfId="0" applyNumberFormat="1" applyFont="1" applyBorder="1"/>
    <xf numFmtId="165" fontId="1" fillId="0" borderId="9" xfId="0" applyNumberFormat="1" applyFont="1" applyBorder="1"/>
    <xf numFmtId="167" fontId="1" fillId="0" borderId="3" xfId="1" applyNumberFormat="1" applyFont="1" applyBorder="1"/>
    <xf numFmtId="167" fontId="1" fillId="0" borderId="9" xfId="1" applyNumberFormat="1" applyFont="1" applyBorder="1"/>
    <xf numFmtId="0" fontId="1" fillId="0" borderId="12" xfId="4" applyFont="1" applyBorder="1" applyAlignment="1">
      <alignment horizontal="centerContinuous"/>
    </xf>
    <xf numFmtId="0" fontId="1" fillId="0" borderId="5" xfId="4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9" fontId="1" fillId="0" borderId="1" xfId="1" applyNumberFormat="1" applyFont="1" applyBorder="1"/>
    <xf numFmtId="175" fontId="1" fillId="0" borderId="0" xfId="4" applyNumberFormat="1" applyFont="1" applyBorder="1" applyAlignment="1">
      <alignment horizontal="right"/>
    </xf>
    <xf numFmtId="169" fontId="1" fillId="0" borderId="7" xfId="1" applyNumberFormat="1" applyFont="1" applyBorder="1"/>
    <xf numFmtId="0" fontId="1" fillId="0" borderId="5" xfId="4" applyFont="1" applyBorder="1" applyAlignment="1">
      <alignment horizontal="centerContinuous"/>
    </xf>
    <xf numFmtId="0" fontId="1" fillId="0" borderId="6" xfId="4" applyFont="1" applyBorder="1" applyAlignment="1">
      <alignment horizontal="centerContinuous"/>
    </xf>
    <xf numFmtId="0" fontId="1" fillId="0" borderId="3" xfId="4" applyFont="1" applyBorder="1" applyAlignment="1">
      <alignment horizontal="center"/>
    </xf>
    <xf numFmtId="165" fontId="14" fillId="0" borderId="1" xfId="6" applyNumberFormat="1" applyFont="1" applyBorder="1" applyAlignment="1">
      <alignment horizontal="right"/>
    </xf>
    <xf numFmtId="165" fontId="14" fillId="0" borderId="7" xfId="6" applyNumberFormat="1" applyFont="1" applyBorder="1" applyAlignment="1">
      <alignment horizontal="right"/>
    </xf>
    <xf numFmtId="0" fontId="1" fillId="0" borderId="0" xfId="4" applyFont="1" applyAlignment="1">
      <alignment horizontal="center"/>
    </xf>
    <xf numFmtId="0" fontId="2" fillId="0" borderId="0" xfId="0" applyFont="1" applyFill="1" applyBorder="1" applyAlignment="1">
      <alignment horizontal="right"/>
    </xf>
    <xf numFmtId="43" fontId="6" fillId="0" borderId="0" xfId="1" quotePrefix="1" applyNumberFormat="1" applyFont="1" applyFill="1"/>
    <xf numFmtId="167" fontId="1" fillId="0" borderId="1" xfId="1" quotePrefix="1" applyNumberFormat="1" applyFont="1" applyBorder="1" applyAlignment="1">
      <alignment horizontal="right"/>
    </xf>
    <xf numFmtId="167" fontId="1" fillId="0" borderId="7" xfId="1" applyNumberFormat="1" applyFont="1" applyBorder="1"/>
    <xf numFmtId="165" fontId="4" fillId="0" borderId="3" xfId="6" quotePrefix="1" applyNumberFormat="1" applyFont="1" applyFill="1" applyBorder="1" applyAlignment="1">
      <alignment horizontal="right"/>
    </xf>
    <xf numFmtId="165" fontId="4" fillId="0" borderId="9" xfId="6" quotePrefix="1" applyNumberFormat="1" applyFont="1" applyFill="1" applyBorder="1" applyAlignment="1">
      <alignment horizontal="right"/>
    </xf>
    <xf numFmtId="9" fontId="1" fillId="0" borderId="0" xfId="6" applyFont="1" applyFill="1" applyBorder="1"/>
    <xf numFmtId="165" fontId="4" fillId="0" borderId="0" xfId="6" applyNumberFormat="1" applyFont="1" applyAlignment="1">
      <alignment horizontal="right"/>
    </xf>
    <xf numFmtId="165" fontId="4" fillId="0" borderId="0" xfId="6" quotePrefix="1" applyNumberFormat="1" applyFont="1" applyAlignment="1">
      <alignment horizontal="right"/>
    </xf>
    <xf numFmtId="167" fontId="1" fillId="0" borderId="14" xfId="1" applyNumberFormat="1" applyFont="1" applyFill="1" applyBorder="1"/>
    <xf numFmtId="167" fontId="0" fillId="0" borderId="0" xfId="0" applyNumberFormat="1" applyAlignment="1">
      <alignment horizontal="right"/>
    </xf>
    <xf numFmtId="166" fontId="0" fillId="0" borderId="0" xfId="0" applyNumberFormat="1" applyFill="1"/>
    <xf numFmtId="167" fontId="1" fillId="0" borderId="0" xfId="2" applyNumberFormat="1" applyFont="1" applyBorder="1" applyAlignment="1">
      <alignment horizontal="center"/>
    </xf>
    <xf numFmtId="167" fontId="1" fillId="0" borderId="0" xfId="2" applyNumberFormat="1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left"/>
    </xf>
    <xf numFmtId="165" fontId="0" fillId="0" borderId="0" xfId="0" applyNumberFormat="1" applyBorder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 applyBorder="1"/>
    <xf numFmtId="166" fontId="4" fillId="0" borderId="14" xfId="1" applyNumberFormat="1" applyFont="1" applyFill="1" applyBorder="1" applyAlignment="1">
      <alignment horizontal="center"/>
    </xf>
    <xf numFmtId="167" fontId="25" fillId="0" borderId="0" xfId="1" applyNumberFormat="1" applyFont="1"/>
    <xf numFmtId="0" fontId="25" fillId="0" borderId="0" xfId="0" applyFont="1"/>
    <xf numFmtId="167" fontId="22" fillId="0" borderId="0" xfId="1" applyNumberFormat="1" applyFont="1" applyBorder="1"/>
    <xf numFmtId="165" fontId="22" fillId="0" borderId="0" xfId="0" applyNumberFormat="1" applyFont="1" applyBorder="1"/>
    <xf numFmtId="167" fontId="22" fillId="0" borderId="0" xfId="1" applyNumberFormat="1" applyFont="1" applyBorder="1" applyAlignment="1">
      <alignment horizontal="right"/>
    </xf>
    <xf numFmtId="165" fontId="22" fillId="0" borderId="0" xfId="0" applyNumberFormat="1" applyFont="1"/>
    <xf numFmtId="9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/>
    <xf numFmtId="9" fontId="0" fillId="0" borderId="0" xfId="0" applyNumberFormat="1"/>
    <xf numFmtId="9" fontId="3" fillId="0" borderId="0" xfId="6" applyFont="1" applyBorder="1" applyAlignment="1">
      <alignment horizontal="right"/>
    </xf>
    <xf numFmtId="9" fontId="0" fillId="0" borderId="0" xfId="6" applyFont="1" applyBorder="1" applyAlignment="1">
      <alignment horizontal="right"/>
    </xf>
    <xf numFmtId="9" fontId="0" fillId="0" borderId="0" xfId="6" applyFont="1" applyBorder="1"/>
    <xf numFmtId="9" fontId="0" fillId="0" borderId="0" xfId="6" applyFont="1"/>
    <xf numFmtId="9" fontId="3" fillId="0" borderId="0" xfId="6" applyFont="1" applyBorder="1"/>
    <xf numFmtId="9" fontId="7" fillId="0" borderId="10" xfId="6" applyFont="1" applyFill="1" applyBorder="1" applyAlignment="1">
      <alignment horizontal="centerContinuous"/>
    </xf>
    <xf numFmtId="167" fontId="1" fillId="0" borderId="0" xfId="0" applyNumberFormat="1" applyFont="1" applyFill="1"/>
    <xf numFmtId="171" fontId="4" fillId="0" borderId="0" xfId="0" applyNumberFormat="1" applyFont="1"/>
    <xf numFmtId="167" fontId="4" fillId="0" borderId="0" xfId="1" applyNumberFormat="1" applyFont="1" applyFill="1" applyBorder="1" applyAlignment="1">
      <alignment horizontal="centerContinuous"/>
    </xf>
    <xf numFmtId="9" fontId="3" fillId="0" borderId="1" xfId="6" applyFont="1" applyFill="1" applyBorder="1"/>
    <xf numFmtId="9" fontId="3" fillId="0" borderId="3" xfId="6" applyFont="1" applyFill="1" applyBorder="1"/>
    <xf numFmtId="9" fontId="1" fillId="0" borderId="1" xfId="6" applyFont="1" applyFill="1" applyBorder="1"/>
    <xf numFmtId="9" fontId="1" fillId="0" borderId="3" xfId="6" applyFont="1" applyFill="1" applyBorder="1"/>
    <xf numFmtId="9" fontId="3" fillId="0" borderId="1" xfId="6" applyFont="1" applyFill="1" applyBorder="1" applyAlignment="1">
      <alignment horizontal="right"/>
    </xf>
    <xf numFmtId="9" fontId="3" fillId="0" borderId="3" xfId="6" applyFont="1" applyFill="1" applyBorder="1" applyAlignment="1">
      <alignment horizontal="right"/>
    </xf>
    <xf numFmtId="174" fontId="4" fillId="0" borderId="0" xfId="3" applyNumberFormat="1" applyFont="1" applyFill="1" applyBorder="1"/>
    <xf numFmtId="171" fontId="1" fillId="0" borderId="0" xfId="0" applyNumberFormat="1" applyFont="1"/>
    <xf numFmtId="171" fontId="4" fillId="0" borderId="0" xfId="0" applyNumberFormat="1" applyFont="1" applyBorder="1" applyAlignment="1">
      <alignment horizontal="right"/>
    </xf>
    <xf numFmtId="167" fontId="1" fillId="0" borderId="0" xfId="1" applyNumberFormat="1" applyFont="1" applyFill="1" applyBorder="1" applyAlignment="1">
      <alignment horizontal="right"/>
    </xf>
    <xf numFmtId="171" fontId="0" fillId="0" borderId="0" xfId="0" applyNumberFormat="1" applyFill="1" applyBorder="1"/>
    <xf numFmtId="171" fontId="0" fillId="0" borderId="0" xfId="0" applyNumberFormat="1"/>
    <xf numFmtId="0" fontId="0" fillId="0" borderId="0" xfId="0" applyAlignment="1"/>
    <xf numFmtId="172" fontId="1" fillId="0" borderId="0" xfId="1" applyNumberFormat="1" applyFont="1" applyBorder="1" applyAlignment="1">
      <alignment horizontal="right"/>
    </xf>
    <xf numFmtId="0" fontId="1" fillId="0" borderId="0" xfId="4" applyFont="1" applyFill="1" applyBorder="1" applyAlignment="1">
      <alignment horizontal="center"/>
    </xf>
    <xf numFmtId="0" fontId="4" fillId="0" borderId="8" xfId="5" applyFont="1" applyFill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1" fillId="0" borderId="6" xfId="4" applyFont="1" applyFill="1" applyBorder="1" applyAlignment="1">
      <alignment horizontal="center"/>
    </xf>
    <xf numFmtId="0" fontId="1" fillId="0" borderId="0" xfId="5" applyFont="1" applyBorder="1" applyAlignment="1">
      <alignment horizontal="center"/>
    </xf>
    <xf numFmtId="9" fontId="4" fillId="0" borderId="0" xfId="6" applyNumberFormat="1" applyFont="1" applyBorder="1"/>
    <xf numFmtId="167" fontId="1" fillId="0" borderId="3" xfId="1" applyNumberFormat="1" applyFont="1" applyFill="1" applyBorder="1"/>
    <xf numFmtId="167" fontId="4" fillId="0" borderId="2" xfId="1" applyNumberFormat="1" applyFont="1" applyFill="1" applyBorder="1"/>
    <xf numFmtId="167" fontId="1" fillId="0" borderId="9" xfId="1" applyNumberFormat="1" applyFont="1" applyFill="1" applyBorder="1"/>
    <xf numFmtId="167" fontId="4" fillId="0" borderId="0" xfId="0" applyNumberFormat="1" applyFont="1" applyFill="1"/>
    <xf numFmtId="171" fontId="1" fillId="0" borderId="0" xfId="4" applyNumberFormat="1" applyFont="1"/>
    <xf numFmtId="171" fontId="4" fillId="0" borderId="0" xfId="0" applyNumberFormat="1" applyFont="1" applyFill="1" applyAlignment="1">
      <alignment horizontal="center"/>
    </xf>
    <xf numFmtId="171" fontId="1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1" fillId="0" borderId="0" xfId="4" applyFont="1" applyFill="1"/>
    <xf numFmtId="171" fontId="1" fillId="0" borderId="0" xfId="0" applyNumberFormat="1" applyFont="1" applyFill="1"/>
    <xf numFmtId="0" fontId="8" fillId="0" borderId="0" xfId="0" applyFont="1" applyAlignment="1" applyProtection="1">
      <alignment horizontal="center"/>
      <protection locked="0"/>
    </xf>
    <xf numFmtId="165" fontId="8" fillId="0" borderId="0" xfId="6" applyNumberFormat="1" applyFont="1" applyAlignment="1" applyProtection="1">
      <alignment horizontal="right"/>
      <protection locked="0"/>
    </xf>
    <xf numFmtId="167" fontId="23" fillId="0" borderId="0" xfId="1" applyNumberFormat="1" applyFont="1" applyProtection="1">
      <protection locked="0"/>
    </xf>
    <xf numFmtId="167" fontId="3" fillId="0" borderId="0" xfId="1" applyNumberFormat="1" applyFont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167" fontId="19" fillId="0" borderId="0" xfId="1" applyNumberFormat="1" applyFont="1" applyFill="1" applyBorder="1" applyProtection="1">
      <protection locked="0"/>
    </xf>
    <xf numFmtId="168" fontId="19" fillId="0" borderId="0" xfId="0" applyNumberFormat="1" applyFont="1" applyFill="1" applyBorder="1" applyProtection="1">
      <protection locked="0"/>
    </xf>
    <xf numFmtId="9" fontId="19" fillId="0" borderId="0" xfId="6" applyFont="1" applyFill="1" applyBorder="1" applyProtection="1">
      <protection locked="0"/>
    </xf>
    <xf numFmtId="9" fontId="3" fillId="0" borderId="1" xfId="6" applyFont="1" applyFill="1" applyBorder="1" applyProtection="1">
      <protection locked="0"/>
    </xf>
    <xf numFmtId="9" fontId="3" fillId="0" borderId="3" xfId="6" applyFont="1" applyFill="1" applyBorder="1" applyProtection="1">
      <protection locked="0"/>
    </xf>
    <xf numFmtId="9" fontId="3" fillId="0" borderId="1" xfId="6" applyFont="1" applyFill="1" applyBorder="1" applyAlignment="1" applyProtection="1">
      <alignment horizontal="right"/>
      <protection locked="0"/>
    </xf>
    <xf numFmtId="9" fontId="3" fillId="0" borderId="3" xfId="6" applyFont="1" applyFill="1" applyBorder="1" applyAlignment="1" applyProtection="1">
      <alignment horizontal="right"/>
      <protection locked="0"/>
    </xf>
    <xf numFmtId="165" fontId="19" fillId="0" borderId="0" xfId="6" applyNumberFormat="1" applyFont="1" applyFill="1" applyBorder="1" applyProtection="1">
      <protection locked="0"/>
    </xf>
    <xf numFmtId="167" fontId="19" fillId="0" borderId="0" xfId="0" applyNumberFormat="1" applyFont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9" fontId="3" fillId="0" borderId="7" xfId="6" applyFont="1" applyFill="1" applyBorder="1" applyProtection="1">
      <protection locked="0"/>
    </xf>
    <xf numFmtId="9" fontId="3" fillId="0" borderId="9" xfId="6" applyFont="1" applyFill="1" applyBorder="1" applyProtection="1">
      <protection locked="0"/>
    </xf>
    <xf numFmtId="43" fontId="3" fillId="0" borderId="0" xfId="1" applyNumberFormat="1" applyFont="1" applyFill="1" applyBorder="1" applyProtection="1">
      <protection locked="0"/>
    </xf>
    <xf numFmtId="43" fontId="3" fillId="0" borderId="0" xfId="1" applyFont="1" applyFill="1" applyBorder="1" applyProtection="1">
      <protection locked="0"/>
    </xf>
    <xf numFmtId="165" fontId="3" fillId="0" borderId="0" xfId="6" applyNumberFormat="1" applyFont="1" applyFill="1" applyBorder="1" applyProtection="1">
      <protection locked="0"/>
    </xf>
    <xf numFmtId="9" fontId="3" fillId="0" borderId="1" xfId="6" applyNumberFormat="1" applyFont="1" applyFill="1" applyBorder="1" applyProtection="1">
      <protection locked="0"/>
    </xf>
    <xf numFmtId="9" fontId="3" fillId="0" borderId="7" xfId="6" applyNumberFormat="1" applyFont="1" applyFill="1" applyBorder="1" applyProtection="1">
      <protection locked="0"/>
    </xf>
    <xf numFmtId="167" fontId="3" fillId="0" borderId="0" xfId="1" quotePrefix="1" applyNumberFormat="1" applyFont="1" applyFill="1" applyBorder="1" applyAlignment="1" applyProtection="1">
      <alignment horizontal="right"/>
      <protection locked="0"/>
    </xf>
    <xf numFmtId="9" fontId="3" fillId="0" borderId="1" xfId="7" applyNumberFormat="1" applyFont="1" applyFill="1" applyBorder="1" applyProtection="1">
      <protection locked="0"/>
    </xf>
    <xf numFmtId="9" fontId="3" fillId="0" borderId="7" xfId="7" applyNumberFormat="1" applyFont="1" applyFill="1" applyBorder="1" applyProtection="1">
      <protection locked="0"/>
    </xf>
    <xf numFmtId="167" fontId="3" fillId="0" borderId="0" xfId="1" quotePrefix="1" applyNumberFormat="1" applyFont="1" applyBorder="1" applyAlignment="1" applyProtection="1">
      <alignment horizontal="right"/>
      <protection locked="0"/>
    </xf>
    <xf numFmtId="165" fontId="22" fillId="0" borderId="4" xfId="6" applyNumberFormat="1" applyFont="1" applyFill="1" applyBorder="1" applyAlignment="1" applyProtection="1">
      <alignment horizontal="center"/>
      <protection locked="0"/>
    </xf>
    <xf numFmtId="165" fontId="3" fillId="0" borderId="0" xfId="1" quotePrefix="1" applyNumberFormat="1" applyFont="1" applyFill="1" applyBorder="1" applyAlignment="1" applyProtection="1">
      <alignment horizontal="right"/>
      <protection locked="0"/>
    </xf>
    <xf numFmtId="165" fontId="3" fillId="0" borderId="0" xfId="1" applyNumberFormat="1" applyFont="1" applyBorder="1" applyAlignment="1" applyProtection="1">
      <alignment horizontal="right"/>
      <protection locked="0"/>
    </xf>
    <xf numFmtId="10" fontId="3" fillId="0" borderId="3" xfId="1" quotePrefix="1" applyNumberFormat="1" applyFont="1" applyBorder="1" applyAlignment="1" applyProtection="1">
      <alignment horizontal="right"/>
      <protection locked="0"/>
    </xf>
    <xf numFmtId="165" fontId="3" fillId="0" borderId="0" xfId="1" quotePrefix="1" applyNumberFormat="1" applyFont="1" applyBorder="1" applyAlignment="1" applyProtection="1">
      <alignment horizontal="right"/>
      <protection locked="0"/>
    </xf>
    <xf numFmtId="10" fontId="3" fillId="0" borderId="3" xfId="1" applyNumberFormat="1" applyFont="1" applyBorder="1" applyAlignment="1" applyProtection="1">
      <alignment horizontal="right"/>
      <protection locked="0"/>
    </xf>
    <xf numFmtId="10" fontId="3" fillId="0" borderId="3" xfId="1" quotePrefix="1" applyNumberFormat="1" applyFont="1" applyFill="1" applyBorder="1" applyAlignment="1" applyProtection="1">
      <alignment horizontal="right"/>
      <protection locked="0"/>
    </xf>
    <xf numFmtId="165" fontId="3" fillId="0" borderId="2" xfId="1" quotePrefix="1" applyNumberFormat="1" applyFont="1" applyFill="1" applyBorder="1" applyAlignment="1" applyProtection="1">
      <alignment horizontal="right"/>
      <protection locked="0"/>
    </xf>
    <xf numFmtId="10" fontId="3" fillId="0" borderId="9" xfId="1" quotePrefix="1" applyNumberFormat="1" applyFont="1" applyFill="1" applyBorder="1" applyAlignment="1" applyProtection="1">
      <alignment horizontal="right"/>
      <protection locked="0"/>
    </xf>
    <xf numFmtId="165" fontId="22" fillId="0" borderId="0" xfId="1" quotePrefix="1" applyNumberFormat="1" applyFont="1" applyFill="1" applyBorder="1" applyAlignment="1" applyProtection="1">
      <alignment horizontal="right"/>
      <protection locked="0"/>
    </xf>
    <xf numFmtId="165" fontId="22" fillId="0" borderId="2" xfId="1" quotePrefix="1" applyNumberFormat="1" applyFont="1" applyFill="1" applyBorder="1" applyAlignment="1" applyProtection="1">
      <alignment horizontal="right"/>
      <protection locked="0"/>
    </xf>
    <xf numFmtId="165" fontId="1" fillId="0" borderId="0" xfId="6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/>
    </xf>
    <xf numFmtId="165" fontId="1" fillId="0" borderId="0" xfId="6" applyNumberFormat="1" applyFont="1" applyFill="1" applyBorder="1" applyProtection="1">
      <protection locked="0"/>
    </xf>
    <xf numFmtId="9" fontId="6" fillId="0" borderId="0" xfId="6" applyFont="1" applyFill="1" applyAlignment="1">
      <alignment horizontal="left"/>
    </xf>
    <xf numFmtId="9" fontId="6" fillId="0" borderId="0" xfId="6" applyFont="1" applyFill="1" applyAlignment="1" applyProtection="1">
      <alignment horizontal="left"/>
      <protection locked="0"/>
    </xf>
    <xf numFmtId="0" fontId="8" fillId="0" borderId="0" xfId="0" applyFont="1" applyBorder="1" applyAlignment="1">
      <alignment horizontal="centerContinuous"/>
    </xf>
    <xf numFmtId="0" fontId="8" fillId="0" borderId="0" xfId="6" applyNumberFormat="1" applyFont="1" applyAlignment="1" applyProtection="1">
      <alignment horizontal="right"/>
      <protection locked="0"/>
    </xf>
    <xf numFmtId="0" fontId="6" fillId="0" borderId="0" xfId="0" applyFont="1"/>
    <xf numFmtId="166" fontId="4" fillId="0" borderId="0" xfId="1" applyNumberFormat="1" applyFont="1" applyBorder="1"/>
    <xf numFmtId="166" fontId="4" fillId="0" borderId="0" xfId="6" applyNumberFormat="1" applyFont="1" applyBorder="1"/>
    <xf numFmtId="166" fontId="4" fillId="0" borderId="0" xfId="0" applyNumberFormat="1" applyFont="1" applyBorder="1"/>
    <xf numFmtId="171" fontId="1" fillId="0" borderId="0" xfId="4" applyNumberFormat="1" applyFont="1" applyFill="1"/>
    <xf numFmtId="176" fontId="4" fillId="0" borderId="0" xfId="3" applyNumberFormat="1" applyFont="1" applyFill="1" applyBorder="1"/>
    <xf numFmtId="0" fontId="0" fillId="0" borderId="0" xfId="0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" fillId="0" borderId="0" xfId="4" applyFont="1" applyFill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165" fontId="4" fillId="0" borderId="8" xfId="6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4" applyFont="1" applyFill="1" applyBorder="1"/>
    <xf numFmtId="166" fontId="4" fillId="0" borderId="2" xfId="1" applyNumberFormat="1" applyFont="1" applyFill="1" applyBorder="1"/>
    <xf numFmtId="176" fontId="4" fillId="0" borderId="0" xfId="0" applyNumberFormat="1" applyFont="1" applyFill="1" applyBorder="1"/>
    <xf numFmtId="176" fontId="1" fillId="0" borderId="0" xfId="0" applyNumberFormat="1" applyFont="1" applyFill="1" applyBorder="1"/>
    <xf numFmtId="176" fontId="4" fillId="0" borderId="0" xfId="1" applyNumberFormat="1" applyFont="1" applyFill="1" applyBorder="1"/>
    <xf numFmtId="165" fontId="4" fillId="0" borderId="0" xfId="6" applyNumberFormat="1" applyFont="1" applyFill="1" applyBorder="1"/>
    <xf numFmtId="176" fontId="4" fillId="0" borderId="0" xfId="6" applyNumberFormat="1" applyFont="1" applyFill="1" applyBorder="1"/>
    <xf numFmtId="176" fontId="4" fillId="0" borderId="0" xfId="3" applyNumberFormat="1" applyFont="1" applyFill="1" applyBorder="1" applyAlignment="1">
      <alignment horizontal="centerContinuous"/>
    </xf>
    <xf numFmtId="167" fontId="4" fillId="0" borderId="0" xfId="0" applyNumberFormat="1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centerContinuous"/>
    </xf>
    <xf numFmtId="176" fontId="1" fillId="0" borderId="8" xfId="4" applyNumberFormat="1" applyFont="1" applyFill="1" applyBorder="1" applyAlignment="1">
      <alignment horizontal="centerContinuous"/>
    </xf>
    <xf numFmtId="176" fontId="4" fillId="0" borderId="0" xfId="6" applyNumberFormat="1" applyFont="1" applyFill="1" applyBorder="1" applyAlignment="1">
      <alignment horizontal="center"/>
    </xf>
    <xf numFmtId="176" fontId="1" fillId="0" borderId="0" xfId="4" applyNumberFormat="1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165" fontId="1" fillId="0" borderId="0" xfId="6" applyNumberFormat="1" applyFont="1" applyFill="1" applyBorder="1"/>
    <xf numFmtId="176" fontId="1" fillId="0" borderId="0" xfId="6" applyNumberFormat="1" applyFont="1" applyFill="1" applyBorder="1"/>
    <xf numFmtId="176" fontId="1" fillId="0" borderId="0" xfId="3" applyNumberFormat="1" applyFont="1" applyFill="1" applyBorder="1"/>
    <xf numFmtId="0" fontId="1" fillId="0" borderId="10" xfId="0" applyFont="1" applyFill="1" applyBorder="1" applyAlignment="1">
      <alignment horizontal="right"/>
    </xf>
    <xf numFmtId="176" fontId="4" fillId="0" borderId="11" xfId="3" applyNumberFormat="1" applyFont="1" applyFill="1" applyBorder="1"/>
    <xf numFmtId="43" fontId="4" fillId="0" borderId="0" xfId="0" applyNumberFormat="1" applyFont="1" applyFill="1" applyBorder="1"/>
    <xf numFmtId="0" fontId="4" fillId="0" borderId="2" xfId="0" applyFont="1" applyFill="1" applyBorder="1"/>
    <xf numFmtId="167" fontId="1" fillId="0" borderId="2" xfId="1" applyNumberFormat="1" applyFont="1" applyFill="1" applyBorder="1"/>
    <xf numFmtId="0" fontId="2" fillId="0" borderId="0" xfId="4" applyFont="1" applyFill="1" applyAlignment="1">
      <alignment horizontal="centerContinuous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>
      <alignment horizontal="right"/>
    </xf>
    <xf numFmtId="10" fontId="1" fillId="0" borderId="0" xfId="6" applyNumberFormat="1" applyFont="1" applyFill="1"/>
    <xf numFmtId="0" fontId="2" fillId="0" borderId="0" xfId="4" applyFont="1" applyFill="1" applyAlignment="1">
      <alignment horizontal="right"/>
    </xf>
    <xf numFmtId="165" fontId="1" fillId="0" borderId="0" xfId="6" applyNumberFormat="1" applyFont="1" applyProtection="1">
      <protection locked="0"/>
    </xf>
    <xf numFmtId="44" fontId="4" fillId="0" borderId="0" xfId="3" applyNumberFormat="1" applyFont="1" applyFill="1" applyBorder="1"/>
    <xf numFmtId="0" fontId="23" fillId="0" borderId="0" xfId="0" applyFont="1" applyAlignment="1">
      <alignment horizontal="center"/>
    </xf>
    <xf numFmtId="0" fontId="1" fillId="0" borderId="5" xfId="0" applyFont="1" applyBorder="1" applyAlignment="1">
      <alignment horizontal="centerContinuous"/>
    </xf>
    <xf numFmtId="0" fontId="26" fillId="0" borderId="0" xfId="0" applyFont="1" applyAlignment="1">
      <alignment horizontal="centerContinuous"/>
    </xf>
    <xf numFmtId="0" fontId="7" fillId="0" borderId="0" xfId="0" applyFont="1" applyFill="1" applyAlignment="1">
      <alignment horizontal="center"/>
    </xf>
    <xf numFmtId="174" fontId="22" fillId="2" borderId="0" xfId="3" applyNumberFormat="1" applyFont="1" applyFill="1" applyBorder="1" applyAlignment="1" applyProtection="1">
      <alignment horizontal="center"/>
      <protection locked="0"/>
    </xf>
    <xf numFmtId="167" fontId="22" fillId="2" borderId="0" xfId="1" applyNumberFormat="1" applyFont="1" applyFill="1" applyBorder="1" applyAlignment="1" applyProtection="1">
      <alignment horizontal="center"/>
      <protection locked="0"/>
    </xf>
    <xf numFmtId="167" fontId="22" fillId="2" borderId="2" xfId="1" applyNumberFormat="1" applyFont="1" applyFill="1" applyBorder="1" applyProtection="1">
      <protection locked="0"/>
    </xf>
    <xf numFmtId="168" fontId="22" fillId="2" borderId="0" xfId="0" applyNumberFormat="1" applyFont="1" applyFill="1" applyBorder="1" applyAlignment="1" applyProtection="1">
      <alignment horizontal="center"/>
      <protection locked="0"/>
    </xf>
    <xf numFmtId="167" fontId="22" fillId="2" borderId="0" xfId="1" applyNumberFormat="1" applyFont="1" applyFill="1" applyBorder="1" applyProtection="1">
      <protection locked="0"/>
    </xf>
    <xf numFmtId="174" fontId="22" fillId="2" borderId="0" xfId="3" applyNumberFormat="1" applyFont="1" applyFill="1" applyBorder="1" applyProtection="1">
      <protection locked="0"/>
    </xf>
    <xf numFmtId="165" fontId="22" fillId="2" borderId="0" xfId="6" applyNumberFormat="1" applyFont="1" applyFill="1" applyProtection="1">
      <protection locked="0"/>
    </xf>
    <xf numFmtId="166" fontId="22" fillId="2" borderId="0" xfId="1" applyNumberFormat="1" applyFont="1" applyFill="1" applyProtection="1">
      <protection locked="0"/>
    </xf>
    <xf numFmtId="0" fontId="3" fillId="2" borderId="0" xfId="0" applyFont="1" applyFill="1" applyBorder="1" applyProtection="1">
      <protection locked="0"/>
    </xf>
    <xf numFmtId="167" fontId="3" fillId="2" borderId="0" xfId="1" applyNumberFormat="1" applyFont="1" applyFill="1" applyBorder="1" applyProtection="1">
      <protection locked="0"/>
    </xf>
    <xf numFmtId="9" fontId="3" fillId="2" borderId="3" xfId="0" applyNumberFormat="1" applyFont="1" applyFill="1" applyBorder="1" applyProtection="1">
      <protection locked="0"/>
    </xf>
    <xf numFmtId="9" fontId="3" fillId="2" borderId="9" xfId="0" applyNumberFormat="1" applyFont="1" applyFill="1" applyBorder="1" applyProtection="1">
      <protection locked="0"/>
    </xf>
    <xf numFmtId="166" fontId="3" fillId="0" borderId="0" xfId="1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/>
    <xf numFmtId="0" fontId="8" fillId="3" borderId="0" xfId="0" applyFont="1" applyFill="1" applyAlignment="1">
      <alignment horizontal="center"/>
    </xf>
    <xf numFmtId="0" fontId="1" fillId="0" borderId="0" xfId="5" applyFont="1" applyFill="1" applyBorder="1" applyAlignment="1">
      <alignment horizontal="right"/>
    </xf>
    <xf numFmtId="165" fontId="4" fillId="0" borderId="0" xfId="6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9" xfId="4" applyFont="1" applyBorder="1"/>
    <xf numFmtId="0" fontId="1" fillId="0" borderId="1" xfId="0" applyFont="1" applyFill="1" applyBorder="1" applyAlignment="1">
      <alignment horizontal="right"/>
    </xf>
    <xf numFmtId="0" fontId="4" fillId="0" borderId="7" xfId="0" applyFont="1" applyFill="1" applyBorder="1"/>
    <xf numFmtId="165" fontId="4" fillId="0" borderId="2" xfId="6" applyNumberFormat="1" applyFont="1" applyFill="1" applyBorder="1" applyAlignment="1">
      <alignment horizontal="center"/>
    </xf>
    <xf numFmtId="0" fontId="1" fillId="0" borderId="0" xfId="4" applyFont="1" applyFill="1" applyBorder="1"/>
    <xf numFmtId="0" fontId="1" fillId="0" borderId="0" xfId="4" applyFont="1" applyFill="1" applyBorder="1" applyAlignment="1">
      <alignment horizontal="centerContinuous"/>
    </xf>
    <xf numFmtId="10" fontId="1" fillId="0" borderId="0" xfId="6" applyNumberFormat="1" applyFont="1" applyFill="1" applyBorder="1"/>
    <xf numFmtId="165" fontId="4" fillId="2" borderId="0" xfId="1" quotePrefix="1" applyNumberFormat="1" applyFont="1" applyFill="1" applyBorder="1" applyAlignment="1">
      <alignment horizontal="right"/>
    </xf>
    <xf numFmtId="165" fontId="4" fillId="2" borderId="2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9" fontId="1" fillId="2" borderId="0" xfId="6" applyFont="1" applyFill="1" applyBorder="1" applyAlignment="1">
      <alignment horizontal="right"/>
    </xf>
    <xf numFmtId="176" fontId="4" fillId="0" borderId="12" xfId="3" applyNumberFormat="1" applyFont="1" applyFill="1" applyBorder="1"/>
    <xf numFmtId="174" fontId="1" fillId="0" borderId="0" xfId="3" applyNumberFormat="1" applyFont="1" applyFill="1" applyBorder="1"/>
    <xf numFmtId="172" fontId="0" fillId="0" borderId="0" xfId="1" applyNumberFormat="1" applyFont="1"/>
    <xf numFmtId="9" fontId="2" fillId="0" borderId="5" xfId="6" applyFont="1" applyFill="1" applyBorder="1" applyAlignment="1">
      <alignment horizontal="center"/>
    </xf>
    <xf numFmtId="9" fontId="2" fillId="0" borderId="6" xfId="6" applyFont="1" applyFill="1" applyBorder="1" applyAlignment="1">
      <alignment horizontal="center"/>
    </xf>
  </cellXfs>
  <cellStyles count="8">
    <cellStyle name="Comma" xfId="1" builtinId="3"/>
    <cellStyle name="Comma 2" xfId="2"/>
    <cellStyle name="Currency" xfId="3" builtinId="4"/>
    <cellStyle name="Normal" xfId="0" builtinId="0"/>
    <cellStyle name="Normal 2" xfId="4"/>
    <cellStyle name="Normal_sheet" xfId="5"/>
    <cellStyle name="Percent" xfId="6" builtinId="5"/>
    <cellStyle name="Percent 2" xfId="7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364897569621979"/>
          <c:y val="0.1654967907772614"/>
          <c:w val="0.53565292974741119"/>
          <c:h val="0.62334920524315784"/>
        </c:manualLayout>
      </c:layout>
      <c:scatterChart>
        <c:scatterStyle val="smoothMarker"/>
        <c:ser>
          <c:idx val="0"/>
          <c:order val="0"/>
          <c:tx>
            <c:v>Hospital Case Distribution</c:v>
          </c:tx>
          <c:yVal>
            <c:numRef>
              <c:f>'Case Distribution'!$B$12:$M$12</c:f>
              <c:numCache>
                <c:formatCode>0.0%</c:formatCode>
                <c:ptCount val="12"/>
                <c:pt idx="0">
                  <c:v>1.8999999999999906E-2</c:v>
                </c:pt>
                <c:pt idx="1">
                  <c:v>3.6999999999999998E-2</c:v>
                </c:pt>
                <c:pt idx="2">
                  <c:v>6.5000000000000002E-2</c:v>
                </c:pt>
                <c:pt idx="3">
                  <c:v>9.9000000000000005E-2</c:v>
                </c:pt>
                <c:pt idx="4">
                  <c:v>0.13</c:v>
                </c:pt>
                <c:pt idx="5">
                  <c:v>0.15</c:v>
                </c:pt>
                <c:pt idx="6">
                  <c:v>0.15</c:v>
                </c:pt>
                <c:pt idx="7">
                  <c:v>0.13</c:v>
                </c:pt>
                <c:pt idx="8">
                  <c:v>9.9000000000000005E-2</c:v>
                </c:pt>
                <c:pt idx="9">
                  <c:v>6.5000000000000002E-2</c:v>
                </c:pt>
                <c:pt idx="10">
                  <c:v>3.6999999999999998E-2</c:v>
                </c:pt>
                <c:pt idx="11">
                  <c:v>1.9E-2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'Case Distribution'!$A$15</c:f>
              <c:strCache>
                <c:ptCount val="1"/>
                <c:pt idx="0">
                  <c:v>Outpatient Case Distribution</c:v>
                </c:pt>
              </c:strCache>
            </c:strRef>
          </c:tx>
          <c:xVal>
            <c:numRef>
              <c:f>'Case Distribution'!$B$15:$M$15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'Case Distribution'!$B$19:$M$19</c:f>
              <c:numCache>
                <c:formatCode>0.0%</c:formatCode>
                <c:ptCount val="12"/>
                <c:pt idx="0">
                  <c:v>7.3999999999999733E-2</c:v>
                </c:pt>
                <c:pt idx="1">
                  <c:v>0.25900000000000001</c:v>
                </c:pt>
                <c:pt idx="2">
                  <c:v>0.157</c:v>
                </c:pt>
                <c:pt idx="3">
                  <c:v>0.112</c:v>
                </c:pt>
                <c:pt idx="4">
                  <c:v>8.5999999999999993E-2</c:v>
                </c:pt>
                <c:pt idx="5">
                  <c:v>6.9000000000000006E-2</c:v>
                </c:pt>
                <c:pt idx="6">
                  <c:v>5.7000000000000002E-2</c:v>
                </c:pt>
                <c:pt idx="7">
                  <c:v>4.8000000000000001E-2</c:v>
                </c:pt>
                <c:pt idx="8">
                  <c:v>4.2000000000000003E-2</c:v>
                </c:pt>
                <c:pt idx="9">
                  <c:v>3.5999999999999997E-2</c:v>
                </c:pt>
                <c:pt idx="10">
                  <c:v>3.2000000000000001E-2</c:v>
                </c:pt>
                <c:pt idx="11">
                  <c:v>2.8000000000000001E-2</c:v>
                </c:pt>
              </c:numCache>
            </c:numRef>
          </c:yVal>
          <c:smooth val="1"/>
        </c:ser>
        <c:axId val="99739520"/>
        <c:axId val="99741696"/>
      </c:scatterChart>
      <c:valAx>
        <c:axId val="99739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 of Scenario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41696"/>
        <c:crosses val="autoZero"/>
        <c:crossBetween val="midCat"/>
      </c:valAx>
      <c:valAx>
        <c:axId val="99741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New Cases as Percentage of Total</a:t>
                </a:r>
              </a:p>
            </c:rich>
          </c:tx>
          <c:layout/>
        </c:title>
        <c:numFmt formatCode="0.0%" sourceLinked="1"/>
        <c:tickLblPos val="nextTo"/>
        <c:crossAx val="99739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013415763348775"/>
          <c:y val="0.53076734511959589"/>
          <c:w val="0.26105362824341916"/>
          <c:h val="0.11600901302431531"/>
        </c:manualLayout>
      </c:layout>
    </c:legend>
    <c:plotVisOnly val="1"/>
    <c:dispBlanksAs val="gap"/>
  </c:chart>
  <c:printSettings>
    <c:headerFooter/>
    <c:pageMargins b="0.75000000000000533" l="0.70000000000000062" r="0.70000000000000062" t="0.75000000000000533" header="0.30000000000000032" footer="0.3000000000000003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9</xdr:col>
      <xdr:colOff>571500</xdr:colOff>
      <xdr:row>44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5" y="104775"/>
          <a:ext cx="5934075" cy="7105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Comments: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Items in </a:t>
          </a:r>
          <a:r>
            <a:rPr lang="en-US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are inputs.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76200</xdr:rowOff>
    </xdr:from>
    <xdr:to>
      <xdr:col>12</xdr:col>
      <xdr:colOff>542925</xdr:colOff>
      <xdr:row>30</xdr:row>
      <xdr:rowOff>66675</xdr:rowOff>
    </xdr:to>
    <xdr:graphicFrame macro="">
      <xdr:nvGraphicFramePr>
        <xdr:cNvPr id="3534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L12:P30"/>
  <sheetViews>
    <sheetView tabSelected="1" workbookViewId="0">
      <selection activeCell="M5" sqref="M5"/>
    </sheetView>
  </sheetViews>
  <sheetFormatPr defaultRowHeight="12.75"/>
  <sheetData>
    <row r="12" spans="12:16">
      <c r="L12" s="528"/>
      <c r="M12" s="528"/>
      <c r="N12" s="528"/>
      <c r="O12" s="528"/>
      <c r="P12" s="528"/>
    </row>
    <row r="13" spans="12:16">
      <c r="L13" s="528"/>
      <c r="M13" s="528"/>
      <c r="N13" s="528"/>
      <c r="O13" s="528"/>
      <c r="P13" s="528"/>
    </row>
    <row r="14" spans="12:16">
      <c r="L14" s="528"/>
      <c r="M14" s="528"/>
      <c r="N14" s="528"/>
      <c r="O14" s="528"/>
      <c r="P14" s="528"/>
    </row>
    <row r="15" spans="12:16">
      <c r="L15" s="528"/>
      <c r="M15" s="528"/>
      <c r="N15" s="528"/>
      <c r="O15" s="528"/>
      <c r="P15" s="528"/>
    </row>
    <row r="16" spans="12:16">
      <c r="L16" s="528"/>
      <c r="M16" s="528"/>
      <c r="N16" s="528"/>
      <c r="O16" s="528"/>
      <c r="P16" s="528"/>
    </row>
    <row r="17" spans="12:16">
      <c r="L17" s="528"/>
      <c r="M17" s="528"/>
      <c r="N17" s="528"/>
      <c r="O17" s="528"/>
      <c r="P17" s="528"/>
    </row>
    <row r="18" spans="12:16">
      <c r="L18" s="528"/>
      <c r="M18" s="528"/>
      <c r="N18" s="528"/>
      <c r="O18" s="528"/>
      <c r="P18" s="528"/>
    </row>
    <row r="19" spans="12:16">
      <c r="L19" s="528"/>
      <c r="M19" s="528"/>
      <c r="N19" s="528"/>
      <c r="O19" s="528"/>
      <c r="P19" s="528"/>
    </row>
    <row r="20" spans="12:16">
      <c r="L20" s="528"/>
      <c r="M20" s="528"/>
      <c r="N20" s="528"/>
      <c r="O20" s="528"/>
      <c r="P20" s="528"/>
    </row>
    <row r="21" spans="12:16">
      <c r="L21" s="528"/>
      <c r="M21" s="528"/>
      <c r="N21" s="528"/>
      <c r="O21" s="528"/>
      <c r="P21" s="528"/>
    </row>
    <row r="22" spans="12:16">
      <c r="L22" s="528"/>
      <c r="M22" s="528"/>
      <c r="N22" s="528"/>
      <c r="O22" s="528"/>
      <c r="P22" s="528"/>
    </row>
    <row r="23" spans="12:16">
      <c r="L23" s="528"/>
      <c r="M23" s="528"/>
      <c r="N23" s="528"/>
      <c r="O23" s="528"/>
      <c r="P23" s="528"/>
    </row>
    <row r="24" spans="12:16">
      <c r="L24" s="528"/>
      <c r="M24" s="528"/>
      <c r="N24" s="528"/>
      <c r="O24" s="528"/>
      <c r="P24" s="528"/>
    </row>
    <row r="25" spans="12:16">
      <c r="L25" s="528"/>
      <c r="M25" s="528"/>
      <c r="N25" s="528"/>
      <c r="O25" s="528"/>
      <c r="P25" s="528"/>
    </row>
    <row r="26" spans="12:16">
      <c r="L26" s="528"/>
      <c r="M26" s="528"/>
      <c r="N26" s="528"/>
      <c r="O26" s="528"/>
      <c r="P26" s="528"/>
    </row>
    <row r="27" spans="12:16">
      <c r="L27" s="528"/>
      <c r="M27" s="528"/>
      <c r="N27" s="528"/>
      <c r="O27" s="528"/>
      <c r="P27" s="528"/>
    </row>
    <row r="28" spans="12:16">
      <c r="L28" s="528"/>
      <c r="M28" s="528"/>
      <c r="N28" s="528"/>
      <c r="O28" s="528"/>
      <c r="P28" s="528"/>
    </row>
    <row r="29" spans="12:16">
      <c r="L29" s="528"/>
      <c r="M29" s="528"/>
      <c r="N29" s="528"/>
      <c r="O29" s="528"/>
      <c r="P29" s="528"/>
    </row>
    <row r="30" spans="12:16">
      <c r="L30" s="528"/>
      <c r="M30" s="528"/>
      <c r="N30" s="528"/>
      <c r="O30" s="528"/>
      <c r="P30" s="528"/>
    </row>
  </sheetData>
  <pageMargins left="0.5" right="0.5" top="0.75" bottom="0.75" header="0.5" footer="0.35"/>
  <pageSetup orientation="portrait" r:id="rId1"/>
  <headerFooter alignWithMargins="0">
    <oddFooter>&amp;L&amp;8&amp;F  &amp;A&amp;C&amp;8Odell &amp;&amp; Associates, &amp;"Arial,Italic"a division of MBA, Inc.&amp;R&amp;8&amp;D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N52"/>
  <sheetViews>
    <sheetView zoomScaleNormal="100" workbookViewId="0">
      <selection activeCell="D4" sqref="D4"/>
    </sheetView>
  </sheetViews>
  <sheetFormatPr defaultRowHeight="12.75"/>
  <cols>
    <col min="1" max="1" width="9.140625" style="165"/>
    <col min="2" max="2" width="9.28515625" style="165" bestFit="1" customWidth="1"/>
    <col min="3" max="3" width="8.28515625" style="165" customWidth="1"/>
    <col min="4" max="4" width="9" style="165" customWidth="1"/>
    <col min="5" max="5" width="8.140625" style="165" customWidth="1"/>
    <col min="6" max="6" width="9.28515625" style="165" customWidth="1"/>
    <col min="7" max="9" width="9.7109375" style="165" customWidth="1"/>
    <col min="10" max="10" width="9.140625" style="165" customWidth="1"/>
    <col min="11" max="13" width="9.7109375" style="165" customWidth="1"/>
    <col min="14" max="14" width="1" style="165" customWidth="1"/>
    <col min="15" max="16384" width="9.140625" style="165"/>
  </cols>
  <sheetData>
    <row r="1" spans="1:14">
      <c r="A1" s="446" t="str">
        <f>scenario</f>
        <v>Severe Scenario, V\ Curve</v>
      </c>
      <c r="N1" s="164" t="s">
        <v>403</v>
      </c>
    </row>
    <row r="2" spans="1:14">
      <c r="A2" s="447"/>
      <c r="N2" s="169"/>
    </row>
    <row r="3" spans="1:14" ht="15.75">
      <c r="A3" s="52" t="s">
        <v>130</v>
      </c>
      <c r="B3" s="52"/>
      <c r="C3" s="18"/>
      <c r="D3" s="18"/>
      <c r="E3" s="18"/>
      <c r="F3" s="18"/>
      <c r="G3" s="18"/>
      <c r="H3" s="18"/>
      <c r="I3" s="18"/>
      <c r="J3" s="18"/>
      <c r="K3" s="18"/>
      <c r="L3" s="251"/>
      <c r="M3" s="251"/>
    </row>
    <row r="4" spans="1:14" ht="15">
      <c r="A4" s="128" t="s">
        <v>163</v>
      </c>
      <c r="B4" s="128"/>
      <c r="C4" s="18"/>
      <c r="D4" s="18"/>
      <c r="E4" s="18"/>
      <c r="F4" s="18"/>
      <c r="G4" s="18"/>
      <c r="H4" s="18"/>
      <c r="I4" s="18"/>
      <c r="J4" s="18"/>
      <c r="K4" s="18"/>
      <c r="L4" s="251"/>
      <c r="M4" s="251"/>
    </row>
    <row r="5" spans="1:14">
      <c r="A5" s="33"/>
      <c r="B5" s="33"/>
      <c r="C5" s="33"/>
      <c r="D5" s="33"/>
      <c r="E5" s="33"/>
      <c r="F5" s="33"/>
      <c r="G5" s="98"/>
      <c r="H5" s="98"/>
      <c r="I5" s="98"/>
      <c r="J5" s="98"/>
      <c r="K5" s="33"/>
    </row>
    <row r="6" spans="1:14">
      <c r="A6" s="37" t="s">
        <v>36</v>
      </c>
      <c r="B6" s="138" t="s">
        <v>54</v>
      </c>
      <c r="C6" s="251"/>
      <c r="D6" s="138"/>
      <c r="E6" s="138"/>
      <c r="F6" s="138" t="s">
        <v>60</v>
      </c>
      <c r="G6" s="251"/>
      <c r="H6" s="141"/>
      <c r="I6" s="141"/>
      <c r="J6" s="82" t="s">
        <v>55</v>
      </c>
      <c r="K6" s="251"/>
      <c r="L6" s="251"/>
      <c r="M6" s="82"/>
    </row>
    <row r="7" spans="1:14">
      <c r="A7" s="37" t="s">
        <v>37</v>
      </c>
      <c r="B7" s="229" t="s">
        <v>4</v>
      </c>
      <c r="C7" s="229" t="s">
        <v>35</v>
      </c>
      <c r="D7" s="229" t="s">
        <v>6</v>
      </c>
      <c r="E7" s="229" t="s">
        <v>5</v>
      </c>
      <c r="F7" s="229" t="s">
        <v>4</v>
      </c>
      <c r="G7" s="229" t="s">
        <v>35</v>
      </c>
      <c r="H7" s="229" t="s">
        <v>254</v>
      </c>
      <c r="I7" s="229" t="s">
        <v>257</v>
      </c>
      <c r="J7" s="290" t="s">
        <v>4</v>
      </c>
      <c r="K7" s="229" t="s">
        <v>35</v>
      </c>
      <c r="L7" s="229" t="s">
        <v>254</v>
      </c>
      <c r="M7" s="229" t="s">
        <v>257</v>
      </c>
      <c r="N7" s="229"/>
    </row>
    <row r="8" spans="1:14">
      <c r="A8" s="37"/>
      <c r="B8" s="401">
        <v>-1</v>
      </c>
      <c r="C8" s="402">
        <f>B8-1</f>
        <v>-2</v>
      </c>
      <c r="D8" s="402">
        <f t="shared" ref="D8:E8" si="0">C8-1</f>
        <v>-3</v>
      </c>
      <c r="E8" s="402">
        <f t="shared" si="0"/>
        <v>-4</v>
      </c>
      <c r="F8" s="401">
        <f>E8-1</f>
        <v>-5</v>
      </c>
      <c r="G8" s="402">
        <f>F8-1</f>
        <v>-6</v>
      </c>
      <c r="H8" s="402">
        <f t="shared" ref="H8:I8" si="1">G8-1</f>
        <v>-7</v>
      </c>
      <c r="I8" s="402">
        <f t="shared" si="1"/>
        <v>-8</v>
      </c>
      <c r="J8" s="401">
        <f>I8-1</f>
        <v>-9</v>
      </c>
      <c r="K8" s="402">
        <f>J8-1</f>
        <v>-10</v>
      </c>
      <c r="L8" s="402">
        <f t="shared" ref="L8:M8" si="2">K8-1</f>
        <v>-11</v>
      </c>
      <c r="M8" s="402">
        <f t="shared" si="2"/>
        <v>-12</v>
      </c>
      <c r="N8" s="229"/>
    </row>
    <row r="9" spans="1:14" ht="5.0999999999999996" customHeight="1">
      <c r="A9" s="37"/>
      <c r="B9" s="37"/>
      <c r="C9" s="229"/>
      <c r="D9" s="229"/>
      <c r="E9" s="229"/>
      <c r="F9" s="229"/>
      <c r="G9" s="229"/>
      <c r="H9" s="229"/>
      <c r="I9" s="229"/>
      <c r="J9" s="143"/>
      <c r="K9" s="229"/>
      <c r="L9" s="229"/>
      <c r="M9" s="229"/>
      <c r="N9" s="229"/>
    </row>
    <row r="10" spans="1:14">
      <c r="A10" s="41" t="str">
        <f>+'Total Costs'!A9</f>
        <v>0 - 4</v>
      </c>
      <c r="B10" s="157">
        <f t="shared" ref="B10:B27" si="3">IF(Severity="Seasonal",C10,IF(Severity="Moderate",D10,IF(Severity="Severe",E10,"N/A")))</f>
        <v>180</v>
      </c>
      <c r="C10" s="504">
        <v>180</v>
      </c>
      <c r="D10" s="202">
        <f t="shared" ref="D10:E27" si="4">+C10</f>
        <v>180</v>
      </c>
      <c r="E10" s="202">
        <f t="shared" si="4"/>
        <v>180</v>
      </c>
      <c r="F10" s="157">
        <f t="shared" ref="F10:F27" si="5">IF(Severity="Seasonal",G10,IF(Severity="Moderate",H10,IF(Severity="Severe",I10,"N/A")))</f>
        <v>9900</v>
      </c>
      <c r="G10" s="505">
        <v>11000</v>
      </c>
      <c r="H10" s="282">
        <f>G10*(1-(1-'Provider Scenario'!$H$35)*'Provider Scenario'!$F$38)</f>
        <v>11000</v>
      </c>
      <c r="I10" s="282">
        <f>G10*(1-(1-'Provider Scenario'!$I$35)*'Provider Scenario'!$G$38)</f>
        <v>9900</v>
      </c>
      <c r="J10" s="157">
        <f t="shared" ref="J10:J27" si="6">IF(Severity="Seasonal",K10,IF(Severity="Moderate",L10,IF(Severity="Severe",M10,"N/A")))</f>
        <v>31500</v>
      </c>
      <c r="K10" s="505">
        <v>35000</v>
      </c>
      <c r="L10" s="282">
        <f>K10*(1-(1-'Provider Scenario'!$H$35)*'Provider Scenario'!$F$38)</f>
        <v>35000</v>
      </c>
      <c r="M10" s="282">
        <f>K10*(1-(1-'Provider Scenario'!$I$35)*'Provider Scenario'!$G$38)</f>
        <v>31500</v>
      </c>
    </row>
    <row r="11" spans="1:14">
      <c r="A11" s="41" t="str">
        <f>+'Total Costs'!A10</f>
        <v>5 - 9</v>
      </c>
      <c r="B11" s="157">
        <f t="shared" si="3"/>
        <v>150</v>
      </c>
      <c r="C11" s="504">
        <v>150</v>
      </c>
      <c r="D11" s="202">
        <f t="shared" si="4"/>
        <v>150</v>
      </c>
      <c r="E11" s="202">
        <f t="shared" si="4"/>
        <v>150</v>
      </c>
      <c r="F11" s="157">
        <f t="shared" si="5"/>
        <v>13050</v>
      </c>
      <c r="G11" s="505">
        <v>14500</v>
      </c>
      <c r="H11" s="282">
        <f>G11*(1-(1-'Provider Scenario'!$H$35)*'Provider Scenario'!$F$38)</f>
        <v>14500</v>
      </c>
      <c r="I11" s="282">
        <f>G11*(1-(1-'Provider Scenario'!$I$35)*'Provider Scenario'!$G$38)</f>
        <v>13050</v>
      </c>
      <c r="J11" s="157">
        <f t="shared" si="6"/>
        <v>22500</v>
      </c>
      <c r="K11" s="505">
        <v>25000</v>
      </c>
      <c r="L11" s="282">
        <f>K11*(1-(1-'Provider Scenario'!$H$35)*'Provider Scenario'!$F$38)</f>
        <v>25000</v>
      </c>
      <c r="M11" s="282">
        <f>K11*(1-(1-'Provider Scenario'!$I$35)*'Provider Scenario'!$G$38)</f>
        <v>22500</v>
      </c>
    </row>
    <row r="12" spans="1:14">
      <c r="A12" s="41" t="str">
        <f>+'Total Costs'!A11</f>
        <v>10 - 14</v>
      </c>
      <c r="B12" s="157">
        <f t="shared" si="3"/>
        <v>150</v>
      </c>
      <c r="C12" s="504">
        <v>150</v>
      </c>
      <c r="D12" s="202">
        <f t="shared" si="4"/>
        <v>150</v>
      </c>
      <c r="E12" s="202">
        <f t="shared" si="4"/>
        <v>150</v>
      </c>
      <c r="F12" s="157">
        <f t="shared" si="5"/>
        <v>13050</v>
      </c>
      <c r="G12" s="505">
        <v>14500</v>
      </c>
      <c r="H12" s="282">
        <f>G12*(1-(1-'Provider Scenario'!$H$35)*'Provider Scenario'!$F$38)</f>
        <v>14500</v>
      </c>
      <c r="I12" s="282">
        <f>G12*(1-(1-'Provider Scenario'!$I$35)*'Provider Scenario'!$G$38)</f>
        <v>13050</v>
      </c>
      <c r="J12" s="157">
        <f t="shared" si="6"/>
        <v>22500</v>
      </c>
      <c r="K12" s="505">
        <v>25000</v>
      </c>
      <c r="L12" s="282">
        <f>K12*(1-(1-'Provider Scenario'!$H$35)*'Provider Scenario'!$F$38)</f>
        <v>25000</v>
      </c>
      <c r="M12" s="282">
        <f>K12*(1-(1-'Provider Scenario'!$I$35)*'Provider Scenario'!$G$38)</f>
        <v>22500</v>
      </c>
    </row>
    <row r="13" spans="1:14">
      <c r="A13" s="41" t="str">
        <f>+'Total Costs'!A12</f>
        <v>15 - 19</v>
      </c>
      <c r="B13" s="157">
        <f t="shared" si="3"/>
        <v>150</v>
      </c>
      <c r="C13" s="504">
        <v>150</v>
      </c>
      <c r="D13" s="202">
        <f t="shared" si="4"/>
        <v>150</v>
      </c>
      <c r="E13" s="202">
        <f t="shared" si="4"/>
        <v>150</v>
      </c>
      <c r="F13" s="157">
        <f t="shared" si="5"/>
        <v>13050</v>
      </c>
      <c r="G13" s="505">
        <v>14500</v>
      </c>
      <c r="H13" s="282">
        <f>G13*(1-(1-'Provider Scenario'!$H$35)*'Provider Scenario'!$F$38)</f>
        <v>14500</v>
      </c>
      <c r="I13" s="282">
        <f>G13*(1-(1-'Provider Scenario'!$I$35)*'Provider Scenario'!$G$38)</f>
        <v>13050</v>
      </c>
      <c r="J13" s="157">
        <f t="shared" si="6"/>
        <v>22500</v>
      </c>
      <c r="K13" s="505">
        <v>25000</v>
      </c>
      <c r="L13" s="282">
        <f>K13*(1-(1-'Provider Scenario'!$H$35)*'Provider Scenario'!$F$38)</f>
        <v>25000</v>
      </c>
      <c r="M13" s="282">
        <f>K13*(1-(1-'Provider Scenario'!$I$35)*'Provider Scenario'!$G$38)</f>
        <v>22500</v>
      </c>
    </row>
    <row r="14" spans="1:14">
      <c r="A14" s="41" t="str">
        <f>+'Total Costs'!A13</f>
        <v>20 - 24</v>
      </c>
      <c r="B14" s="157">
        <f t="shared" si="3"/>
        <v>180</v>
      </c>
      <c r="C14" s="504">
        <v>180</v>
      </c>
      <c r="D14" s="202">
        <f t="shared" si="4"/>
        <v>180</v>
      </c>
      <c r="E14" s="202">
        <f t="shared" si="4"/>
        <v>180</v>
      </c>
      <c r="F14" s="157">
        <f t="shared" si="5"/>
        <v>16650</v>
      </c>
      <c r="G14" s="505">
        <v>18500</v>
      </c>
      <c r="H14" s="282">
        <f>G14*(1-(1-'Provider Scenario'!$H$35)*'Provider Scenario'!$F$38)</f>
        <v>18500</v>
      </c>
      <c r="I14" s="282">
        <f>G14*(1-(1-'Provider Scenario'!$I$35)*'Provider Scenario'!$G$38)</f>
        <v>16650</v>
      </c>
      <c r="J14" s="157">
        <f t="shared" si="6"/>
        <v>67500</v>
      </c>
      <c r="K14" s="505">
        <v>75000</v>
      </c>
      <c r="L14" s="282">
        <f>K14*(1-(1-'Provider Scenario'!$H$35)*'Provider Scenario'!$F$38)</f>
        <v>75000</v>
      </c>
      <c r="M14" s="282">
        <f>K14*(1-(1-'Provider Scenario'!$I$35)*'Provider Scenario'!$G$38)</f>
        <v>67500</v>
      </c>
    </row>
    <row r="15" spans="1:14">
      <c r="A15" s="41" t="str">
        <f>+'Total Costs'!A14</f>
        <v>25 - 29</v>
      </c>
      <c r="B15" s="157">
        <f t="shared" si="3"/>
        <v>180</v>
      </c>
      <c r="C15" s="504">
        <v>180</v>
      </c>
      <c r="D15" s="202">
        <f t="shared" si="4"/>
        <v>180</v>
      </c>
      <c r="E15" s="202">
        <f t="shared" si="4"/>
        <v>180</v>
      </c>
      <c r="F15" s="157">
        <f t="shared" si="5"/>
        <v>16650</v>
      </c>
      <c r="G15" s="505">
        <v>18500</v>
      </c>
      <c r="H15" s="282">
        <f>G15*(1-(1-'Provider Scenario'!$H$35)*'Provider Scenario'!$F$38)</f>
        <v>18500</v>
      </c>
      <c r="I15" s="282">
        <f>G15*(1-(1-'Provider Scenario'!$I$35)*'Provider Scenario'!$G$38)</f>
        <v>16650</v>
      </c>
      <c r="J15" s="157">
        <f t="shared" si="6"/>
        <v>67500</v>
      </c>
      <c r="K15" s="505">
        <v>75000</v>
      </c>
      <c r="L15" s="282">
        <f>K15*(1-(1-'Provider Scenario'!$H$35)*'Provider Scenario'!$F$38)</f>
        <v>75000</v>
      </c>
      <c r="M15" s="282">
        <f>K15*(1-(1-'Provider Scenario'!$I$35)*'Provider Scenario'!$G$38)</f>
        <v>67500</v>
      </c>
    </row>
    <row r="16" spans="1:14">
      <c r="A16" s="41" t="str">
        <f>+'Total Costs'!A15</f>
        <v>30 - 34</v>
      </c>
      <c r="B16" s="157">
        <f t="shared" si="3"/>
        <v>180</v>
      </c>
      <c r="C16" s="504">
        <v>180</v>
      </c>
      <c r="D16" s="202">
        <f t="shared" si="4"/>
        <v>180</v>
      </c>
      <c r="E16" s="202">
        <f t="shared" si="4"/>
        <v>180</v>
      </c>
      <c r="F16" s="157">
        <f t="shared" si="5"/>
        <v>16650</v>
      </c>
      <c r="G16" s="505">
        <v>18500</v>
      </c>
      <c r="H16" s="282">
        <f>G16*(1-(1-'Provider Scenario'!$H$35)*'Provider Scenario'!$F$38)</f>
        <v>18500</v>
      </c>
      <c r="I16" s="282">
        <f>G16*(1-(1-'Provider Scenario'!$I$35)*'Provider Scenario'!$G$38)</f>
        <v>16650</v>
      </c>
      <c r="J16" s="157">
        <f t="shared" si="6"/>
        <v>67500</v>
      </c>
      <c r="K16" s="505">
        <v>75000</v>
      </c>
      <c r="L16" s="282">
        <f>K16*(1-(1-'Provider Scenario'!$H$35)*'Provider Scenario'!$F$38)</f>
        <v>75000</v>
      </c>
      <c r="M16" s="282">
        <f>K16*(1-(1-'Provider Scenario'!$I$35)*'Provider Scenario'!$G$38)</f>
        <v>67500</v>
      </c>
    </row>
    <row r="17" spans="1:14">
      <c r="A17" s="41" t="str">
        <f>+'Total Costs'!A16</f>
        <v>35 - 39</v>
      </c>
      <c r="B17" s="157">
        <f t="shared" si="3"/>
        <v>180</v>
      </c>
      <c r="C17" s="504">
        <v>180</v>
      </c>
      <c r="D17" s="202">
        <f t="shared" si="4"/>
        <v>180</v>
      </c>
      <c r="E17" s="202">
        <f t="shared" si="4"/>
        <v>180</v>
      </c>
      <c r="F17" s="157">
        <f t="shared" si="5"/>
        <v>16650</v>
      </c>
      <c r="G17" s="505">
        <v>18500</v>
      </c>
      <c r="H17" s="282">
        <f>G17*(1-(1-'Provider Scenario'!$H$35)*'Provider Scenario'!$F$38)</f>
        <v>18500</v>
      </c>
      <c r="I17" s="282">
        <f>G17*(1-(1-'Provider Scenario'!$I$35)*'Provider Scenario'!$G$38)</f>
        <v>16650</v>
      </c>
      <c r="J17" s="157">
        <f t="shared" si="6"/>
        <v>67500</v>
      </c>
      <c r="K17" s="505">
        <v>75000</v>
      </c>
      <c r="L17" s="282">
        <f>K17*(1-(1-'Provider Scenario'!$H$35)*'Provider Scenario'!$F$38)</f>
        <v>75000</v>
      </c>
      <c r="M17" s="282">
        <f>K17*(1-(1-'Provider Scenario'!$I$35)*'Provider Scenario'!$G$38)</f>
        <v>67500</v>
      </c>
    </row>
    <row r="18" spans="1:14">
      <c r="A18" s="41" t="str">
        <f>+'Total Costs'!A17</f>
        <v>40 - 44</v>
      </c>
      <c r="B18" s="157">
        <f t="shared" si="3"/>
        <v>180</v>
      </c>
      <c r="C18" s="504">
        <v>180</v>
      </c>
      <c r="D18" s="202">
        <f t="shared" si="4"/>
        <v>180</v>
      </c>
      <c r="E18" s="202">
        <f t="shared" si="4"/>
        <v>180</v>
      </c>
      <c r="F18" s="157">
        <f t="shared" si="5"/>
        <v>16650</v>
      </c>
      <c r="G18" s="505">
        <v>18500</v>
      </c>
      <c r="H18" s="282">
        <f>G18*(1-(1-'Provider Scenario'!$H$35)*'Provider Scenario'!$F$38)</f>
        <v>18500</v>
      </c>
      <c r="I18" s="282">
        <f>G18*(1-(1-'Provider Scenario'!$I$35)*'Provider Scenario'!$G$38)</f>
        <v>16650</v>
      </c>
      <c r="J18" s="157">
        <f t="shared" si="6"/>
        <v>67500</v>
      </c>
      <c r="K18" s="505">
        <v>75000</v>
      </c>
      <c r="L18" s="282">
        <f>K18*(1-(1-'Provider Scenario'!$H$35)*'Provider Scenario'!$F$38)</f>
        <v>75000</v>
      </c>
      <c r="M18" s="282">
        <f>K18*(1-(1-'Provider Scenario'!$I$35)*'Provider Scenario'!$G$38)</f>
        <v>67500</v>
      </c>
    </row>
    <row r="19" spans="1:14">
      <c r="A19" s="41" t="str">
        <f>+'Total Costs'!A18</f>
        <v>45 - 49</v>
      </c>
      <c r="B19" s="157">
        <f t="shared" si="3"/>
        <v>180</v>
      </c>
      <c r="C19" s="504">
        <v>180</v>
      </c>
      <c r="D19" s="202">
        <f t="shared" si="4"/>
        <v>180</v>
      </c>
      <c r="E19" s="202">
        <f t="shared" si="4"/>
        <v>180</v>
      </c>
      <c r="F19" s="157">
        <f t="shared" si="5"/>
        <v>16650</v>
      </c>
      <c r="G19" s="505">
        <v>18500</v>
      </c>
      <c r="H19" s="282">
        <f>G19*(1-(1-'Provider Scenario'!$H$35)*'Provider Scenario'!$F$38)</f>
        <v>18500</v>
      </c>
      <c r="I19" s="282">
        <f>G19*(1-(1-'Provider Scenario'!$I$35)*'Provider Scenario'!$G$38)</f>
        <v>16650</v>
      </c>
      <c r="J19" s="157">
        <f t="shared" si="6"/>
        <v>81000</v>
      </c>
      <c r="K19" s="505">
        <v>90000</v>
      </c>
      <c r="L19" s="282">
        <f>K19*(1-(1-'Provider Scenario'!$H$35)*'Provider Scenario'!$F$38)</f>
        <v>90000</v>
      </c>
      <c r="M19" s="282">
        <f>K19*(1-(1-'Provider Scenario'!$I$35)*'Provider Scenario'!$G$38)</f>
        <v>81000</v>
      </c>
    </row>
    <row r="20" spans="1:14">
      <c r="A20" s="41" t="str">
        <f>+'Total Costs'!A19</f>
        <v>50 - 54</v>
      </c>
      <c r="B20" s="157">
        <f t="shared" si="3"/>
        <v>250</v>
      </c>
      <c r="C20" s="504">
        <v>250</v>
      </c>
      <c r="D20" s="202">
        <f t="shared" si="4"/>
        <v>250</v>
      </c>
      <c r="E20" s="202">
        <f t="shared" si="4"/>
        <v>250</v>
      </c>
      <c r="F20" s="157">
        <f t="shared" si="5"/>
        <v>20250</v>
      </c>
      <c r="G20" s="505">
        <v>22500</v>
      </c>
      <c r="H20" s="282">
        <f>G20*(1-(1-'Provider Scenario'!$H$35)*'Provider Scenario'!$F$38)</f>
        <v>22500</v>
      </c>
      <c r="I20" s="282">
        <f>G20*(1-(1-'Provider Scenario'!$I$35)*'Provider Scenario'!$G$38)</f>
        <v>20250</v>
      </c>
      <c r="J20" s="157">
        <f t="shared" si="6"/>
        <v>108000</v>
      </c>
      <c r="K20" s="505">
        <v>120000</v>
      </c>
      <c r="L20" s="282">
        <f>K20*(1-(1-'Provider Scenario'!$H$35)*'Provider Scenario'!$F$38)</f>
        <v>120000</v>
      </c>
      <c r="M20" s="282">
        <f>K20*(1-(1-'Provider Scenario'!$I$35)*'Provider Scenario'!$G$38)</f>
        <v>108000</v>
      </c>
    </row>
    <row r="21" spans="1:14">
      <c r="A21" s="41" t="str">
        <f>+'Total Costs'!A20</f>
        <v>55 - 59</v>
      </c>
      <c r="B21" s="157">
        <f t="shared" si="3"/>
        <v>250</v>
      </c>
      <c r="C21" s="504">
        <v>250</v>
      </c>
      <c r="D21" s="202">
        <f t="shared" si="4"/>
        <v>250</v>
      </c>
      <c r="E21" s="202">
        <f t="shared" si="4"/>
        <v>250</v>
      </c>
      <c r="F21" s="157">
        <f t="shared" si="5"/>
        <v>20250</v>
      </c>
      <c r="G21" s="505">
        <v>22500</v>
      </c>
      <c r="H21" s="282">
        <f>G21*(1-(1-'Provider Scenario'!$H$35)*'Provider Scenario'!$F$38)</f>
        <v>22500</v>
      </c>
      <c r="I21" s="282">
        <f>G21*(1-(1-'Provider Scenario'!$I$35)*'Provider Scenario'!$G$38)</f>
        <v>20250</v>
      </c>
      <c r="J21" s="157">
        <f t="shared" si="6"/>
        <v>108000</v>
      </c>
      <c r="K21" s="505">
        <v>120000</v>
      </c>
      <c r="L21" s="282">
        <f>K21*(1-(1-'Provider Scenario'!$H$35)*'Provider Scenario'!$F$38)</f>
        <v>120000</v>
      </c>
      <c r="M21" s="282">
        <f>K21*(1-(1-'Provider Scenario'!$I$35)*'Provider Scenario'!$G$38)</f>
        <v>108000</v>
      </c>
    </row>
    <row r="22" spans="1:14">
      <c r="A22" s="41" t="str">
        <f>+'Total Costs'!A21</f>
        <v>60 - 64</v>
      </c>
      <c r="B22" s="157">
        <f t="shared" si="3"/>
        <v>250</v>
      </c>
      <c r="C22" s="504">
        <v>250</v>
      </c>
      <c r="D22" s="202">
        <f t="shared" si="4"/>
        <v>250</v>
      </c>
      <c r="E22" s="202">
        <f t="shared" si="4"/>
        <v>250</v>
      </c>
      <c r="F22" s="157">
        <f t="shared" si="5"/>
        <v>20250</v>
      </c>
      <c r="G22" s="505">
        <v>22500</v>
      </c>
      <c r="H22" s="282">
        <f>G22*(1-(1-'Provider Scenario'!$H$35)*'Provider Scenario'!$F$38)</f>
        <v>22500</v>
      </c>
      <c r="I22" s="282">
        <f>G22*(1-(1-'Provider Scenario'!$I$35)*'Provider Scenario'!$G$38)</f>
        <v>20250</v>
      </c>
      <c r="J22" s="157">
        <f t="shared" si="6"/>
        <v>108000</v>
      </c>
      <c r="K22" s="505">
        <v>120000</v>
      </c>
      <c r="L22" s="282">
        <f>K22*(1-(1-'Provider Scenario'!$H$35)*'Provider Scenario'!$F$38)</f>
        <v>120000</v>
      </c>
      <c r="M22" s="282">
        <f>K22*(1-(1-'Provider Scenario'!$I$35)*'Provider Scenario'!$G$38)</f>
        <v>108000</v>
      </c>
    </row>
    <row r="23" spans="1:14">
      <c r="A23" s="41" t="str">
        <f>+'Total Costs'!A22</f>
        <v>65 - 69</v>
      </c>
      <c r="B23" s="157">
        <f t="shared" si="3"/>
        <v>225</v>
      </c>
      <c r="C23" s="504">
        <v>225</v>
      </c>
      <c r="D23" s="202">
        <f t="shared" si="4"/>
        <v>225</v>
      </c>
      <c r="E23" s="202">
        <f t="shared" si="4"/>
        <v>225</v>
      </c>
      <c r="F23" s="157">
        <f t="shared" si="5"/>
        <v>11250</v>
      </c>
      <c r="G23" s="505">
        <v>12500</v>
      </c>
      <c r="H23" s="282">
        <f>G23*(1-(1-'Provider Scenario'!$H$35)*'Provider Scenario'!$F$38)</f>
        <v>12500</v>
      </c>
      <c r="I23" s="282">
        <f>G23*(1-(1-'Provider Scenario'!$I$35)*'Provider Scenario'!$G$38)</f>
        <v>11250</v>
      </c>
      <c r="J23" s="157">
        <f t="shared" si="6"/>
        <v>54000</v>
      </c>
      <c r="K23" s="505">
        <v>60000</v>
      </c>
      <c r="L23" s="282">
        <f>K23*(1-(1-'Provider Scenario'!$H$35)*'Provider Scenario'!$F$38)</f>
        <v>60000</v>
      </c>
      <c r="M23" s="282">
        <f>K23*(1-(1-'Provider Scenario'!$I$35)*'Provider Scenario'!$G$38)</f>
        <v>54000</v>
      </c>
    </row>
    <row r="24" spans="1:14">
      <c r="A24" s="41" t="str">
        <f>+'Total Costs'!A23</f>
        <v>70 - 74</v>
      </c>
      <c r="B24" s="157">
        <f t="shared" si="3"/>
        <v>225</v>
      </c>
      <c r="C24" s="504">
        <v>225</v>
      </c>
      <c r="D24" s="202">
        <f t="shared" si="4"/>
        <v>225</v>
      </c>
      <c r="E24" s="202">
        <f t="shared" si="4"/>
        <v>225</v>
      </c>
      <c r="F24" s="157">
        <f t="shared" si="5"/>
        <v>10350</v>
      </c>
      <c r="G24" s="505">
        <v>11500</v>
      </c>
      <c r="H24" s="282">
        <f>G24*(1-(1-'Provider Scenario'!$H$35)*'Provider Scenario'!$F$38)</f>
        <v>11500</v>
      </c>
      <c r="I24" s="282">
        <f>G24*(1-(1-'Provider Scenario'!$I$35)*'Provider Scenario'!$G$38)</f>
        <v>10350</v>
      </c>
      <c r="J24" s="157">
        <f t="shared" si="6"/>
        <v>31950</v>
      </c>
      <c r="K24" s="505">
        <v>35500</v>
      </c>
      <c r="L24" s="282">
        <f>K24*(1-(1-'Provider Scenario'!$H$35)*'Provider Scenario'!$F$38)</f>
        <v>35500</v>
      </c>
      <c r="M24" s="282">
        <f>K24*(1-(1-'Provider Scenario'!$I$35)*'Provider Scenario'!$G$38)</f>
        <v>31950</v>
      </c>
    </row>
    <row r="25" spans="1:14">
      <c r="A25" s="41" t="str">
        <f>+'Total Costs'!A24</f>
        <v>75 - 79</v>
      </c>
      <c r="B25" s="157">
        <f t="shared" si="3"/>
        <v>225</v>
      </c>
      <c r="C25" s="504">
        <v>225</v>
      </c>
      <c r="D25" s="202">
        <f t="shared" si="4"/>
        <v>225</v>
      </c>
      <c r="E25" s="202">
        <f t="shared" si="4"/>
        <v>225</v>
      </c>
      <c r="F25" s="157">
        <f t="shared" si="5"/>
        <v>10350</v>
      </c>
      <c r="G25" s="505">
        <v>11500</v>
      </c>
      <c r="H25" s="282">
        <f>G25*(1-(1-'Provider Scenario'!$H$35)*'Provider Scenario'!$F$38)</f>
        <v>11500</v>
      </c>
      <c r="I25" s="282">
        <f>G25*(1-(1-'Provider Scenario'!$I$35)*'Provider Scenario'!$G$38)</f>
        <v>10350</v>
      </c>
      <c r="J25" s="157">
        <f t="shared" si="6"/>
        <v>31950</v>
      </c>
      <c r="K25" s="505">
        <v>35500</v>
      </c>
      <c r="L25" s="282">
        <f>K25*(1-(1-'Provider Scenario'!$H$35)*'Provider Scenario'!$F$38)</f>
        <v>35500</v>
      </c>
      <c r="M25" s="282">
        <f>K25*(1-(1-'Provider Scenario'!$I$35)*'Provider Scenario'!$G$38)</f>
        <v>31950</v>
      </c>
    </row>
    <row r="26" spans="1:14">
      <c r="A26" s="41" t="str">
        <f>+'Total Costs'!A25</f>
        <v>80 - 84</v>
      </c>
      <c r="B26" s="157">
        <f t="shared" si="3"/>
        <v>225</v>
      </c>
      <c r="C26" s="504">
        <v>225</v>
      </c>
      <c r="D26" s="202">
        <f t="shared" si="4"/>
        <v>225</v>
      </c>
      <c r="E26" s="202">
        <f t="shared" si="4"/>
        <v>225</v>
      </c>
      <c r="F26" s="157">
        <f t="shared" si="5"/>
        <v>10350</v>
      </c>
      <c r="G26" s="505">
        <v>11500</v>
      </c>
      <c r="H26" s="282">
        <f>G26*(1-(1-'Provider Scenario'!$H$35)*'Provider Scenario'!$F$38)</f>
        <v>11500</v>
      </c>
      <c r="I26" s="282">
        <f>G26*(1-(1-'Provider Scenario'!$I$35)*'Provider Scenario'!$G$38)</f>
        <v>10350</v>
      </c>
      <c r="J26" s="157">
        <f t="shared" si="6"/>
        <v>31950</v>
      </c>
      <c r="K26" s="505">
        <v>35500</v>
      </c>
      <c r="L26" s="282">
        <f>K26*(1-(1-'Provider Scenario'!$H$35)*'Provider Scenario'!$F$38)</f>
        <v>35500</v>
      </c>
      <c r="M26" s="282">
        <f>K26*(1-(1-'Provider Scenario'!$I$35)*'Provider Scenario'!$G$38)</f>
        <v>31950</v>
      </c>
    </row>
    <row r="27" spans="1:14">
      <c r="A27" s="41" t="str">
        <f>+'Total Costs'!A26</f>
        <v>85+</v>
      </c>
      <c r="B27" s="157">
        <f t="shared" si="3"/>
        <v>225</v>
      </c>
      <c r="C27" s="504">
        <v>225</v>
      </c>
      <c r="D27" s="202">
        <f t="shared" si="4"/>
        <v>225</v>
      </c>
      <c r="E27" s="202">
        <f t="shared" si="4"/>
        <v>225</v>
      </c>
      <c r="F27" s="157">
        <f t="shared" si="5"/>
        <v>10350</v>
      </c>
      <c r="G27" s="505">
        <v>11500</v>
      </c>
      <c r="H27" s="282">
        <f>G27*(1-(1-'Provider Scenario'!$H$35)*'Provider Scenario'!$F$38)</f>
        <v>11500</v>
      </c>
      <c r="I27" s="282">
        <f>G27*(1-(1-'Provider Scenario'!$I$35)*'Provider Scenario'!$G$38)</f>
        <v>10350</v>
      </c>
      <c r="J27" s="157">
        <f t="shared" si="6"/>
        <v>31950</v>
      </c>
      <c r="K27" s="505">
        <v>35500</v>
      </c>
      <c r="L27" s="282">
        <f>K27*(1-(1-'Provider Scenario'!$H$35)*'Provider Scenario'!$F$38)</f>
        <v>35500</v>
      </c>
      <c r="M27" s="282">
        <f>K27*(1-(1-'Provider Scenario'!$I$35)*'Provider Scenario'!$G$38)</f>
        <v>31950</v>
      </c>
    </row>
    <row r="28" spans="1:14">
      <c r="A28" s="79"/>
      <c r="B28" s="79"/>
      <c r="C28" s="20"/>
      <c r="D28" s="202"/>
      <c r="E28" s="202"/>
      <c r="F28" s="20"/>
      <c r="G28" s="56"/>
      <c r="H28" s="282"/>
      <c r="I28" s="282"/>
      <c r="J28" s="56"/>
      <c r="K28" s="56"/>
      <c r="M28" s="188"/>
    </row>
    <row r="29" spans="1:14">
      <c r="A29" s="37" t="s">
        <v>36</v>
      </c>
      <c r="B29" s="172" t="s">
        <v>58</v>
      </c>
      <c r="C29" s="251"/>
      <c r="D29" s="138"/>
      <c r="E29" s="138"/>
      <c r="F29" s="172" t="s">
        <v>79</v>
      </c>
      <c r="G29" s="251"/>
      <c r="H29" s="141"/>
      <c r="I29" s="375"/>
      <c r="J29" s="82" t="s">
        <v>59</v>
      </c>
      <c r="K29" s="251"/>
      <c r="L29" s="251"/>
      <c r="M29" s="82"/>
    </row>
    <row r="30" spans="1:14">
      <c r="A30" s="37" t="s">
        <v>37</v>
      </c>
      <c r="B30" s="229" t="s">
        <v>4</v>
      </c>
      <c r="C30" s="229" t="s">
        <v>35</v>
      </c>
      <c r="D30" s="229" t="s">
        <v>6</v>
      </c>
      <c r="E30" s="229" t="s">
        <v>5</v>
      </c>
      <c r="F30" s="229" t="s">
        <v>4</v>
      </c>
      <c r="G30" s="229" t="s">
        <v>35</v>
      </c>
      <c r="H30" s="229" t="s">
        <v>254</v>
      </c>
      <c r="I30" s="229" t="s">
        <v>257</v>
      </c>
      <c r="J30" s="290" t="s">
        <v>4</v>
      </c>
      <c r="K30" s="229" t="s">
        <v>35</v>
      </c>
      <c r="L30" s="229" t="s">
        <v>254</v>
      </c>
      <c r="M30" s="229" t="s">
        <v>257</v>
      </c>
    </row>
    <row r="31" spans="1:14">
      <c r="A31" s="37"/>
      <c r="B31" s="401">
        <f>M8-1</f>
        <v>-13</v>
      </c>
      <c r="C31" s="402">
        <f>B31-1</f>
        <v>-14</v>
      </c>
      <c r="D31" s="402">
        <f t="shared" ref="D31:E31" si="7">C31-1</f>
        <v>-15</v>
      </c>
      <c r="E31" s="402">
        <f t="shared" si="7"/>
        <v>-16</v>
      </c>
      <c r="F31" s="401">
        <f>E31-1</f>
        <v>-17</v>
      </c>
      <c r="G31" s="402">
        <f>F31-1</f>
        <v>-18</v>
      </c>
      <c r="H31" s="402">
        <f t="shared" ref="H31:I31" si="8">G31-1</f>
        <v>-19</v>
      </c>
      <c r="I31" s="402">
        <f t="shared" si="8"/>
        <v>-20</v>
      </c>
      <c r="J31" s="401">
        <f>I31-1</f>
        <v>-21</v>
      </c>
      <c r="K31" s="402">
        <f>J31-1</f>
        <v>-22</v>
      </c>
      <c r="L31" s="402">
        <f t="shared" ref="L31:M31" si="9">K31-1</f>
        <v>-23</v>
      </c>
      <c r="M31" s="402">
        <f t="shared" si="9"/>
        <v>-24</v>
      </c>
    </row>
    <row r="32" spans="1:14" ht="5.0999999999999996" customHeight="1">
      <c r="A32" s="37"/>
      <c r="B32" s="37"/>
      <c r="C32" s="229"/>
      <c r="D32" s="229"/>
      <c r="E32" s="229"/>
      <c r="F32" s="229"/>
      <c r="G32" s="229"/>
      <c r="H32" s="229"/>
      <c r="I32" s="237"/>
      <c r="J32" s="143"/>
      <c r="K32" s="229"/>
      <c r="L32" s="229"/>
      <c r="M32" s="237"/>
      <c r="N32" s="229"/>
    </row>
    <row r="33" spans="1:13">
      <c r="A33" s="41" t="str">
        <f t="shared" ref="A33:A50" si="10">+A10</f>
        <v>0 - 4</v>
      </c>
      <c r="B33" s="157">
        <f t="shared" ref="B33:B50" si="11">IF(Severity="Seasonal",C33,IF(Severity="Moderate",D33,IF(Severity="Severe",E33,"N/A")))</f>
        <v>625</v>
      </c>
      <c r="C33" s="505">
        <v>625</v>
      </c>
      <c r="D33" s="202">
        <f t="shared" ref="D33:E50" si="12">+C33</f>
        <v>625</v>
      </c>
      <c r="E33" s="202">
        <f t="shared" si="12"/>
        <v>625</v>
      </c>
      <c r="F33" s="157">
        <f t="shared" ref="F33:F50" si="13">IF(Severity="Seasonal",G33,IF(Severity="Moderate",H33,IF(Severity="Severe",I33,"N/A")))</f>
        <v>69750</v>
      </c>
      <c r="G33" s="505">
        <v>77500</v>
      </c>
      <c r="H33" s="282">
        <f>G33*(1-(1-'Provider Scenario'!$H$35)*'Provider Scenario'!$F$38)</f>
        <v>77500</v>
      </c>
      <c r="I33" s="282">
        <f>G33*(1-(1-'Provider Scenario'!$I$35)*'Provider Scenario'!$G$38)</f>
        <v>69750</v>
      </c>
      <c r="J33" s="157">
        <f t="shared" ref="J33:J50" si="14">IF(Severity="Seasonal",K33,IF(Severity="Moderate",L33,IF(Severity="Severe",M33,"N/A")))</f>
        <v>225000</v>
      </c>
      <c r="K33" s="505">
        <v>250000</v>
      </c>
      <c r="L33" s="282">
        <f>K33*(1-(1-'Provider Scenario'!$H$35)*'Provider Scenario'!$F$38)</f>
        <v>250000</v>
      </c>
      <c r="M33" s="282">
        <f>K33*(1-(1-'Provider Scenario'!$I$35)*'Provider Scenario'!$G$38)</f>
        <v>225000</v>
      </c>
    </row>
    <row r="34" spans="1:13">
      <c r="A34" s="41" t="str">
        <f t="shared" si="10"/>
        <v>5 - 9</v>
      </c>
      <c r="B34" s="157">
        <f t="shared" si="11"/>
        <v>625</v>
      </c>
      <c r="C34" s="505">
        <v>625</v>
      </c>
      <c r="D34" s="202">
        <f t="shared" si="12"/>
        <v>625</v>
      </c>
      <c r="E34" s="202">
        <f t="shared" si="12"/>
        <v>625</v>
      </c>
      <c r="F34" s="157">
        <f t="shared" si="13"/>
        <v>36000</v>
      </c>
      <c r="G34" s="505">
        <v>40000</v>
      </c>
      <c r="H34" s="282">
        <f>G34*(1-(1-'Provider Scenario'!$H$35)*'Provider Scenario'!$F$38)</f>
        <v>40000</v>
      </c>
      <c r="I34" s="282">
        <f>G34*(1-(1-'Provider Scenario'!$I$35)*'Provider Scenario'!$G$38)</f>
        <v>36000</v>
      </c>
      <c r="J34" s="157">
        <f t="shared" si="14"/>
        <v>135000</v>
      </c>
      <c r="K34" s="505">
        <v>150000</v>
      </c>
      <c r="L34" s="282">
        <f>K34*(1-(1-'Provider Scenario'!$H$35)*'Provider Scenario'!$F$38)</f>
        <v>150000</v>
      </c>
      <c r="M34" s="282">
        <f>K34*(1-(1-'Provider Scenario'!$I$35)*'Provider Scenario'!$G$38)</f>
        <v>135000</v>
      </c>
    </row>
    <row r="35" spans="1:13">
      <c r="A35" s="41" t="str">
        <f t="shared" si="10"/>
        <v>10 - 14</v>
      </c>
      <c r="B35" s="157">
        <f t="shared" si="11"/>
        <v>625</v>
      </c>
      <c r="C35" s="505">
        <v>625</v>
      </c>
      <c r="D35" s="202">
        <f t="shared" si="12"/>
        <v>625</v>
      </c>
      <c r="E35" s="202">
        <f t="shared" si="12"/>
        <v>625</v>
      </c>
      <c r="F35" s="157">
        <f t="shared" si="13"/>
        <v>36000</v>
      </c>
      <c r="G35" s="505">
        <v>40000</v>
      </c>
      <c r="H35" s="282">
        <f>G35*(1-(1-'Provider Scenario'!$H$35)*'Provider Scenario'!$F$38)</f>
        <v>40000</v>
      </c>
      <c r="I35" s="282">
        <f>G35*(1-(1-'Provider Scenario'!$I$35)*'Provider Scenario'!$G$38)</f>
        <v>36000</v>
      </c>
      <c r="J35" s="157">
        <f t="shared" si="14"/>
        <v>135000</v>
      </c>
      <c r="K35" s="505">
        <v>150000</v>
      </c>
      <c r="L35" s="282">
        <f>K35*(1-(1-'Provider Scenario'!$H$35)*'Provider Scenario'!$F$38)</f>
        <v>150000</v>
      </c>
      <c r="M35" s="282">
        <f>K35*(1-(1-'Provider Scenario'!$I$35)*'Provider Scenario'!$G$38)</f>
        <v>135000</v>
      </c>
    </row>
    <row r="36" spans="1:13">
      <c r="A36" s="41" t="str">
        <f t="shared" si="10"/>
        <v>15 - 19</v>
      </c>
      <c r="B36" s="157">
        <f t="shared" si="11"/>
        <v>625</v>
      </c>
      <c r="C36" s="505">
        <v>625</v>
      </c>
      <c r="D36" s="202">
        <f t="shared" si="12"/>
        <v>625</v>
      </c>
      <c r="E36" s="202">
        <f t="shared" si="12"/>
        <v>625</v>
      </c>
      <c r="F36" s="157">
        <f t="shared" si="13"/>
        <v>36000</v>
      </c>
      <c r="G36" s="505">
        <v>40000</v>
      </c>
      <c r="H36" s="282">
        <f>G36*(1-(1-'Provider Scenario'!$H$35)*'Provider Scenario'!$F$38)</f>
        <v>40000</v>
      </c>
      <c r="I36" s="282">
        <f>G36*(1-(1-'Provider Scenario'!$I$35)*'Provider Scenario'!$G$38)</f>
        <v>36000</v>
      </c>
      <c r="J36" s="157">
        <f t="shared" si="14"/>
        <v>135000</v>
      </c>
      <c r="K36" s="505">
        <v>150000</v>
      </c>
      <c r="L36" s="282">
        <f>K36*(1-(1-'Provider Scenario'!$H$35)*'Provider Scenario'!$F$38)</f>
        <v>150000</v>
      </c>
      <c r="M36" s="282">
        <f>K36*(1-(1-'Provider Scenario'!$I$35)*'Provider Scenario'!$G$38)</f>
        <v>135000</v>
      </c>
    </row>
    <row r="37" spans="1:13">
      <c r="A37" s="41" t="str">
        <f t="shared" si="10"/>
        <v>20 - 24</v>
      </c>
      <c r="B37" s="157">
        <f t="shared" si="11"/>
        <v>800</v>
      </c>
      <c r="C37" s="505">
        <v>800</v>
      </c>
      <c r="D37" s="202">
        <f t="shared" si="12"/>
        <v>800</v>
      </c>
      <c r="E37" s="202">
        <f t="shared" si="12"/>
        <v>800</v>
      </c>
      <c r="F37" s="157">
        <f t="shared" si="13"/>
        <v>40500</v>
      </c>
      <c r="G37" s="505">
        <v>45000</v>
      </c>
      <c r="H37" s="282">
        <f>G37*(1-(1-'Provider Scenario'!$H$35)*'Provider Scenario'!$F$38)</f>
        <v>45000</v>
      </c>
      <c r="I37" s="282">
        <f>G37*(1-(1-'Provider Scenario'!$I$35)*'Provider Scenario'!$G$38)</f>
        <v>40500</v>
      </c>
      <c r="J37" s="157">
        <f t="shared" si="14"/>
        <v>67500</v>
      </c>
      <c r="K37" s="171">
        <f t="shared" ref="K37:K50" si="15">+K14</f>
        <v>75000</v>
      </c>
      <c r="L37" s="282">
        <f>K37*(1-(1-'Provider Scenario'!$H$35)*'Provider Scenario'!$F$38)</f>
        <v>75000</v>
      </c>
      <c r="M37" s="282">
        <f>K37*(1-(1-'Provider Scenario'!$I$35)*'Provider Scenario'!$G$38)</f>
        <v>67500</v>
      </c>
    </row>
    <row r="38" spans="1:13">
      <c r="A38" s="41" t="str">
        <f t="shared" si="10"/>
        <v>25 - 29</v>
      </c>
      <c r="B38" s="157">
        <f t="shared" si="11"/>
        <v>800</v>
      </c>
      <c r="C38" s="505">
        <v>800</v>
      </c>
      <c r="D38" s="202">
        <f t="shared" si="12"/>
        <v>800</v>
      </c>
      <c r="E38" s="202">
        <f t="shared" si="12"/>
        <v>800</v>
      </c>
      <c r="F38" s="157">
        <f t="shared" si="13"/>
        <v>40500</v>
      </c>
      <c r="G38" s="505">
        <v>45000</v>
      </c>
      <c r="H38" s="282">
        <f>G38*(1-(1-'Provider Scenario'!$H$35)*'Provider Scenario'!$F$38)</f>
        <v>45000</v>
      </c>
      <c r="I38" s="282">
        <f>G38*(1-(1-'Provider Scenario'!$I$35)*'Provider Scenario'!$G$38)</f>
        <v>40500</v>
      </c>
      <c r="J38" s="157">
        <f t="shared" si="14"/>
        <v>67500</v>
      </c>
      <c r="K38" s="171">
        <f t="shared" si="15"/>
        <v>75000</v>
      </c>
      <c r="L38" s="282">
        <f>K38*(1-(1-'Provider Scenario'!$H$35)*'Provider Scenario'!$F$38)</f>
        <v>75000</v>
      </c>
      <c r="M38" s="282">
        <f>K38*(1-(1-'Provider Scenario'!$I$35)*'Provider Scenario'!$G$38)</f>
        <v>67500</v>
      </c>
    </row>
    <row r="39" spans="1:13">
      <c r="A39" s="41" t="str">
        <f t="shared" si="10"/>
        <v>30 - 34</v>
      </c>
      <c r="B39" s="157">
        <f t="shared" si="11"/>
        <v>800</v>
      </c>
      <c r="C39" s="505">
        <v>800</v>
      </c>
      <c r="D39" s="202">
        <f t="shared" si="12"/>
        <v>800</v>
      </c>
      <c r="E39" s="202">
        <f t="shared" si="12"/>
        <v>800</v>
      </c>
      <c r="F39" s="157">
        <f t="shared" si="13"/>
        <v>40500</v>
      </c>
      <c r="G39" s="505">
        <v>45000</v>
      </c>
      <c r="H39" s="282">
        <f>G39*(1-(1-'Provider Scenario'!$H$35)*'Provider Scenario'!$F$38)</f>
        <v>45000</v>
      </c>
      <c r="I39" s="282">
        <f>G39*(1-(1-'Provider Scenario'!$I$35)*'Provider Scenario'!$G$38)</f>
        <v>40500</v>
      </c>
      <c r="J39" s="157">
        <f t="shared" si="14"/>
        <v>67500</v>
      </c>
      <c r="K39" s="171">
        <f t="shared" si="15"/>
        <v>75000</v>
      </c>
      <c r="L39" s="282">
        <f>K39*(1-(1-'Provider Scenario'!$H$35)*'Provider Scenario'!$F$38)</f>
        <v>75000</v>
      </c>
      <c r="M39" s="282">
        <f>K39*(1-(1-'Provider Scenario'!$I$35)*'Provider Scenario'!$G$38)</f>
        <v>67500</v>
      </c>
    </row>
    <row r="40" spans="1:13">
      <c r="A40" s="41" t="str">
        <f t="shared" si="10"/>
        <v>35 - 39</v>
      </c>
      <c r="B40" s="157">
        <f t="shared" si="11"/>
        <v>800</v>
      </c>
      <c r="C40" s="505">
        <v>800</v>
      </c>
      <c r="D40" s="202">
        <f t="shared" si="12"/>
        <v>800</v>
      </c>
      <c r="E40" s="202">
        <f t="shared" si="12"/>
        <v>800</v>
      </c>
      <c r="F40" s="157">
        <f t="shared" si="13"/>
        <v>40500</v>
      </c>
      <c r="G40" s="505">
        <v>45000</v>
      </c>
      <c r="H40" s="282">
        <f>G40*(1-(1-'Provider Scenario'!$H$35)*'Provider Scenario'!$F$38)</f>
        <v>45000</v>
      </c>
      <c r="I40" s="282">
        <f>G40*(1-(1-'Provider Scenario'!$I$35)*'Provider Scenario'!$G$38)</f>
        <v>40500</v>
      </c>
      <c r="J40" s="157">
        <f t="shared" si="14"/>
        <v>67500</v>
      </c>
      <c r="K40" s="171">
        <f t="shared" si="15"/>
        <v>75000</v>
      </c>
      <c r="L40" s="282">
        <f>K40*(1-(1-'Provider Scenario'!$H$35)*'Provider Scenario'!$F$38)</f>
        <v>75000</v>
      </c>
      <c r="M40" s="282">
        <f>K40*(1-(1-'Provider Scenario'!$I$35)*'Provider Scenario'!$G$38)</f>
        <v>67500</v>
      </c>
    </row>
    <row r="41" spans="1:13">
      <c r="A41" s="41" t="str">
        <f t="shared" si="10"/>
        <v>40 - 44</v>
      </c>
      <c r="B41" s="157">
        <f t="shared" si="11"/>
        <v>800</v>
      </c>
      <c r="C41" s="505">
        <v>800</v>
      </c>
      <c r="D41" s="202">
        <f t="shared" si="12"/>
        <v>800</v>
      </c>
      <c r="E41" s="202">
        <f t="shared" si="12"/>
        <v>800</v>
      </c>
      <c r="F41" s="157">
        <f t="shared" si="13"/>
        <v>40500</v>
      </c>
      <c r="G41" s="505">
        <v>45000</v>
      </c>
      <c r="H41" s="282">
        <f>G41*(1-(1-'Provider Scenario'!$H$35)*'Provider Scenario'!$F$38)</f>
        <v>45000</v>
      </c>
      <c r="I41" s="282">
        <f>G41*(1-(1-'Provider Scenario'!$I$35)*'Provider Scenario'!$G$38)</f>
        <v>40500</v>
      </c>
      <c r="J41" s="157">
        <f t="shared" si="14"/>
        <v>67500</v>
      </c>
      <c r="K41" s="171">
        <f t="shared" si="15"/>
        <v>75000</v>
      </c>
      <c r="L41" s="282">
        <f>K41*(1-(1-'Provider Scenario'!$H$35)*'Provider Scenario'!$F$38)</f>
        <v>75000</v>
      </c>
      <c r="M41" s="282">
        <f>K41*(1-(1-'Provider Scenario'!$I$35)*'Provider Scenario'!$G$38)</f>
        <v>67500</v>
      </c>
    </row>
    <row r="42" spans="1:13">
      <c r="A42" s="41" t="str">
        <f t="shared" si="10"/>
        <v>45 - 49</v>
      </c>
      <c r="B42" s="157">
        <f t="shared" si="11"/>
        <v>800</v>
      </c>
      <c r="C42" s="505">
        <v>800</v>
      </c>
      <c r="D42" s="202">
        <f t="shared" si="12"/>
        <v>800</v>
      </c>
      <c r="E42" s="202">
        <f t="shared" si="12"/>
        <v>800</v>
      </c>
      <c r="F42" s="157">
        <f t="shared" si="13"/>
        <v>40500</v>
      </c>
      <c r="G42" s="505">
        <v>45000</v>
      </c>
      <c r="H42" s="282">
        <f>G42*(1-(1-'Provider Scenario'!$H$35)*'Provider Scenario'!$F$38)</f>
        <v>45000</v>
      </c>
      <c r="I42" s="282">
        <f>G42*(1-(1-'Provider Scenario'!$I$35)*'Provider Scenario'!$G$38)</f>
        <v>40500</v>
      </c>
      <c r="J42" s="157">
        <f t="shared" si="14"/>
        <v>81000</v>
      </c>
      <c r="K42" s="171">
        <f t="shared" si="15"/>
        <v>90000</v>
      </c>
      <c r="L42" s="282">
        <f>K42*(1-(1-'Provider Scenario'!$H$35)*'Provider Scenario'!$F$38)</f>
        <v>90000</v>
      </c>
      <c r="M42" s="282">
        <f>K42*(1-(1-'Provider Scenario'!$I$35)*'Provider Scenario'!$G$38)</f>
        <v>81000</v>
      </c>
    </row>
    <row r="43" spans="1:13">
      <c r="A43" s="41" t="str">
        <f t="shared" si="10"/>
        <v>50 - 54</v>
      </c>
      <c r="B43" s="157">
        <f t="shared" si="11"/>
        <v>800</v>
      </c>
      <c r="C43" s="505">
        <v>800</v>
      </c>
      <c r="D43" s="202">
        <f t="shared" si="12"/>
        <v>800</v>
      </c>
      <c r="E43" s="202">
        <f t="shared" si="12"/>
        <v>800</v>
      </c>
      <c r="F43" s="157">
        <f t="shared" si="13"/>
        <v>36000</v>
      </c>
      <c r="G43" s="505">
        <v>40000</v>
      </c>
      <c r="H43" s="282">
        <f>G43*(1-(1-'Provider Scenario'!$H$35)*'Provider Scenario'!$F$38)</f>
        <v>40000</v>
      </c>
      <c r="I43" s="282">
        <f>G43*(1-(1-'Provider Scenario'!$I$35)*'Provider Scenario'!$G$38)</f>
        <v>36000</v>
      </c>
      <c r="J43" s="157">
        <f t="shared" si="14"/>
        <v>108000</v>
      </c>
      <c r="K43" s="171">
        <f t="shared" si="15"/>
        <v>120000</v>
      </c>
      <c r="L43" s="282">
        <f>K43*(1-(1-'Provider Scenario'!$H$35)*'Provider Scenario'!$F$38)</f>
        <v>120000</v>
      </c>
      <c r="M43" s="282">
        <f>K43*(1-(1-'Provider Scenario'!$I$35)*'Provider Scenario'!$G$38)</f>
        <v>108000</v>
      </c>
    </row>
    <row r="44" spans="1:13">
      <c r="A44" s="41" t="str">
        <f t="shared" si="10"/>
        <v>55 - 59</v>
      </c>
      <c r="B44" s="157">
        <f t="shared" si="11"/>
        <v>800</v>
      </c>
      <c r="C44" s="505">
        <v>800</v>
      </c>
      <c r="D44" s="202">
        <f t="shared" si="12"/>
        <v>800</v>
      </c>
      <c r="E44" s="202">
        <f t="shared" si="12"/>
        <v>800</v>
      </c>
      <c r="F44" s="157">
        <f t="shared" si="13"/>
        <v>36000</v>
      </c>
      <c r="G44" s="505">
        <v>40000</v>
      </c>
      <c r="H44" s="282">
        <f>G44*(1-(1-'Provider Scenario'!$H$35)*'Provider Scenario'!$F$38)</f>
        <v>40000</v>
      </c>
      <c r="I44" s="282">
        <f>G44*(1-(1-'Provider Scenario'!$I$35)*'Provider Scenario'!$G$38)</f>
        <v>36000</v>
      </c>
      <c r="J44" s="157">
        <f t="shared" si="14"/>
        <v>108000</v>
      </c>
      <c r="K44" s="171">
        <f t="shared" si="15"/>
        <v>120000</v>
      </c>
      <c r="L44" s="282">
        <f>K44*(1-(1-'Provider Scenario'!$H$35)*'Provider Scenario'!$F$38)</f>
        <v>120000</v>
      </c>
      <c r="M44" s="282">
        <f>K44*(1-(1-'Provider Scenario'!$I$35)*'Provider Scenario'!$G$38)</f>
        <v>108000</v>
      </c>
    </row>
    <row r="45" spans="1:13">
      <c r="A45" s="41" t="str">
        <f t="shared" si="10"/>
        <v>60 - 64</v>
      </c>
      <c r="B45" s="157">
        <f t="shared" si="11"/>
        <v>800</v>
      </c>
      <c r="C45" s="505">
        <v>800</v>
      </c>
      <c r="D45" s="202">
        <f t="shared" si="12"/>
        <v>800</v>
      </c>
      <c r="E45" s="202">
        <f t="shared" si="12"/>
        <v>800</v>
      </c>
      <c r="F45" s="157">
        <f t="shared" si="13"/>
        <v>36000</v>
      </c>
      <c r="G45" s="505">
        <v>40000</v>
      </c>
      <c r="H45" s="282">
        <f>G45*(1-(1-'Provider Scenario'!$H$35)*'Provider Scenario'!$F$38)</f>
        <v>40000</v>
      </c>
      <c r="I45" s="282">
        <f>G45*(1-(1-'Provider Scenario'!$I$35)*'Provider Scenario'!$G$38)</f>
        <v>36000</v>
      </c>
      <c r="J45" s="157">
        <f t="shared" si="14"/>
        <v>108000</v>
      </c>
      <c r="K45" s="171">
        <f t="shared" si="15"/>
        <v>120000</v>
      </c>
      <c r="L45" s="282">
        <f>K45*(1-(1-'Provider Scenario'!$H$35)*'Provider Scenario'!$F$38)</f>
        <v>120000</v>
      </c>
      <c r="M45" s="282">
        <f>K45*(1-(1-'Provider Scenario'!$I$35)*'Provider Scenario'!$G$38)</f>
        <v>108000</v>
      </c>
    </row>
    <row r="46" spans="1:13">
      <c r="A46" s="41" t="str">
        <f t="shared" si="10"/>
        <v>65 - 69</v>
      </c>
      <c r="B46" s="157">
        <f t="shared" si="11"/>
        <v>650</v>
      </c>
      <c r="C46" s="505">
        <v>650</v>
      </c>
      <c r="D46" s="202">
        <f t="shared" si="12"/>
        <v>650</v>
      </c>
      <c r="E46" s="202">
        <f t="shared" si="12"/>
        <v>650</v>
      </c>
      <c r="F46" s="157">
        <f t="shared" si="13"/>
        <v>22500</v>
      </c>
      <c r="G46" s="505">
        <v>25000</v>
      </c>
      <c r="H46" s="282">
        <f>G46*(1-(1-'Provider Scenario'!$H$35)*'Provider Scenario'!$F$38)</f>
        <v>25000</v>
      </c>
      <c r="I46" s="282">
        <f>G46*(1-(1-'Provider Scenario'!$I$35)*'Provider Scenario'!$G$38)</f>
        <v>22500</v>
      </c>
      <c r="J46" s="157">
        <f t="shared" si="14"/>
        <v>54000</v>
      </c>
      <c r="K46" s="171">
        <f t="shared" si="15"/>
        <v>60000</v>
      </c>
      <c r="L46" s="282">
        <f>K46*(1-(1-'Provider Scenario'!$H$35)*'Provider Scenario'!$F$38)</f>
        <v>60000</v>
      </c>
      <c r="M46" s="282">
        <f>K46*(1-(1-'Provider Scenario'!$I$35)*'Provider Scenario'!$G$38)</f>
        <v>54000</v>
      </c>
    </row>
    <row r="47" spans="1:13">
      <c r="A47" s="41" t="str">
        <f t="shared" si="10"/>
        <v>70 - 74</v>
      </c>
      <c r="B47" s="157">
        <f t="shared" si="11"/>
        <v>500</v>
      </c>
      <c r="C47" s="505">
        <v>500</v>
      </c>
      <c r="D47" s="202">
        <f t="shared" si="12"/>
        <v>500</v>
      </c>
      <c r="E47" s="202">
        <f t="shared" si="12"/>
        <v>500</v>
      </c>
      <c r="F47" s="157">
        <f t="shared" si="13"/>
        <v>13500</v>
      </c>
      <c r="G47" s="505">
        <v>15000</v>
      </c>
      <c r="H47" s="282">
        <f>G47*(1-(1-'Provider Scenario'!$H$35)*'Provider Scenario'!$F$38)</f>
        <v>15000</v>
      </c>
      <c r="I47" s="282">
        <f>G47*(1-(1-'Provider Scenario'!$I$35)*'Provider Scenario'!$G$38)</f>
        <v>13500</v>
      </c>
      <c r="J47" s="157">
        <f t="shared" si="14"/>
        <v>31950</v>
      </c>
      <c r="K47" s="171">
        <f t="shared" si="15"/>
        <v>35500</v>
      </c>
      <c r="L47" s="282">
        <f>K47*(1-(1-'Provider Scenario'!$H$35)*'Provider Scenario'!$F$38)</f>
        <v>35500</v>
      </c>
      <c r="M47" s="282">
        <f>K47*(1-(1-'Provider Scenario'!$I$35)*'Provider Scenario'!$G$38)</f>
        <v>31950</v>
      </c>
    </row>
    <row r="48" spans="1:13">
      <c r="A48" s="41" t="str">
        <f t="shared" si="10"/>
        <v>75 - 79</v>
      </c>
      <c r="B48" s="157">
        <f t="shared" si="11"/>
        <v>500</v>
      </c>
      <c r="C48" s="505">
        <v>500</v>
      </c>
      <c r="D48" s="202">
        <f t="shared" si="12"/>
        <v>500</v>
      </c>
      <c r="E48" s="202">
        <f t="shared" si="12"/>
        <v>500</v>
      </c>
      <c r="F48" s="157">
        <f t="shared" si="13"/>
        <v>13500</v>
      </c>
      <c r="G48" s="505">
        <v>15000</v>
      </c>
      <c r="H48" s="282">
        <f>G48*(1-(1-'Provider Scenario'!$H$35)*'Provider Scenario'!$F$38)</f>
        <v>15000</v>
      </c>
      <c r="I48" s="282">
        <f>G48*(1-(1-'Provider Scenario'!$I$35)*'Provider Scenario'!$G$38)</f>
        <v>13500</v>
      </c>
      <c r="J48" s="157">
        <f t="shared" si="14"/>
        <v>31950</v>
      </c>
      <c r="K48" s="171">
        <f t="shared" si="15"/>
        <v>35500</v>
      </c>
      <c r="L48" s="282">
        <f>K48*(1-(1-'Provider Scenario'!$H$35)*'Provider Scenario'!$F$38)</f>
        <v>35500</v>
      </c>
      <c r="M48" s="282">
        <f>K48*(1-(1-'Provider Scenario'!$I$35)*'Provider Scenario'!$G$38)</f>
        <v>31950</v>
      </c>
    </row>
    <row r="49" spans="1:13">
      <c r="A49" s="41" t="str">
        <f t="shared" si="10"/>
        <v>80 - 84</v>
      </c>
      <c r="B49" s="157">
        <f t="shared" si="11"/>
        <v>500</v>
      </c>
      <c r="C49" s="505">
        <v>500</v>
      </c>
      <c r="D49" s="202">
        <f t="shared" si="12"/>
        <v>500</v>
      </c>
      <c r="E49" s="202">
        <f t="shared" si="12"/>
        <v>500</v>
      </c>
      <c r="F49" s="157">
        <f t="shared" si="13"/>
        <v>13500</v>
      </c>
      <c r="G49" s="505">
        <v>15000</v>
      </c>
      <c r="H49" s="282">
        <f>G49*(1-(1-'Provider Scenario'!$H$35)*'Provider Scenario'!$F$38)</f>
        <v>15000</v>
      </c>
      <c r="I49" s="282">
        <f>G49*(1-(1-'Provider Scenario'!$I$35)*'Provider Scenario'!$G$38)</f>
        <v>13500</v>
      </c>
      <c r="J49" s="157">
        <f t="shared" si="14"/>
        <v>31950</v>
      </c>
      <c r="K49" s="171">
        <f t="shared" si="15"/>
        <v>35500</v>
      </c>
      <c r="L49" s="282">
        <f>K49*(1-(1-'Provider Scenario'!$H$35)*'Provider Scenario'!$F$38)</f>
        <v>35500</v>
      </c>
      <c r="M49" s="282">
        <f>K49*(1-(1-'Provider Scenario'!$I$35)*'Provider Scenario'!$G$38)</f>
        <v>31950</v>
      </c>
    </row>
    <row r="50" spans="1:13">
      <c r="A50" s="41" t="str">
        <f t="shared" si="10"/>
        <v>85+</v>
      </c>
      <c r="B50" s="157">
        <f t="shared" si="11"/>
        <v>500</v>
      </c>
      <c r="C50" s="505">
        <v>500</v>
      </c>
      <c r="D50" s="202">
        <f t="shared" si="12"/>
        <v>500</v>
      </c>
      <c r="E50" s="202">
        <f t="shared" si="12"/>
        <v>500</v>
      </c>
      <c r="F50" s="157">
        <f t="shared" si="13"/>
        <v>13500</v>
      </c>
      <c r="G50" s="505">
        <v>15000</v>
      </c>
      <c r="H50" s="282">
        <f>G50*(1-(1-'Provider Scenario'!$H$35)*'Provider Scenario'!$F$38)</f>
        <v>15000</v>
      </c>
      <c r="I50" s="282">
        <f>G50*(1-(1-'Provider Scenario'!$I$35)*'Provider Scenario'!$G$38)</f>
        <v>13500</v>
      </c>
      <c r="J50" s="157">
        <f t="shared" si="14"/>
        <v>31950</v>
      </c>
      <c r="K50" s="171">
        <f t="shared" si="15"/>
        <v>35500</v>
      </c>
      <c r="L50" s="282">
        <f>K50*(1-(1-'Provider Scenario'!$H$35)*'Provider Scenario'!$F$38)</f>
        <v>35500</v>
      </c>
      <c r="M50" s="282">
        <f>K50*(1-(1-'Provider Scenario'!$I$35)*'Provider Scenario'!$G$38)</f>
        <v>31950</v>
      </c>
    </row>
    <row r="51" spans="1:13">
      <c r="A51" s="79"/>
      <c r="B51" s="79"/>
      <c r="C51" s="20"/>
      <c r="D51" s="20"/>
      <c r="E51" s="20"/>
      <c r="F51" s="20"/>
      <c r="G51" s="56"/>
      <c r="H51" s="56"/>
      <c r="I51" s="56"/>
      <c r="J51" s="56"/>
      <c r="K51" s="56"/>
    </row>
    <row r="52" spans="1:13">
      <c r="A52" s="165" t="s">
        <v>273</v>
      </c>
    </row>
  </sheetData>
  <printOptions horizontalCentered="1"/>
  <pageMargins left="0.5" right="0.5" top="0.5" bottom="0.85" header="0.5" footer="0.35"/>
  <pageSetup scale="79" orientation="landscape" r:id="rId1"/>
  <headerFooter alignWithMargins="0">
    <oddFooter>&amp;L&amp;8&amp;F 
&amp;A&amp;C&amp;8MBA Actuaries, Inc.&amp;R&amp;8&amp;D 
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D63"/>
  <sheetViews>
    <sheetView workbookViewId="0">
      <pane xSplit="3" ySplit="8" topLeftCell="L42" activePane="bottomRight" state="frozen"/>
      <selection activeCell="D4" sqref="D4"/>
      <selection pane="topRight" activeCell="D4" sqref="D4"/>
      <selection pane="bottomLeft" activeCell="D4" sqref="D4"/>
      <selection pane="bottomRight" activeCell="V57" sqref="V57"/>
    </sheetView>
  </sheetViews>
  <sheetFormatPr defaultRowHeight="12.75"/>
  <cols>
    <col min="1" max="1" width="4.140625" customWidth="1"/>
    <col min="2" max="2" width="1.7109375" customWidth="1"/>
    <col min="3" max="3" width="28.42578125" customWidth="1"/>
    <col min="4" max="4" width="13.28515625" bestFit="1" customWidth="1"/>
    <col min="5" max="5" width="10.7109375" customWidth="1"/>
    <col min="6" max="8" width="11.7109375" customWidth="1"/>
    <col min="9" max="10" width="10.7109375" customWidth="1"/>
    <col min="11" max="18" width="10.28515625" customWidth="1"/>
    <col min="19" max="30" width="10.7109375" customWidth="1"/>
  </cols>
  <sheetData>
    <row r="1" spans="1:30">
      <c r="A1" s="446" t="str">
        <f>scenario</f>
        <v>Severe Scenario, V\ Curve</v>
      </c>
      <c r="F1" s="210"/>
      <c r="G1" s="196"/>
      <c r="J1" s="164" t="s">
        <v>402</v>
      </c>
      <c r="R1" s="164" t="s">
        <v>402</v>
      </c>
      <c r="AD1" s="222" t="s">
        <v>135</v>
      </c>
    </row>
    <row r="2" spans="1:30">
      <c r="A2" s="446"/>
      <c r="F2" s="210"/>
      <c r="G2" s="196"/>
      <c r="J2" s="222"/>
      <c r="R2" s="222"/>
      <c r="AD2" s="222"/>
    </row>
    <row r="3" spans="1:30" ht="15.75">
      <c r="D3" s="137" t="s">
        <v>130</v>
      </c>
      <c r="E3" s="13"/>
      <c r="F3" s="13"/>
      <c r="G3" s="226"/>
      <c r="H3" s="13"/>
      <c r="I3" s="388"/>
      <c r="J3" s="388"/>
      <c r="K3" s="137" t="s">
        <v>130</v>
      </c>
      <c r="L3" s="295"/>
      <c r="M3" s="13"/>
      <c r="N3" s="13"/>
      <c r="O3" s="13"/>
      <c r="P3" s="226"/>
      <c r="Q3" s="388"/>
      <c r="R3" s="388"/>
      <c r="S3" s="388"/>
      <c r="T3" s="388"/>
      <c r="U3" s="222"/>
      <c r="V3" s="137" t="s">
        <v>130</v>
      </c>
      <c r="W3" s="13"/>
      <c r="X3" s="13"/>
      <c r="Y3" s="226"/>
      <c r="Z3" s="13"/>
      <c r="AA3" s="13"/>
      <c r="AB3" s="13"/>
      <c r="AD3" s="222"/>
    </row>
    <row r="4" spans="1:30" ht="18">
      <c r="D4" s="227" t="s">
        <v>109</v>
      </c>
      <c r="E4" s="139"/>
      <c r="F4" s="13"/>
      <c r="G4" s="13"/>
      <c r="H4" s="228"/>
      <c r="I4" s="225"/>
      <c r="J4" s="225"/>
      <c r="K4" s="227" t="s">
        <v>109</v>
      </c>
      <c r="L4" s="228"/>
      <c r="M4" s="13"/>
      <c r="N4" s="139"/>
      <c r="O4" s="13"/>
      <c r="P4" s="13"/>
      <c r="Q4" s="225"/>
      <c r="R4" s="225"/>
      <c r="S4" s="225"/>
      <c r="T4" s="225"/>
      <c r="U4" s="225"/>
      <c r="V4" s="227" t="s">
        <v>109</v>
      </c>
      <c r="W4" s="139"/>
      <c r="X4" s="13"/>
      <c r="Y4" s="13"/>
      <c r="Z4" s="228"/>
      <c r="AA4" s="228"/>
      <c r="AB4" s="228"/>
      <c r="AC4" s="225"/>
      <c r="AD4" s="225"/>
    </row>
    <row r="5" spans="1:30" s="16" customFormat="1"/>
    <row r="6" spans="1:30" s="16" customFormat="1">
      <c r="E6" s="205" t="s">
        <v>111</v>
      </c>
      <c r="K6" s="205" t="s">
        <v>111</v>
      </c>
      <c r="V6" s="205" t="s">
        <v>111</v>
      </c>
    </row>
    <row r="7" spans="1:30" s="202" customFormat="1">
      <c r="C7" s="208" t="s">
        <v>110</v>
      </c>
      <c r="D7" s="206" t="s">
        <v>1</v>
      </c>
      <c r="E7" s="206">
        <v>1</v>
      </c>
      <c r="F7" s="206">
        <v>2</v>
      </c>
      <c r="G7" s="206">
        <v>3</v>
      </c>
      <c r="H7" s="206">
        <v>4</v>
      </c>
      <c r="I7" s="206">
        <v>5</v>
      </c>
      <c r="J7" s="206">
        <v>6</v>
      </c>
      <c r="K7" s="206">
        <v>7</v>
      </c>
      <c r="L7" s="206">
        <v>8</v>
      </c>
      <c r="M7" s="206">
        <v>9</v>
      </c>
      <c r="N7" s="206">
        <v>10</v>
      </c>
      <c r="O7" s="206">
        <v>11</v>
      </c>
      <c r="P7" s="206">
        <v>12</v>
      </c>
      <c r="Q7" s="206">
        <v>13</v>
      </c>
      <c r="R7" s="206">
        <v>14</v>
      </c>
      <c r="S7" s="206">
        <v>15</v>
      </c>
      <c r="T7" s="206">
        <v>16</v>
      </c>
      <c r="U7" s="206">
        <v>17</v>
      </c>
      <c r="V7" s="206">
        <v>18</v>
      </c>
      <c r="W7" s="206">
        <v>19</v>
      </c>
      <c r="X7" s="206">
        <v>20</v>
      </c>
      <c r="Y7" s="206">
        <v>21</v>
      </c>
      <c r="Z7" s="206">
        <v>22</v>
      </c>
      <c r="AA7" s="206">
        <v>23</v>
      </c>
      <c r="AB7" s="206">
        <v>24</v>
      </c>
      <c r="AC7" s="206">
        <v>25</v>
      </c>
      <c r="AD7" s="206">
        <v>26</v>
      </c>
    </row>
    <row r="8" spans="1:30" s="16" customFormat="1" ht="5.0999999999999996" customHeight="1">
      <c r="C8" s="198"/>
      <c r="D8" s="198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1"/>
      <c r="AD8" s="201"/>
    </row>
    <row r="9" spans="1:30" s="39" customFormat="1">
      <c r="A9" s="181">
        <v>-1</v>
      </c>
      <c r="C9" s="209" t="s">
        <v>139</v>
      </c>
      <c r="D9" s="204"/>
      <c r="E9" s="252">
        <f>+'Case Distribution'!B12</f>
        <v>1.8999999999999906E-2</v>
      </c>
      <c r="F9" s="252">
        <f>+'Case Distribution'!C12</f>
        <v>3.6999999999999998E-2</v>
      </c>
      <c r="G9" s="252">
        <f>+'Case Distribution'!D12</f>
        <v>6.5000000000000002E-2</v>
      </c>
      <c r="H9" s="252">
        <f>+'Case Distribution'!E12</f>
        <v>9.9000000000000005E-2</v>
      </c>
      <c r="I9" s="252">
        <f>+'Case Distribution'!F12</f>
        <v>0.13</v>
      </c>
      <c r="J9" s="252">
        <f>+'Case Distribution'!G12</f>
        <v>0.15</v>
      </c>
      <c r="K9" s="252">
        <f>+'Case Distribution'!H12</f>
        <v>0.15</v>
      </c>
      <c r="L9" s="252">
        <f>+'Case Distribution'!I12</f>
        <v>0.13</v>
      </c>
      <c r="M9" s="252">
        <f>+'Case Distribution'!J12</f>
        <v>9.9000000000000005E-2</v>
      </c>
      <c r="N9" s="252">
        <f>+'Case Distribution'!K12</f>
        <v>6.5000000000000002E-2</v>
      </c>
      <c r="O9" s="252">
        <f>+'Case Distribution'!L12</f>
        <v>3.6999999999999998E-2</v>
      </c>
      <c r="P9" s="252">
        <f>+'Case Distribution'!M12</f>
        <v>1.9E-2</v>
      </c>
      <c r="Q9" s="252">
        <f>+'Case Distribution'!N12</f>
        <v>0</v>
      </c>
      <c r="R9" s="252">
        <f>+'Case Distribution'!O12</f>
        <v>0</v>
      </c>
      <c r="S9" s="252">
        <f>+'Case Distribution'!P12</f>
        <v>0</v>
      </c>
      <c r="T9" s="252">
        <f>+'Case Distribution'!Q12</f>
        <v>0</v>
      </c>
      <c r="U9" s="252">
        <f>+'Case Distribution'!R12</f>
        <v>0</v>
      </c>
      <c r="V9" s="252">
        <f>+'Case Distribution'!S12</f>
        <v>0</v>
      </c>
      <c r="W9" s="252">
        <f>+'Case Distribution'!T12</f>
        <v>0</v>
      </c>
      <c r="X9" s="252">
        <f>+'Case Distribution'!U12</f>
        <v>0</v>
      </c>
      <c r="Y9" s="252">
        <f>+'Case Distribution'!V12</f>
        <v>0</v>
      </c>
      <c r="Z9" s="252">
        <f>+'Case Distribution'!W12</f>
        <v>0</v>
      </c>
      <c r="AA9" s="252">
        <f>+'Case Distribution'!X12</f>
        <v>0</v>
      </c>
      <c r="AB9" s="252">
        <f>+'Case Distribution'!Y12</f>
        <v>0</v>
      </c>
      <c r="AC9" s="252">
        <f>+'Case Distribution'!Z12</f>
        <v>0</v>
      </c>
      <c r="AD9" s="252">
        <f>+'Case Distribution'!AA12</f>
        <v>0</v>
      </c>
    </row>
    <row r="10" spans="1:30" s="39" customFormat="1">
      <c r="A10" s="374">
        <f>+A9-1</f>
        <v>-2</v>
      </c>
      <c r="C10" s="209" t="s">
        <v>123</v>
      </c>
      <c r="D10" s="204">
        <f>(HospAdmits+XSDths*DthHospPct)*(1-ICUPct)</f>
        <v>8129962.0986309499</v>
      </c>
      <c r="E10" s="204">
        <f t="shared" ref="E10:AD11" si="0">ROUND(E$9*$D10,0)</f>
        <v>154469</v>
      </c>
      <c r="F10" s="204">
        <f t="shared" si="0"/>
        <v>300809</v>
      </c>
      <c r="G10" s="204">
        <f t="shared" si="0"/>
        <v>528448</v>
      </c>
      <c r="H10" s="204">
        <f t="shared" si="0"/>
        <v>804866</v>
      </c>
      <c r="I10" s="204">
        <f t="shared" si="0"/>
        <v>1056895</v>
      </c>
      <c r="J10" s="204">
        <f t="shared" si="0"/>
        <v>1219494</v>
      </c>
      <c r="K10" s="204">
        <f t="shared" si="0"/>
        <v>1219494</v>
      </c>
      <c r="L10" s="204">
        <f t="shared" si="0"/>
        <v>1056895</v>
      </c>
      <c r="M10" s="204">
        <f t="shared" si="0"/>
        <v>804866</v>
      </c>
      <c r="N10" s="204">
        <f t="shared" si="0"/>
        <v>528448</v>
      </c>
      <c r="O10" s="204">
        <f t="shared" si="0"/>
        <v>300809</v>
      </c>
      <c r="P10" s="204">
        <f t="shared" si="0"/>
        <v>154469</v>
      </c>
      <c r="Q10" s="204">
        <f t="shared" si="0"/>
        <v>0</v>
      </c>
      <c r="R10" s="204">
        <f t="shared" si="0"/>
        <v>0</v>
      </c>
      <c r="S10" s="204">
        <f t="shared" si="0"/>
        <v>0</v>
      </c>
      <c r="T10" s="204">
        <f t="shared" si="0"/>
        <v>0</v>
      </c>
      <c r="U10" s="204">
        <f t="shared" si="0"/>
        <v>0</v>
      </c>
      <c r="V10" s="204">
        <f t="shared" si="0"/>
        <v>0</v>
      </c>
      <c r="W10" s="204">
        <f t="shared" si="0"/>
        <v>0</v>
      </c>
      <c r="X10" s="204">
        <f t="shared" si="0"/>
        <v>0</v>
      </c>
      <c r="Y10" s="204">
        <f t="shared" si="0"/>
        <v>0</v>
      </c>
      <c r="Z10" s="204">
        <f t="shared" si="0"/>
        <v>0</v>
      </c>
      <c r="AA10" s="204">
        <f t="shared" si="0"/>
        <v>0</v>
      </c>
      <c r="AB10" s="204">
        <f t="shared" si="0"/>
        <v>0</v>
      </c>
      <c r="AC10" s="204">
        <f t="shared" si="0"/>
        <v>0</v>
      </c>
      <c r="AD10" s="204">
        <f t="shared" si="0"/>
        <v>0</v>
      </c>
    </row>
    <row r="11" spans="1:30" s="39" customFormat="1">
      <c r="A11" s="374">
        <f>+A10-1</f>
        <v>-3</v>
      </c>
      <c r="C11" s="219" t="s">
        <v>124</v>
      </c>
      <c r="D11" s="221">
        <f>(HospAdmits+XSDths*DthHospPct)*ICUPct</f>
        <v>1434699.1938760499</v>
      </c>
      <c r="E11" s="221">
        <f t="shared" si="0"/>
        <v>27259</v>
      </c>
      <c r="F11" s="221">
        <f t="shared" si="0"/>
        <v>53084</v>
      </c>
      <c r="G11" s="221">
        <f t="shared" si="0"/>
        <v>93255</v>
      </c>
      <c r="H11" s="221">
        <f t="shared" si="0"/>
        <v>142035</v>
      </c>
      <c r="I11" s="221">
        <f t="shared" si="0"/>
        <v>186511</v>
      </c>
      <c r="J11" s="221">
        <f t="shared" si="0"/>
        <v>215205</v>
      </c>
      <c r="K11" s="221">
        <f t="shared" si="0"/>
        <v>215205</v>
      </c>
      <c r="L11" s="221">
        <f t="shared" si="0"/>
        <v>186511</v>
      </c>
      <c r="M11" s="221">
        <f t="shared" si="0"/>
        <v>142035</v>
      </c>
      <c r="N11" s="221">
        <f t="shared" si="0"/>
        <v>93255</v>
      </c>
      <c r="O11" s="221">
        <f t="shared" si="0"/>
        <v>53084</v>
      </c>
      <c r="P11" s="221">
        <f t="shared" si="0"/>
        <v>27259</v>
      </c>
      <c r="Q11" s="221">
        <f t="shared" si="0"/>
        <v>0</v>
      </c>
      <c r="R11" s="221">
        <f t="shared" si="0"/>
        <v>0</v>
      </c>
      <c r="S11" s="221">
        <f t="shared" si="0"/>
        <v>0</v>
      </c>
      <c r="T11" s="221">
        <f t="shared" si="0"/>
        <v>0</v>
      </c>
      <c r="U11" s="221">
        <f t="shared" si="0"/>
        <v>0</v>
      </c>
      <c r="V11" s="221">
        <f t="shared" si="0"/>
        <v>0</v>
      </c>
      <c r="W11" s="221">
        <f t="shared" si="0"/>
        <v>0</v>
      </c>
      <c r="X11" s="221">
        <f t="shared" si="0"/>
        <v>0</v>
      </c>
      <c r="Y11" s="221">
        <f t="shared" si="0"/>
        <v>0</v>
      </c>
      <c r="Z11" s="221">
        <f t="shared" si="0"/>
        <v>0</v>
      </c>
      <c r="AA11" s="221">
        <f t="shared" si="0"/>
        <v>0</v>
      </c>
      <c r="AB11" s="221">
        <f t="shared" si="0"/>
        <v>0</v>
      </c>
      <c r="AC11" s="221">
        <f t="shared" si="0"/>
        <v>0</v>
      </c>
      <c r="AD11" s="221">
        <f t="shared" si="0"/>
        <v>0</v>
      </c>
    </row>
    <row r="12" spans="1:30" s="39" customFormat="1">
      <c r="A12" s="383">
        <f>+A11-1</f>
        <v>-4</v>
      </c>
      <c r="C12" s="209" t="s">
        <v>201</v>
      </c>
      <c r="D12" s="204">
        <f>D10+D11</f>
        <v>9564661.2925070003</v>
      </c>
      <c r="E12" s="385">
        <f t="shared" ref="E12:AD12" si="1">E10+E11</f>
        <v>181728</v>
      </c>
      <c r="F12" s="385">
        <f t="shared" si="1"/>
        <v>353893</v>
      </c>
      <c r="G12" s="385">
        <f t="shared" si="1"/>
        <v>621703</v>
      </c>
      <c r="H12" s="385">
        <f t="shared" si="1"/>
        <v>946901</v>
      </c>
      <c r="I12" s="385">
        <f t="shared" si="1"/>
        <v>1243406</v>
      </c>
      <c r="J12" s="385">
        <f t="shared" si="1"/>
        <v>1434699</v>
      </c>
      <c r="K12" s="385">
        <f t="shared" si="1"/>
        <v>1434699</v>
      </c>
      <c r="L12" s="385">
        <f t="shared" si="1"/>
        <v>1243406</v>
      </c>
      <c r="M12" s="385">
        <f t="shared" si="1"/>
        <v>946901</v>
      </c>
      <c r="N12" s="385">
        <f t="shared" si="1"/>
        <v>621703</v>
      </c>
      <c r="O12" s="385">
        <f t="shared" si="1"/>
        <v>353893</v>
      </c>
      <c r="P12" s="385">
        <f t="shared" si="1"/>
        <v>181728</v>
      </c>
      <c r="Q12" s="385">
        <f t="shared" si="1"/>
        <v>0</v>
      </c>
      <c r="R12" s="385">
        <f t="shared" si="1"/>
        <v>0</v>
      </c>
      <c r="S12" s="385">
        <f t="shared" si="1"/>
        <v>0</v>
      </c>
      <c r="T12" s="385">
        <f t="shared" si="1"/>
        <v>0</v>
      </c>
      <c r="U12" s="385">
        <f t="shared" si="1"/>
        <v>0</v>
      </c>
      <c r="V12" s="385">
        <f t="shared" si="1"/>
        <v>0</v>
      </c>
      <c r="W12" s="385">
        <f t="shared" si="1"/>
        <v>0</v>
      </c>
      <c r="X12" s="385">
        <f t="shared" si="1"/>
        <v>0</v>
      </c>
      <c r="Y12" s="385">
        <f t="shared" si="1"/>
        <v>0</v>
      </c>
      <c r="Z12" s="385">
        <f t="shared" si="1"/>
        <v>0</v>
      </c>
      <c r="AA12" s="385">
        <f t="shared" si="1"/>
        <v>0</v>
      </c>
      <c r="AB12" s="385">
        <f t="shared" si="1"/>
        <v>0</v>
      </c>
      <c r="AC12" s="385">
        <f t="shared" si="1"/>
        <v>0</v>
      </c>
      <c r="AD12" s="385">
        <f t="shared" si="1"/>
        <v>0</v>
      </c>
    </row>
    <row r="13" spans="1:30" s="16" customFormat="1">
      <c r="C13" s="207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</row>
    <row r="14" spans="1:30" s="39" customFormat="1">
      <c r="A14" s="386">
        <f>+A12-1</f>
        <v>-5</v>
      </c>
      <c r="C14" s="209" t="s">
        <v>140</v>
      </c>
      <c r="D14" s="204"/>
      <c r="E14" s="252">
        <f>+'Case Distribution'!B19</f>
        <v>7.3999999999999733E-2</v>
      </c>
      <c r="F14" s="252">
        <f>+'Case Distribution'!C19</f>
        <v>0.25900000000000001</v>
      </c>
      <c r="G14" s="252">
        <f>+'Case Distribution'!D19</f>
        <v>0.157</v>
      </c>
      <c r="H14" s="252">
        <f>+'Case Distribution'!E19</f>
        <v>0.112</v>
      </c>
      <c r="I14" s="252">
        <f>+'Case Distribution'!F19</f>
        <v>8.5999999999999993E-2</v>
      </c>
      <c r="J14" s="252">
        <f>+'Case Distribution'!G19</f>
        <v>6.9000000000000006E-2</v>
      </c>
      <c r="K14" s="252">
        <f>+'Case Distribution'!H19</f>
        <v>5.7000000000000002E-2</v>
      </c>
      <c r="L14" s="252">
        <f>+'Case Distribution'!I19</f>
        <v>4.8000000000000001E-2</v>
      </c>
      <c r="M14" s="252">
        <f>+'Case Distribution'!J19</f>
        <v>4.2000000000000003E-2</v>
      </c>
      <c r="N14" s="252">
        <f>+'Case Distribution'!K19</f>
        <v>3.5999999999999997E-2</v>
      </c>
      <c r="O14" s="252">
        <f>+'Case Distribution'!L19</f>
        <v>3.2000000000000001E-2</v>
      </c>
      <c r="P14" s="252">
        <f>+'Case Distribution'!M19</f>
        <v>2.8000000000000001E-2</v>
      </c>
      <c r="Q14" s="252">
        <f>+'Case Distribution'!N19</f>
        <v>0</v>
      </c>
      <c r="R14" s="252">
        <f>+'Case Distribution'!O19</f>
        <v>0</v>
      </c>
      <c r="S14" s="252">
        <f>+'Case Distribution'!P19</f>
        <v>0</v>
      </c>
      <c r="T14" s="252">
        <f>+'Case Distribution'!Q19</f>
        <v>0</v>
      </c>
      <c r="U14" s="252">
        <f>+'Case Distribution'!R19</f>
        <v>0</v>
      </c>
      <c r="V14" s="252">
        <f>+'Case Distribution'!S19</f>
        <v>0</v>
      </c>
      <c r="W14" s="252">
        <f>+'Case Distribution'!T19</f>
        <v>0</v>
      </c>
      <c r="X14" s="252">
        <f>+'Case Distribution'!U19</f>
        <v>0</v>
      </c>
      <c r="Y14" s="252">
        <f>+'Case Distribution'!V19</f>
        <v>0</v>
      </c>
      <c r="Z14" s="252">
        <f>+'Case Distribution'!W19</f>
        <v>0</v>
      </c>
      <c r="AA14" s="252">
        <f>+'Case Distribution'!X19</f>
        <v>0</v>
      </c>
      <c r="AB14" s="252">
        <f>+'Case Distribution'!Y19</f>
        <v>0</v>
      </c>
      <c r="AC14" s="252">
        <f>+'Case Distribution'!Z19</f>
        <v>0</v>
      </c>
      <c r="AD14" s="252">
        <f>+'Case Distribution'!AA19</f>
        <v>0</v>
      </c>
    </row>
    <row r="15" spans="1:30" s="39" customFormat="1">
      <c r="A15" s="386">
        <f>+A14-1</f>
        <v>-6</v>
      </c>
      <c r="C15" s="209" t="s">
        <v>108</v>
      </c>
      <c r="D15" s="204">
        <f>OutPt</f>
        <v>39241739</v>
      </c>
      <c r="E15" s="204">
        <f t="shared" ref="E15:AD15" si="2">ROUND(E$14*$D15,0)</f>
        <v>2903889</v>
      </c>
      <c r="F15" s="204">
        <f t="shared" si="2"/>
        <v>10163610</v>
      </c>
      <c r="G15" s="204">
        <f t="shared" si="2"/>
        <v>6160953</v>
      </c>
      <c r="H15" s="204">
        <f t="shared" si="2"/>
        <v>4395075</v>
      </c>
      <c r="I15" s="204">
        <f t="shared" si="2"/>
        <v>3374790</v>
      </c>
      <c r="J15" s="204">
        <f t="shared" si="2"/>
        <v>2707680</v>
      </c>
      <c r="K15" s="204">
        <f t="shared" si="2"/>
        <v>2236779</v>
      </c>
      <c r="L15" s="204">
        <f t="shared" si="2"/>
        <v>1883603</v>
      </c>
      <c r="M15" s="204">
        <f t="shared" si="2"/>
        <v>1648153</v>
      </c>
      <c r="N15" s="204">
        <f t="shared" si="2"/>
        <v>1412703</v>
      </c>
      <c r="O15" s="204">
        <f t="shared" si="2"/>
        <v>1255736</v>
      </c>
      <c r="P15" s="204">
        <f t="shared" si="2"/>
        <v>1098769</v>
      </c>
      <c r="Q15" s="204">
        <f t="shared" si="2"/>
        <v>0</v>
      </c>
      <c r="R15" s="204">
        <f t="shared" si="2"/>
        <v>0</v>
      </c>
      <c r="S15" s="204">
        <f t="shared" si="2"/>
        <v>0</v>
      </c>
      <c r="T15" s="204">
        <f t="shared" si="2"/>
        <v>0</v>
      </c>
      <c r="U15" s="204">
        <f t="shared" si="2"/>
        <v>0</v>
      </c>
      <c r="V15" s="204">
        <f t="shared" si="2"/>
        <v>0</v>
      </c>
      <c r="W15" s="204">
        <f t="shared" si="2"/>
        <v>0</v>
      </c>
      <c r="X15" s="204">
        <f t="shared" si="2"/>
        <v>0</v>
      </c>
      <c r="Y15" s="204">
        <f t="shared" si="2"/>
        <v>0</v>
      </c>
      <c r="Z15" s="204">
        <f t="shared" si="2"/>
        <v>0</v>
      </c>
      <c r="AA15" s="204">
        <f t="shared" si="2"/>
        <v>0</v>
      </c>
      <c r="AB15" s="204">
        <f t="shared" si="2"/>
        <v>0</v>
      </c>
      <c r="AC15" s="204">
        <f t="shared" si="2"/>
        <v>0</v>
      </c>
      <c r="AD15" s="204">
        <f t="shared" si="2"/>
        <v>0</v>
      </c>
    </row>
    <row r="16" spans="1:30" s="16" customFormat="1">
      <c r="C16" s="207"/>
      <c r="D16" s="201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</row>
    <row r="17" spans="1:30" s="16" customFormat="1">
      <c r="A17" s="386">
        <f>+A15-1</f>
        <v>-7</v>
      </c>
      <c r="C17" s="207" t="s">
        <v>149</v>
      </c>
      <c r="D17" s="389"/>
      <c r="E17" s="200">
        <f t="shared" ref="E17:AD17" si="3">+E9</f>
        <v>1.8999999999999906E-2</v>
      </c>
      <c r="F17" s="200">
        <f t="shared" si="3"/>
        <v>3.6999999999999998E-2</v>
      </c>
      <c r="G17" s="200">
        <f t="shared" si="3"/>
        <v>6.5000000000000002E-2</v>
      </c>
      <c r="H17" s="200">
        <f t="shared" si="3"/>
        <v>9.9000000000000005E-2</v>
      </c>
      <c r="I17" s="200">
        <f t="shared" si="3"/>
        <v>0.13</v>
      </c>
      <c r="J17" s="200">
        <f t="shared" si="3"/>
        <v>0.15</v>
      </c>
      <c r="K17" s="200">
        <f t="shared" si="3"/>
        <v>0.15</v>
      </c>
      <c r="L17" s="200">
        <f t="shared" si="3"/>
        <v>0.13</v>
      </c>
      <c r="M17" s="200">
        <f t="shared" si="3"/>
        <v>9.9000000000000005E-2</v>
      </c>
      <c r="N17" s="200">
        <f t="shared" si="3"/>
        <v>6.5000000000000002E-2</v>
      </c>
      <c r="O17" s="200">
        <f t="shared" si="3"/>
        <v>3.6999999999999998E-2</v>
      </c>
      <c r="P17" s="200">
        <f t="shared" si="3"/>
        <v>1.9E-2</v>
      </c>
      <c r="Q17" s="200">
        <f t="shared" si="3"/>
        <v>0</v>
      </c>
      <c r="R17" s="200">
        <f t="shared" si="3"/>
        <v>0</v>
      </c>
      <c r="S17" s="200">
        <f t="shared" si="3"/>
        <v>0</v>
      </c>
      <c r="T17" s="200">
        <f t="shared" si="3"/>
        <v>0</v>
      </c>
      <c r="U17" s="200">
        <f t="shared" si="3"/>
        <v>0</v>
      </c>
      <c r="V17" s="200">
        <f t="shared" si="3"/>
        <v>0</v>
      </c>
      <c r="W17" s="200">
        <f t="shared" si="3"/>
        <v>0</v>
      </c>
      <c r="X17" s="200">
        <f t="shared" si="3"/>
        <v>0</v>
      </c>
      <c r="Y17" s="200">
        <f t="shared" si="3"/>
        <v>0</v>
      </c>
      <c r="Z17" s="200">
        <f t="shared" si="3"/>
        <v>0</v>
      </c>
      <c r="AA17" s="200">
        <f t="shared" si="3"/>
        <v>0</v>
      </c>
      <c r="AB17" s="200">
        <f t="shared" si="3"/>
        <v>0</v>
      </c>
      <c r="AC17" s="200">
        <f t="shared" si="3"/>
        <v>0</v>
      </c>
      <c r="AD17" s="200">
        <f t="shared" si="3"/>
        <v>0</v>
      </c>
    </row>
    <row r="18" spans="1:30" s="16" customFormat="1">
      <c r="A18" s="386">
        <f>+A17-1</f>
        <v>-8</v>
      </c>
      <c r="C18" s="207" t="s">
        <v>127</v>
      </c>
      <c r="D18" s="201">
        <f>(DthPct+HospPct+OutPct)*Physicians</f>
        <v>158095.63270573239</v>
      </c>
      <c r="E18" s="201">
        <f t="shared" ref="E18:N19" si="4">ROUND(E$17*$D18,0)</f>
        <v>3004</v>
      </c>
      <c r="F18" s="201">
        <f t="shared" si="4"/>
        <v>5850</v>
      </c>
      <c r="G18" s="201">
        <f t="shared" si="4"/>
        <v>10276</v>
      </c>
      <c r="H18" s="201">
        <f t="shared" si="4"/>
        <v>15651</v>
      </c>
      <c r="I18" s="201">
        <f t="shared" si="4"/>
        <v>20552</v>
      </c>
      <c r="J18" s="201">
        <f t="shared" si="4"/>
        <v>23714</v>
      </c>
      <c r="K18" s="201">
        <f t="shared" si="4"/>
        <v>23714</v>
      </c>
      <c r="L18" s="201">
        <f t="shared" si="4"/>
        <v>20552</v>
      </c>
      <c r="M18" s="201">
        <f t="shared" si="4"/>
        <v>15651</v>
      </c>
      <c r="N18" s="201">
        <f t="shared" si="4"/>
        <v>10276</v>
      </c>
      <c r="O18" s="201">
        <f t="shared" ref="O18:X19" si="5">ROUND(O$17*$D18,0)</f>
        <v>5850</v>
      </c>
      <c r="P18" s="201">
        <f t="shared" si="5"/>
        <v>3004</v>
      </c>
      <c r="Q18" s="201">
        <f t="shared" si="5"/>
        <v>0</v>
      </c>
      <c r="R18" s="201">
        <f t="shared" si="5"/>
        <v>0</v>
      </c>
      <c r="S18" s="201">
        <f t="shared" si="5"/>
        <v>0</v>
      </c>
      <c r="T18" s="201">
        <f t="shared" si="5"/>
        <v>0</v>
      </c>
      <c r="U18" s="201">
        <f t="shared" si="5"/>
        <v>0</v>
      </c>
      <c r="V18" s="201">
        <f t="shared" si="5"/>
        <v>0</v>
      </c>
      <c r="W18" s="201">
        <f t="shared" si="5"/>
        <v>0</v>
      </c>
      <c r="X18" s="201">
        <f t="shared" si="5"/>
        <v>0</v>
      </c>
      <c r="Y18" s="201">
        <f t="shared" ref="Y18:AD19" si="6">ROUND(Y$17*$D18,0)</f>
        <v>0</v>
      </c>
      <c r="Z18" s="201">
        <f t="shared" si="6"/>
        <v>0</v>
      </c>
      <c r="AA18" s="201">
        <f t="shared" si="6"/>
        <v>0</v>
      </c>
      <c r="AB18" s="201">
        <f t="shared" si="6"/>
        <v>0</v>
      </c>
      <c r="AC18" s="201">
        <f t="shared" si="6"/>
        <v>0</v>
      </c>
      <c r="AD18" s="201">
        <f t="shared" si="6"/>
        <v>0</v>
      </c>
    </row>
    <row r="19" spans="1:30" s="16" customFormat="1">
      <c r="A19" s="386">
        <f>+A18-1</f>
        <v>-9</v>
      </c>
      <c r="C19" s="207" t="s">
        <v>128</v>
      </c>
      <c r="D19" s="201">
        <f>(DthPct+HospPct+OutPct)*Nurses</f>
        <v>450065.20697801665</v>
      </c>
      <c r="E19" s="201">
        <f t="shared" si="4"/>
        <v>8551</v>
      </c>
      <c r="F19" s="201">
        <f t="shared" si="4"/>
        <v>16652</v>
      </c>
      <c r="G19" s="201">
        <f t="shared" si="4"/>
        <v>29254</v>
      </c>
      <c r="H19" s="201">
        <f t="shared" si="4"/>
        <v>44556</v>
      </c>
      <c r="I19" s="201">
        <f t="shared" si="4"/>
        <v>58508</v>
      </c>
      <c r="J19" s="201">
        <f t="shared" si="4"/>
        <v>67510</v>
      </c>
      <c r="K19" s="201">
        <f t="shared" si="4"/>
        <v>67510</v>
      </c>
      <c r="L19" s="201">
        <f t="shared" si="4"/>
        <v>58508</v>
      </c>
      <c r="M19" s="201">
        <f t="shared" si="4"/>
        <v>44556</v>
      </c>
      <c r="N19" s="201">
        <f t="shared" si="4"/>
        <v>29254</v>
      </c>
      <c r="O19" s="201">
        <f t="shared" si="5"/>
        <v>16652</v>
      </c>
      <c r="P19" s="201">
        <f t="shared" si="5"/>
        <v>8551</v>
      </c>
      <c r="Q19" s="201">
        <f t="shared" si="5"/>
        <v>0</v>
      </c>
      <c r="R19" s="201">
        <f t="shared" si="5"/>
        <v>0</v>
      </c>
      <c r="S19" s="201">
        <f t="shared" si="5"/>
        <v>0</v>
      </c>
      <c r="T19" s="201">
        <f t="shared" si="5"/>
        <v>0</v>
      </c>
      <c r="U19" s="201">
        <f t="shared" si="5"/>
        <v>0</v>
      </c>
      <c r="V19" s="201">
        <f t="shared" si="5"/>
        <v>0</v>
      </c>
      <c r="W19" s="201">
        <f t="shared" si="5"/>
        <v>0</v>
      </c>
      <c r="X19" s="201">
        <f t="shared" si="5"/>
        <v>0</v>
      </c>
      <c r="Y19" s="201">
        <f t="shared" si="6"/>
        <v>0</v>
      </c>
      <c r="Z19" s="201">
        <f t="shared" si="6"/>
        <v>0</v>
      </c>
      <c r="AA19" s="201">
        <f t="shared" si="6"/>
        <v>0</v>
      </c>
      <c r="AB19" s="201">
        <f t="shared" si="6"/>
        <v>0</v>
      </c>
      <c r="AC19" s="201">
        <f t="shared" si="6"/>
        <v>0</v>
      </c>
      <c r="AD19" s="201">
        <f t="shared" si="6"/>
        <v>0</v>
      </c>
    </row>
    <row r="20" spans="1:30" s="16" customFormat="1">
      <c r="C20" s="207"/>
      <c r="D20" s="200"/>
      <c r="E20" s="200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</row>
    <row r="21" spans="1:30" s="16" customFormat="1">
      <c r="C21" s="212" t="s">
        <v>293</v>
      </c>
      <c r="D21" s="217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</row>
    <row r="22" spans="1:30" s="175" customFormat="1">
      <c r="A22" s="386">
        <f>+A19-1</f>
        <v>-10</v>
      </c>
      <c r="C22" s="209" t="s">
        <v>285</v>
      </c>
      <c r="D22" s="180"/>
      <c r="E22" s="204">
        <f>MIN(ROUND(E10/7*NonICUStay,0),E10)</f>
        <v>88268</v>
      </c>
      <c r="F22" s="204">
        <f>IF(NonICUStay&lt;7,ROUND(F10/7*NonICUStay,0), ROUND((F10+(NonICUStay-7)*E10/7),0))</f>
        <v>171891</v>
      </c>
      <c r="G22" s="204">
        <f t="shared" ref="G22:AD22" si="7">IF(NonICUStay&lt;7,ROUND(G10/7*NonICUStay,0), IF(NonICUStay&lt;14,ROUND(G10+ (NonICUStay-7)*F10/7,0), ROUND(G10+F10+ (NonICUStay-7)*E10/7,0)))</f>
        <v>301970</v>
      </c>
      <c r="H22" s="204">
        <f t="shared" si="7"/>
        <v>459923</v>
      </c>
      <c r="I22" s="204">
        <f t="shared" si="7"/>
        <v>603940</v>
      </c>
      <c r="J22" s="204">
        <f t="shared" si="7"/>
        <v>696854</v>
      </c>
      <c r="K22" s="204">
        <f t="shared" si="7"/>
        <v>696854</v>
      </c>
      <c r="L22" s="204">
        <f t="shared" si="7"/>
        <v>603940</v>
      </c>
      <c r="M22" s="204">
        <f t="shared" si="7"/>
        <v>459923</v>
      </c>
      <c r="N22" s="204">
        <f t="shared" si="7"/>
        <v>301970</v>
      </c>
      <c r="O22" s="204">
        <f t="shared" si="7"/>
        <v>171891</v>
      </c>
      <c r="P22" s="204">
        <f t="shared" si="7"/>
        <v>88268</v>
      </c>
      <c r="Q22" s="204">
        <f t="shared" si="7"/>
        <v>0</v>
      </c>
      <c r="R22" s="204">
        <f t="shared" si="7"/>
        <v>0</v>
      </c>
      <c r="S22" s="204">
        <f t="shared" si="7"/>
        <v>0</v>
      </c>
      <c r="T22" s="204">
        <f t="shared" si="7"/>
        <v>0</v>
      </c>
      <c r="U22" s="204">
        <f t="shared" si="7"/>
        <v>0</v>
      </c>
      <c r="V22" s="204">
        <f t="shared" si="7"/>
        <v>0</v>
      </c>
      <c r="W22" s="204">
        <f t="shared" si="7"/>
        <v>0</v>
      </c>
      <c r="X22" s="204">
        <f t="shared" si="7"/>
        <v>0</v>
      </c>
      <c r="Y22" s="204">
        <f t="shared" si="7"/>
        <v>0</v>
      </c>
      <c r="Z22" s="204">
        <f t="shared" si="7"/>
        <v>0</v>
      </c>
      <c r="AA22" s="204">
        <f t="shared" si="7"/>
        <v>0</v>
      </c>
      <c r="AB22" s="204">
        <f t="shared" si="7"/>
        <v>0</v>
      </c>
      <c r="AC22" s="204">
        <f t="shared" si="7"/>
        <v>0</v>
      </c>
      <c r="AD22" s="204">
        <f t="shared" si="7"/>
        <v>0</v>
      </c>
    </row>
    <row r="23" spans="1:30" s="175" customFormat="1">
      <c r="A23" s="386">
        <f>+A22-1</f>
        <v>-11</v>
      </c>
      <c r="C23" s="219" t="s">
        <v>286</v>
      </c>
      <c r="D23" s="283"/>
      <c r="E23" s="221">
        <f>ROUND(MIN(E11*ICUStay/7,E11),0)</f>
        <v>27259</v>
      </c>
      <c r="F23" s="221">
        <f>IF(ICUStay&lt;7,ROUND(F11/7*ICUStay,0), ROUND((F11+ (ICUStay-7)*E11/7),0))</f>
        <v>56978</v>
      </c>
      <c r="G23" s="221">
        <f t="shared" ref="G23:AD23" si="8">IF(ICUStay&lt;7,ROUND(G11/7*ICUStay,0), IF(ICUStay&lt;14, ROUND((G11+ (ICUStay-7)*F11/7),0), ROUND((G11+F11+E11*(ICUStay-7)/7),0)))</f>
        <v>100838</v>
      </c>
      <c r="H23" s="221">
        <f t="shared" si="8"/>
        <v>155357</v>
      </c>
      <c r="I23" s="221">
        <f t="shared" si="8"/>
        <v>206802</v>
      </c>
      <c r="J23" s="221">
        <f t="shared" si="8"/>
        <v>241849</v>
      </c>
      <c r="K23" s="221">
        <f t="shared" si="8"/>
        <v>245949</v>
      </c>
      <c r="L23" s="221">
        <f t="shared" si="8"/>
        <v>217255</v>
      </c>
      <c r="M23" s="221">
        <f t="shared" si="8"/>
        <v>168679</v>
      </c>
      <c r="N23" s="221">
        <f t="shared" si="8"/>
        <v>113546</v>
      </c>
      <c r="O23" s="221">
        <f t="shared" si="8"/>
        <v>66406</v>
      </c>
      <c r="P23" s="221">
        <f t="shared" si="8"/>
        <v>34842</v>
      </c>
      <c r="Q23" s="221">
        <f t="shared" si="8"/>
        <v>3894</v>
      </c>
      <c r="R23" s="221">
        <f t="shared" si="8"/>
        <v>0</v>
      </c>
      <c r="S23" s="221">
        <f t="shared" si="8"/>
        <v>0</v>
      </c>
      <c r="T23" s="221">
        <f t="shared" si="8"/>
        <v>0</v>
      </c>
      <c r="U23" s="221">
        <f t="shared" si="8"/>
        <v>0</v>
      </c>
      <c r="V23" s="221">
        <f t="shared" si="8"/>
        <v>0</v>
      </c>
      <c r="W23" s="221">
        <f t="shared" si="8"/>
        <v>0</v>
      </c>
      <c r="X23" s="221">
        <f t="shared" si="8"/>
        <v>0</v>
      </c>
      <c r="Y23" s="221">
        <f t="shared" si="8"/>
        <v>0</v>
      </c>
      <c r="Z23" s="221">
        <f t="shared" si="8"/>
        <v>0</v>
      </c>
      <c r="AA23" s="221">
        <f t="shared" si="8"/>
        <v>0</v>
      </c>
      <c r="AB23" s="221">
        <f t="shared" si="8"/>
        <v>0</v>
      </c>
      <c r="AC23" s="221">
        <f t="shared" si="8"/>
        <v>0</v>
      </c>
      <c r="AD23" s="221">
        <f t="shared" si="8"/>
        <v>0</v>
      </c>
    </row>
    <row r="24" spans="1:30">
      <c r="A24" s="386">
        <f>+A23-1</f>
        <v>-12</v>
      </c>
      <c r="C24" s="209" t="s">
        <v>125</v>
      </c>
      <c r="D24" s="15"/>
      <c r="E24" s="201">
        <f t="shared" ref="E24:AD24" si="9">+E22+E23</f>
        <v>115527</v>
      </c>
      <c r="F24" s="201">
        <f t="shared" si="9"/>
        <v>228869</v>
      </c>
      <c r="G24" s="201">
        <f t="shared" si="9"/>
        <v>402808</v>
      </c>
      <c r="H24" s="201">
        <f t="shared" si="9"/>
        <v>615280</v>
      </c>
      <c r="I24" s="201">
        <f t="shared" si="9"/>
        <v>810742</v>
      </c>
      <c r="J24" s="201">
        <f t="shared" si="9"/>
        <v>938703</v>
      </c>
      <c r="K24" s="201">
        <f t="shared" si="9"/>
        <v>942803</v>
      </c>
      <c r="L24" s="201">
        <f t="shared" si="9"/>
        <v>821195</v>
      </c>
      <c r="M24" s="201">
        <f t="shared" si="9"/>
        <v>628602</v>
      </c>
      <c r="N24" s="201">
        <f t="shared" si="9"/>
        <v>415516</v>
      </c>
      <c r="O24" s="201">
        <f t="shared" si="9"/>
        <v>238297</v>
      </c>
      <c r="P24" s="201">
        <f t="shared" si="9"/>
        <v>123110</v>
      </c>
      <c r="Q24" s="201">
        <f t="shared" si="9"/>
        <v>3894</v>
      </c>
      <c r="R24" s="201">
        <f t="shared" si="9"/>
        <v>0</v>
      </c>
      <c r="S24" s="201">
        <f t="shared" si="9"/>
        <v>0</v>
      </c>
      <c r="T24" s="201">
        <f t="shared" si="9"/>
        <v>0</v>
      </c>
      <c r="U24" s="201">
        <f t="shared" si="9"/>
        <v>0</v>
      </c>
      <c r="V24" s="201">
        <f t="shared" si="9"/>
        <v>0</v>
      </c>
      <c r="W24" s="201">
        <f t="shared" si="9"/>
        <v>0</v>
      </c>
      <c r="X24" s="201">
        <f t="shared" si="9"/>
        <v>0</v>
      </c>
      <c r="Y24" s="201">
        <f t="shared" si="9"/>
        <v>0</v>
      </c>
      <c r="Z24" s="201">
        <f t="shared" si="9"/>
        <v>0</v>
      </c>
      <c r="AA24" s="201">
        <f t="shared" si="9"/>
        <v>0</v>
      </c>
      <c r="AB24" s="201">
        <f t="shared" si="9"/>
        <v>0</v>
      </c>
      <c r="AC24" s="201">
        <f t="shared" si="9"/>
        <v>0</v>
      </c>
      <c r="AD24" s="201">
        <f t="shared" si="9"/>
        <v>0</v>
      </c>
    </row>
    <row r="25" spans="1:30">
      <c r="C25" s="209"/>
      <c r="D25" s="15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</row>
    <row r="26" spans="1:30">
      <c r="A26" s="387">
        <f>+A24-1</f>
        <v>-13</v>
      </c>
      <c r="C26" s="209" t="s">
        <v>98</v>
      </c>
      <c r="D26" s="201"/>
      <c r="E26" s="201">
        <f t="shared" ref="E26:AD26" si="10">IF(E22+E23&gt;0,HospCap,0)</f>
        <v>661350</v>
      </c>
      <c r="F26" s="201">
        <f t="shared" si="10"/>
        <v>661350</v>
      </c>
      <c r="G26" s="201">
        <f t="shared" si="10"/>
        <v>661350</v>
      </c>
      <c r="H26" s="201">
        <f t="shared" si="10"/>
        <v>661350</v>
      </c>
      <c r="I26" s="201">
        <f t="shared" si="10"/>
        <v>661350</v>
      </c>
      <c r="J26" s="201">
        <f t="shared" si="10"/>
        <v>661350</v>
      </c>
      <c r="K26" s="201">
        <f t="shared" si="10"/>
        <v>661350</v>
      </c>
      <c r="L26" s="201">
        <f t="shared" si="10"/>
        <v>661350</v>
      </c>
      <c r="M26" s="201">
        <f t="shared" si="10"/>
        <v>661350</v>
      </c>
      <c r="N26" s="201">
        <f t="shared" si="10"/>
        <v>661350</v>
      </c>
      <c r="O26" s="201">
        <f t="shared" si="10"/>
        <v>661350</v>
      </c>
      <c r="P26" s="201">
        <f t="shared" si="10"/>
        <v>661350</v>
      </c>
      <c r="Q26" s="201">
        <f t="shared" si="10"/>
        <v>661350</v>
      </c>
      <c r="R26" s="201">
        <f t="shared" si="10"/>
        <v>0</v>
      </c>
      <c r="S26" s="201">
        <f t="shared" si="10"/>
        <v>0</v>
      </c>
      <c r="T26" s="201">
        <f t="shared" si="10"/>
        <v>0</v>
      </c>
      <c r="U26" s="201">
        <f t="shared" si="10"/>
        <v>0</v>
      </c>
      <c r="V26" s="201">
        <f t="shared" si="10"/>
        <v>0</v>
      </c>
      <c r="W26" s="201">
        <f t="shared" si="10"/>
        <v>0</v>
      </c>
      <c r="X26" s="201">
        <f t="shared" si="10"/>
        <v>0</v>
      </c>
      <c r="Y26" s="201">
        <f t="shared" si="10"/>
        <v>0</v>
      </c>
      <c r="Z26" s="201">
        <f t="shared" si="10"/>
        <v>0</v>
      </c>
      <c r="AA26" s="201">
        <f t="shared" si="10"/>
        <v>0</v>
      </c>
      <c r="AB26" s="201">
        <f t="shared" si="10"/>
        <v>0</v>
      </c>
      <c r="AC26" s="201">
        <f t="shared" si="10"/>
        <v>0</v>
      </c>
      <c r="AD26" s="201">
        <f t="shared" si="10"/>
        <v>0</v>
      </c>
    </row>
    <row r="27" spans="1:30">
      <c r="A27" s="387">
        <f>+A26-1</f>
        <v>-14</v>
      </c>
      <c r="C27" s="209" t="s">
        <v>105</v>
      </c>
      <c r="D27" s="15">
        <f>SUM(E27:AD27)</f>
        <v>868043</v>
      </c>
      <c r="E27" s="201">
        <f t="shared" ref="E27:AD27" si="11">MAX(0,E24-E26)</f>
        <v>0</v>
      </c>
      <c r="F27" s="201">
        <f t="shared" si="11"/>
        <v>0</v>
      </c>
      <c r="G27" s="201">
        <f t="shared" si="11"/>
        <v>0</v>
      </c>
      <c r="H27" s="201">
        <f t="shared" si="11"/>
        <v>0</v>
      </c>
      <c r="I27" s="201">
        <f t="shared" si="11"/>
        <v>149392</v>
      </c>
      <c r="J27" s="201">
        <f t="shared" si="11"/>
        <v>277353</v>
      </c>
      <c r="K27" s="201">
        <f t="shared" si="11"/>
        <v>281453</v>
      </c>
      <c r="L27" s="201">
        <f t="shared" si="11"/>
        <v>159845</v>
      </c>
      <c r="M27" s="201">
        <f t="shared" si="11"/>
        <v>0</v>
      </c>
      <c r="N27" s="201">
        <f t="shared" si="11"/>
        <v>0</v>
      </c>
      <c r="O27" s="201">
        <f t="shared" si="11"/>
        <v>0</v>
      </c>
      <c r="P27" s="201">
        <f t="shared" si="11"/>
        <v>0</v>
      </c>
      <c r="Q27" s="201">
        <f t="shared" si="11"/>
        <v>0</v>
      </c>
      <c r="R27" s="201">
        <f t="shared" si="11"/>
        <v>0</v>
      </c>
      <c r="S27" s="201">
        <f t="shared" si="11"/>
        <v>0</v>
      </c>
      <c r="T27" s="201">
        <f t="shared" si="11"/>
        <v>0</v>
      </c>
      <c r="U27" s="201">
        <f t="shared" si="11"/>
        <v>0</v>
      </c>
      <c r="V27" s="201">
        <f t="shared" si="11"/>
        <v>0</v>
      </c>
      <c r="W27" s="201">
        <f t="shared" si="11"/>
        <v>0</v>
      </c>
      <c r="X27" s="201">
        <f t="shared" si="11"/>
        <v>0</v>
      </c>
      <c r="Y27" s="201">
        <f t="shared" si="11"/>
        <v>0</v>
      </c>
      <c r="Z27" s="201">
        <f t="shared" si="11"/>
        <v>0</v>
      </c>
      <c r="AA27" s="201">
        <f t="shared" si="11"/>
        <v>0</v>
      </c>
      <c r="AB27" s="201">
        <f t="shared" si="11"/>
        <v>0</v>
      </c>
      <c r="AC27" s="201">
        <f t="shared" si="11"/>
        <v>0</v>
      </c>
      <c r="AD27" s="201">
        <f t="shared" si="11"/>
        <v>0</v>
      </c>
    </row>
    <row r="28" spans="1:30">
      <c r="A28" s="387">
        <f>+A27-1</f>
        <v>-15</v>
      </c>
      <c r="C28" s="209" t="s">
        <v>114</v>
      </c>
      <c r="D28" s="213">
        <f>ACFPhys</f>
        <v>0.04</v>
      </c>
      <c r="E28" s="15">
        <f t="shared" ref="E28:N29" si="12">ROUND($D28*E$27,0)</f>
        <v>0</v>
      </c>
      <c r="F28" s="15">
        <f t="shared" si="12"/>
        <v>0</v>
      </c>
      <c r="G28" s="15">
        <f t="shared" si="12"/>
        <v>0</v>
      </c>
      <c r="H28" s="15">
        <f t="shared" si="12"/>
        <v>0</v>
      </c>
      <c r="I28" s="15">
        <f t="shared" si="12"/>
        <v>5976</v>
      </c>
      <c r="J28" s="15">
        <f t="shared" si="12"/>
        <v>11094</v>
      </c>
      <c r="K28" s="15">
        <f t="shared" si="12"/>
        <v>11258</v>
      </c>
      <c r="L28" s="15">
        <f t="shared" si="12"/>
        <v>6394</v>
      </c>
      <c r="M28" s="15">
        <f t="shared" si="12"/>
        <v>0</v>
      </c>
      <c r="N28" s="15">
        <f t="shared" si="12"/>
        <v>0</v>
      </c>
      <c r="O28" s="15">
        <f t="shared" ref="O28:X29" si="13">ROUND($D28*O$27,0)</f>
        <v>0</v>
      </c>
      <c r="P28" s="15">
        <f t="shared" si="13"/>
        <v>0</v>
      </c>
      <c r="Q28" s="15">
        <f t="shared" si="13"/>
        <v>0</v>
      </c>
      <c r="R28" s="15">
        <f t="shared" si="13"/>
        <v>0</v>
      </c>
      <c r="S28" s="15">
        <f t="shared" si="13"/>
        <v>0</v>
      </c>
      <c r="T28" s="15">
        <f t="shared" si="13"/>
        <v>0</v>
      </c>
      <c r="U28" s="15">
        <f t="shared" si="13"/>
        <v>0</v>
      </c>
      <c r="V28" s="15">
        <f t="shared" si="13"/>
        <v>0</v>
      </c>
      <c r="W28" s="15">
        <f t="shared" si="13"/>
        <v>0</v>
      </c>
      <c r="X28" s="15">
        <f t="shared" si="13"/>
        <v>0</v>
      </c>
      <c r="Y28" s="15">
        <f t="shared" ref="Y28:AD29" si="14">ROUND($D28*Y$27,0)</f>
        <v>0</v>
      </c>
      <c r="Z28" s="15">
        <f t="shared" si="14"/>
        <v>0</v>
      </c>
      <c r="AA28" s="15">
        <f t="shared" si="14"/>
        <v>0</v>
      </c>
      <c r="AB28" s="15">
        <f t="shared" si="14"/>
        <v>0</v>
      </c>
      <c r="AC28" s="15">
        <f t="shared" si="14"/>
        <v>0</v>
      </c>
      <c r="AD28" s="15">
        <f t="shared" si="14"/>
        <v>0</v>
      </c>
    </row>
    <row r="29" spans="1:30">
      <c r="A29" s="387">
        <f>+A28-1</f>
        <v>-16</v>
      </c>
      <c r="C29" s="209" t="s">
        <v>112</v>
      </c>
      <c r="D29" s="213">
        <f>ACFNurse</f>
        <v>0.46</v>
      </c>
      <c r="E29" s="15">
        <f t="shared" si="12"/>
        <v>0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68720</v>
      </c>
      <c r="J29" s="15">
        <f t="shared" si="12"/>
        <v>127582</v>
      </c>
      <c r="K29" s="15">
        <f t="shared" si="12"/>
        <v>129468</v>
      </c>
      <c r="L29" s="15">
        <f t="shared" si="12"/>
        <v>73529</v>
      </c>
      <c r="M29" s="15">
        <f t="shared" si="12"/>
        <v>0</v>
      </c>
      <c r="N29" s="15">
        <f t="shared" si="12"/>
        <v>0</v>
      </c>
      <c r="O29" s="15">
        <f t="shared" si="13"/>
        <v>0</v>
      </c>
      <c r="P29" s="15">
        <f t="shared" si="13"/>
        <v>0</v>
      </c>
      <c r="Q29" s="15">
        <f t="shared" si="13"/>
        <v>0</v>
      </c>
      <c r="R29" s="15">
        <f t="shared" si="13"/>
        <v>0</v>
      </c>
      <c r="S29" s="15">
        <f t="shared" si="13"/>
        <v>0</v>
      </c>
      <c r="T29" s="15">
        <f t="shared" si="13"/>
        <v>0</v>
      </c>
      <c r="U29" s="15">
        <f t="shared" si="13"/>
        <v>0</v>
      </c>
      <c r="V29" s="15">
        <f t="shared" si="13"/>
        <v>0</v>
      </c>
      <c r="W29" s="15">
        <f t="shared" si="13"/>
        <v>0</v>
      </c>
      <c r="X29" s="15">
        <f t="shared" si="13"/>
        <v>0</v>
      </c>
      <c r="Y29" s="15">
        <f t="shared" si="14"/>
        <v>0</v>
      </c>
      <c r="Z29" s="15">
        <f t="shared" si="14"/>
        <v>0</v>
      </c>
      <c r="AA29" s="15">
        <f t="shared" si="14"/>
        <v>0</v>
      </c>
      <c r="AB29" s="15">
        <f t="shared" si="14"/>
        <v>0</v>
      </c>
      <c r="AC29" s="15">
        <f t="shared" si="14"/>
        <v>0</v>
      </c>
      <c r="AD29" s="15">
        <f t="shared" si="14"/>
        <v>0</v>
      </c>
    </row>
    <row r="30" spans="1:30">
      <c r="C30" s="209"/>
      <c r="D30" s="21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>
      <c r="C31" s="164" t="s">
        <v>115</v>
      </c>
    </row>
    <row r="32" spans="1:30">
      <c r="A32" s="387">
        <f>+A29-1</f>
        <v>-17</v>
      </c>
      <c r="C32" s="166" t="s">
        <v>116</v>
      </c>
      <c r="D32" s="113">
        <f>Physicians</f>
        <v>966000</v>
      </c>
      <c r="E32" s="15">
        <f t="shared" ref="E32:N33" si="15">+$D32</f>
        <v>966000</v>
      </c>
      <c r="F32" s="15">
        <f t="shared" si="15"/>
        <v>966000</v>
      </c>
      <c r="G32" s="15">
        <f t="shared" si="15"/>
        <v>966000</v>
      </c>
      <c r="H32" s="15">
        <f t="shared" si="15"/>
        <v>966000</v>
      </c>
      <c r="I32" s="15">
        <f t="shared" si="15"/>
        <v>966000</v>
      </c>
      <c r="J32" s="15">
        <f t="shared" si="15"/>
        <v>966000</v>
      </c>
      <c r="K32" s="15">
        <f t="shared" si="15"/>
        <v>966000</v>
      </c>
      <c r="L32" s="15">
        <f t="shared" si="15"/>
        <v>966000</v>
      </c>
      <c r="M32" s="15">
        <f t="shared" si="15"/>
        <v>966000</v>
      </c>
      <c r="N32" s="15">
        <f t="shared" si="15"/>
        <v>966000</v>
      </c>
      <c r="O32" s="15">
        <f t="shared" ref="O32:X33" si="16">+$D32</f>
        <v>966000</v>
      </c>
      <c r="P32" s="15">
        <f t="shared" si="16"/>
        <v>966000</v>
      </c>
      <c r="Q32" s="15">
        <f t="shared" si="16"/>
        <v>966000</v>
      </c>
      <c r="R32" s="15">
        <f t="shared" si="16"/>
        <v>966000</v>
      </c>
      <c r="S32" s="15">
        <f t="shared" si="16"/>
        <v>966000</v>
      </c>
      <c r="T32" s="15">
        <f t="shared" si="16"/>
        <v>966000</v>
      </c>
      <c r="U32" s="15">
        <f t="shared" si="16"/>
        <v>966000</v>
      </c>
      <c r="V32" s="15">
        <f t="shared" si="16"/>
        <v>966000</v>
      </c>
      <c r="W32" s="15">
        <f t="shared" si="16"/>
        <v>966000</v>
      </c>
      <c r="X32" s="15">
        <f t="shared" si="16"/>
        <v>966000</v>
      </c>
      <c r="Y32" s="15">
        <f t="shared" ref="Y32:AD33" si="17">+$D32</f>
        <v>966000</v>
      </c>
      <c r="Z32" s="15">
        <f t="shared" si="17"/>
        <v>966000</v>
      </c>
      <c r="AA32" s="15">
        <f t="shared" si="17"/>
        <v>966000</v>
      </c>
      <c r="AB32" s="15">
        <f t="shared" si="17"/>
        <v>966000</v>
      </c>
      <c r="AC32" s="15">
        <f t="shared" si="17"/>
        <v>966000</v>
      </c>
      <c r="AD32" s="15">
        <f t="shared" si="17"/>
        <v>966000</v>
      </c>
    </row>
    <row r="33" spans="1:30">
      <c r="A33" s="387">
        <f t="shared" ref="A33:A38" si="18">+A32-1</f>
        <v>-18</v>
      </c>
      <c r="C33" s="166" t="s">
        <v>287</v>
      </c>
      <c r="D33" s="113">
        <f>PhysHosp</f>
        <v>225000</v>
      </c>
      <c r="E33" s="15">
        <f t="shared" si="15"/>
        <v>225000</v>
      </c>
      <c r="F33" s="15">
        <f t="shared" si="15"/>
        <v>225000</v>
      </c>
      <c r="G33" s="15">
        <f t="shared" si="15"/>
        <v>225000</v>
      </c>
      <c r="H33" s="15">
        <f t="shared" si="15"/>
        <v>225000</v>
      </c>
      <c r="I33" s="15">
        <f t="shared" si="15"/>
        <v>225000</v>
      </c>
      <c r="J33" s="15">
        <f t="shared" si="15"/>
        <v>225000</v>
      </c>
      <c r="K33" s="15">
        <f t="shared" si="15"/>
        <v>225000</v>
      </c>
      <c r="L33" s="15">
        <f t="shared" si="15"/>
        <v>225000</v>
      </c>
      <c r="M33" s="15">
        <f t="shared" si="15"/>
        <v>225000</v>
      </c>
      <c r="N33" s="15">
        <f t="shared" si="15"/>
        <v>225000</v>
      </c>
      <c r="O33" s="15">
        <f t="shared" si="16"/>
        <v>225000</v>
      </c>
      <c r="P33" s="15">
        <f t="shared" si="16"/>
        <v>225000</v>
      </c>
      <c r="Q33" s="15">
        <f t="shared" si="16"/>
        <v>225000</v>
      </c>
      <c r="R33" s="15">
        <f t="shared" si="16"/>
        <v>225000</v>
      </c>
      <c r="S33" s="15">
        <f t="shared" si="16"/>
        <v>225000</v>
      </c>
      <c r="T33" s="15">
        <f t="shared" si="16"/>
        <v>225000</v>
      </c>
      <c r="U33" s="15">
        <f t="shared" si="16"/>
        <v>225000</v>
      </c>
      <c r="V33" s="15">
        <f t="shared" si="16"/>
        <v>225000</v>
      </c>
      <c r="W33" s="15">
        <f t="shared" si="16"/>
        <v>225000</v>
      </c>
      <c r="X33" s="15">
        <f t="shared" si="16"/>
        <v>225000</v>
      </c>
      <c r="Y33" s="15">
        <f t="shared" si="17"/>
        <v>225000</v>
      </c>
      <c r="Z33" s="15">
        <f t="shared" si="17"/>
        <v>225000</v>
      </c>
      <c r="AA33" s="15">
        <f t="shared" si="17"/>
        <v>225000</v>
      </c>
      <c r="AB33" s="15">
        <f t="shared" si="17"/>
        <v>225000</v>
      </c>
      <c r="AC33" s="15">
        <f t="shared" si="17"/>
        <v>225000</v>
      </c>
      <c r="AD33" s="15">
        <f t="shared" si="17"/>
        <v>225000</v>
      </c>
    </row>
    <row r="34" spans="1:30">
      <c r="A34" s="387">
        <f t="shared" si="18"/>
        <v>-19</v>
      </c>
      <c r="C34" s="166" t="s">
        <v>105</v>
      </c>
      <c r="D34" s="113"/>
      <c r="E34" s="15">
        <f t="shared" ref="E34:AD34" si="19">+E28</f>
        <v>0</v>
      </c>
      <c r="F34" s="15">
        <f t="shared" si="19"/>
        <v>0</v>
      </c>
      <c r="G34" s="15">
        <f t="shared" si="19"/>
        <v>0</v>
      </c>
      <c r="H34" s="15">
        <f t="shared" si="19"/>
        <v>0</v>
      </c>
      <c r="I34" s="15">
        <f t="shared" si="19"/>
        <v>5976</v>
      </c>
      <c r="J34" s="15">
        <f t="shared" si="19"/>
        <v>11094</v>
      </c>
      <c r="K34" s="15">
        <f t="shared" si="19"/>
        <v>11258</v>
      </c>
      <c r="L34" s="15">
        <f t="shared" si="19"/>
        <v>6394</v>
      </c>
      <c r="M34" s="15">
        <f t="shared" si="19"/>
        <v>0</v>
      </c>
      <c r="N34" s="15">
        <f t="shared" si="19"/>
        <v>0</v>
      </c>
      <c r="O34" s="15">
        <f t="shared" si="19"/>
        <v>0</v>
      </c>
      <c r="P34" s="15">
        <f t="shared" si="19"/>
        <v>0</v>
      </c>
      <c r="Q34" s="15">
        <f t="shared" si="19"/>
        <v>0</v>
      </c>
      <c r="R34" s="15">
        <f t="shared" si="19"/>
        <v>0</v>
      </c>
      <c r="S34" s="15">
        <f t="shared" si="19"/>
        <v>0</v>
      </c>
      <c r="T34" s="15">
        <f t="shared" si="19"/>
        <v>0</v>
      </c>
      <c r="U34" s="15">
        <f t="shared" si="19"/>
        <v>0</v>
      </c>
      <c r="V34" s="15">
        <f t="shared" si="19"/>
        <v>0</v>
      </c>
      <c r="W34" s="15">
        <f t="shared" si="19"/>
        <v>0</v>
      </c>
      <c r="X34" s="15">
        <f t="shared" si="19"/>
        <v>0</v>
      </c>
      <c r="Y34" s="15">
        <f t="shared" si="19"/>
        <v>0</v>
      </c>
      <c r="Z34" s="15">
        <f t="shared" si="19"/>
        <v>0</v>
      </c>
      <c r="AA34" s="15">
        <f t="shared" si="19"/>
        <v>0</v>
      </c>
      <c r="AB34" s="15">
        <f t="shared" si="19"/>
        <v>0</v>
      </c>
      <c r="AC34" s="15">
        <f t="shared" si="19"/>
        <v>0</v>
      </c>
      <c r="AD34" s="15">
        <f t="shared" si="19"/>
        <v>0</v>
      </c>
    </row>
    <row r="35" spans="1:30">
      <c r="A35" s="387">
        <f t="shared" si="18"/>
        <v>-20</v>
      </c>
      <c r="C35" s="166" t="s">
        <v>150</v>
      </c>
      <c r="D35" s="113"/>
      <c r="E35" s="15">
        <f t="shared" ref="E35:AD35" si="20">+E18</f>
        <v>3004</v>
      </c>
      <c r="F35" s="15">
        <f t="shared" si="20"/>
        <v>5850</v>
      </c>
      <c r="G35" s="15">
        <f t="shared" si="20"/>
        <v>10276</v>
      </c>
      <c r="H35" s="15">
        <f t="shared" si="20"/>
        <v>15651</v>
      </c>
      <c r="I35" s="15">
        <f t="shared" si="20"/>
        <v>20552</v>
      </c>
      <c r="J35" s="15">
        <f t="shared" si="20"/>
        <v>23714</v>
      </c>
      <c r="K35" s="15">
        <f t="shared" si="20"/>
        <v>23714</v>
      </c>
      <c r="L35" s="15">
        <f t="shared" si="20"/>
        <v>20552</v>
      </c>
      <c r="M35" s="15">
        <f t="shared" si="20"/>
        <v>15651</v>
      </c>
      <c r="N35" s="15">
        <f t="shared" si="20"/>
        <v>10276</v>
      </c>
      <c r="O35" s="15">
        <f t="shared" si="20"/>
        <v>5850</v>
      </c>
      <c r="P35" s="15">
        <f t="shared" si="20"/>
        <v>3004</v>
      </c>
      <c r="Q35" s="15">
        <f t="shared" si="20"/>
        <v>0</v>
      </c>
      <c r="R35" s="15">
        <f t="shared" si="20"/>
        <v>0</v>
      </c>
      <c r="S35" s="15">
        <f t="shared" si="20"/>
        <v>0</v>
      </c>
      <c r="T35" s="15">
        <f t="shared" si="20"/>
        <v>0</v>
      </c>
      <c r="U35" s="15">
        <f t="shared" si="20"/>
        <v>0</v>
      </c>
      <c r="V35" s="15">
        <f t="shared" si="20"/>
        <v>0</v>
      </c>
      <c r="W35" s="15">
        <f t="shared" si="20"/>
        <v>0</v>
      </c>
      <c r="X35" s="15">
        <f t="shared" si="20"/>
        <v>0</v>
      </c>
      <c r="Y35" s="15">
        <f t="shared" si="20"/>
        <v>0</v>
      </c>
      <c r="Z35" s="15">
        <f t="shared" si="20"/>
        <v>0</v>
      </c>
      <c r="AA35" s="15">
        <f t="shared" si="20"/>
        <v>0</v>
      </c>
      <c r="AB35" s="15">
        <f t="shared" si="20"/>
        <v>0</v>
      </c>
      <c r="AC35" s="15">
        <f t="shared" si="20"/>
        <v>0</v>
      </c>
      <c r="AD35" s="15">
        <f t="shared" si="20"/>
        <v>0</v>
      </c>
    </row>
    <row r="36" spans="1:30">
      <c r="A36" s="387">
        <f t="shared" si="18"/>
        <v>-21</v>
      </c>
      <c r="C36" s="166" t="s">
        <v>134</v>
      </c>
      <c r="D36" s="211">
        <f>CareFactor</f>
        <v>1.5</v>
      </c>
      <c r="E36" s="15">
        <f t="shared" ref="E36:AD36" si="21">+$D$36*E35</f>
        <v>4506</v>
      </c>
      <c r="F36" s="15">
        <f t="shared" si="21"/>
        <v>8775</v>
      </c>
      <c r="G36" s="15">
        <f t="shared" si="21"/>
        <v>15414</v>
      </c>
      <c r="H36" s="15">
        <f t="shared" si="21"/>
        <v>23476.5</v>
      </c>
      <c r="I36" s="15">
        <f t="shared" si="21"/>
        <v>30828</v>
      </c>
      <c r="J36" s="15">
        <f t="shared" si="21"/>
        <v>35571</v>
      </c>
      <c r="K36" s="15">
        <f t="shared" si="21"/>
        <v>35571</v>
      </c>
      <c r="L36" s="15">
        <f t="shared" si="21"/>
        <v>30828</v>
      </c>
      <c r="M36" s="15">
        <f t="shared" si="21"/>
        <v>23476.5</v>
      </c>
      <c r="N36" s="15">
        <f t="shared" si="21"/>
        <v>15414</v>
      </c>
      <c r="O36" s="15">
        <f t="shared" si="21"/>
        <v>8775</v>
      </c>
      <c r="P36" s="15">
        <f t="shared" si="21"/>
        <v>4506</v>
      </c>
      <c r="Q36" s="15">
        <f t="shared" si="21"/>
        <v>0</v>
      </c>
      <c r="R36" s="15">
        <f t="shared" si="21"/>
        <v>0</v>
      </c>
      <c r="S36" s="15">
        <f t="shared" si="21"/>
        <v>0</v>
      </c>
      <c r="T36" s="15">
        <f t="shared" si="21"/>
        <v>0</v>
      </c>
      <c r="U36" s="15">
        <f t="shared" si="21"/>
        <v>0</v>
      </c>
      <c r="V36" s="15">
        <f t="shared" si="21"/>
        <v>0</v>
      </c>
      <c r="W36" s="15">
        <f t="shared" si="21"/>
        <v>0</v>
      </c>
      <c r="X36" s="15">
        <f t="shared" si="21"/>
        <v>0</v>
      </c>
      <c r="Y36" s="15">
        <f t="shared" si="21"/>
        <v>0</v>
      </c>
      <c r="Z36" s="15">
        <f t="shared" si="21"/>
        <v>0</v>
      </c>
      <c r="AA36" s="15">
        <f t="shared" si="21"/>
        <v>0</v>
      </c>
      <c r="AB36" s="15">
        <f t="shared" si="21"/>
        <v>0</v>
      </c>
      <c r="AC36" s="15">
        <f t="shared" si="21"/>
        <v>0</v>
      </c>
      <c r="AD36" s="15">
        <f t="shared" si="21"/>
        <v>0</v>
      </c>
    </row>
    <row r="37" spans="1:30">
      <c r="A37" s="387">
        <f t="shared" si="18"/>
        <v>-22</v>
      </c>
      <c r="C37" s="166" t="s">
        <v>119</v>
      </c>
      <c r="D37" s="113"/>
      <c r="E37" s="15">
        <f t="shared" ref="E37:AD37" si="22">E32-SUM(E33:E36)</f>
        <v>733490</v>
      </c>
      <c r="F37" s="15">
        <f t="shared" si="22"/>
        <v>726375</v>
      </c>
      <c r="G37" s="15">
        <f t="shared" si="22"/>
        <v>715310</v>
      </c>
      <c r="H37" s="15">
        <f t="shared" si="22"/>
        <v>701872.5</v>
      </c>
      <c r="I37" s="15">
        <f t="shared" si="22"/>
        <v>683644</v>
      </c>
      <c r="J37" s="15">
        <f t="shared" si="22"/>
        <v>670621</v>
      </c>
      <c r="K37" s="15">
        <f t="shared" si="22"/>
        <v>670457</v>
      </c>
      <c r="L37" s="15">
        <f t="shared" si="22"/>
        <v>683226</v>
      </c>
      <c r="M37" s="15">
        <f t="shared" si="22"/>
        <v>701872.5</v>
      </c>
      <c r="N37" s="15">
        <f t="shared" si="22"/>
        <v>715310</v>
      </c>
      <c r="O37" s="15">
        <f t="shared" si="22"/>
        <v>726375</v>
      </c>
      <c r="P37" s="15">
        <f t="shared" si="22"/>
        <v>733490</v>
      </c>
      <c r="Q37" s="15">
        <f t="shared" si="22"/>
        <v>741000</v>
      </c>
      <c r="R37" s="15">
        <f t="shared" si="22"/>
        <v>741000</v>
      </c>
      <c r="S37" s="15">
        <f t="shared" si="22"/>
        <v>741000</v>
      </c>
      <c r="T37" s="15">
        <f t="shared" si="22"/>
        <v>741000</v>
      </c>
      <c r="U37" s="15">
        <f t="shared" si="22"/>
        <v>741000</v>
      </c>
      <c r="V37" s="15">
        <f t="shared" si="22"/>
        <v>741000</v>
      </c>
      <c r="W37" s="15">
        <f t="shared" si="22"/>
        <v>741000</v>
      </c>
      <c r="X37" s="15">
        <f t="shared" si="22"/>
        <v>741000</v>
      </c>
      <c r="Y37" s="15">
        <f t="shared" si="22"/>
        <v>741000</v>
      </c>
      <c r="Z37" s="15">
        <f t="shared" si="22"/>
        <v>741000</v>
      </c>
      <c r="AA37" s="15">
        <f t="shared" si="22"/>
        <v>741000</v>
      </c>
      <c r="AB37" s="15">
        <f t="shared" si="22"/>
        <v>741000</v>
      </c>
      <c r="AC37" s="15">
        <f t="shared" si="22"/>
        <v>741000</v>
      </c>
      <c r="AD37" s="15">
        <f t="shared" si="22"/>
        <v>741000</v>
      </c>
    </row>
    <row r="38" spans="1:30">
      <c r="A38" s="387">
        <f t="shared" si="18"/>
        <v>-23</v>
      </c>
      <c r="C38" s="166" t="s">
        <v>126</v>
      </c>
      <c r="D38" s="113"/>
      <c r="E38" s="214">
        <f t="shared" ref="E38:AD38" si="23">ROUND(E15/E37,1)</f>
        <v>4</v>
      </c>
      <c r="F38" s="349">
        <f t="shared" si="23"/>
        <v>14</v>
      </c>
      <c r="G38" s="349">
        <f t="shared" si="23"/>
        <v>8.6</v>
      </c>
      <c r="H38" s="349">
        <f t="shared" si="23"/>
        <v>6.3</v>
      </c>
      <c r="I38" s="214">
        <f t="shared" si="23"/>
        <v>4.9000000000000004</v>
      </c>
      <c r="J38" s="214">
        <f t="shared" si="23"/>
        <v>4</v>
      </c>
      <c r="K38" s="214">
        <f t="shared" si="23"/>
        <v>3.3</v>
      </c>
      <c r="L38" s="214">
        <f t="shared" si="23"/>
        <v>2.8</v>
      </c>
      <c r="M38" s="214">
        <f t="shared" si="23"/>
        <v>2.2999999999999998</v>
      </c>
      <c r="N38" s="214">
        <f t="shared" si="23"/>
        <v>2</v>
      </c>
      <c r="O38" s="214">
        <f t="shared" si="23"/>
        <v>1.7</v>
      </c>
      <c r="P38" s="214">
        <f t="shared" si="23"/>
        <v>1.5</v>
      </c>
      <c r="Q38" s="214">
        <f t="shared" si="23"/>
        <v>0</v>
      </c>
      <c r="R38" s="214">
        <f t="shared" si="23"/>
        <v>0</v>
      </c>
      <c r="S38" s="214">
        <f t="shared" si="23"/>
        <v>0</v>
      </c>
      <c r="T38" s="214">
        <f t="shared" si="23"/>
        <v>0</v>
      </c>
      <c r="U38" s="214">
        <f t="shared" si="23"/>
        <v>0</v>
      </c>
      <c r="V38" s="214">
        <f t="shared" si="23"/>
        <v>0</v>
      </c>
      <c r="W38" s="214">
        <f t="shared" si="23"/>
        <v>0</v>
      </c>
      <c r="X38" s="214">
        <f t="shared" si="23"/>
        <v>0</v>
      </c>
      <c r="Y38" s="214">
        <f t="shared" si="23"/>
        <v>0</v>
      </c>
      <c r="Z38" s="214">
        <f t="shared" si="23"/>
        <v>0</v>
      </c>
      <c r="AA38" s="214">
        <f t="shared" si="23"/>
        <v>0</v>
      </c>
      <c r="AB38" s="214">
        <f t="shared" si="23"/>
        <v>0</v>
      </c>
      <c r="AC38" s="214">
        <f t="shared" si="23"/>
        <v>0</v>
      </c>
      <c r="AD38" s="214">
        <f t="shared" si="23"/>
        <v>0</v>
      </c>
    </row>
    <row r="39" spans="1:30">
      <c r="C39" s="166"/>
      <c r="D39" s="1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</row>
    <row r="40" spans="1:30">
      <c r="C40" s="164" t="s">
        <v>113</v>
      </c>
      <c r="D40" s="113"/>
    </row>
    <row r="41" spans="1:30">
      <c r="A41" s="387">
        <f>+A38-1</f>
        <v>-24</v>
      </c>
      <c r="C41" s="166" t="s">
        <v>120</v>
      </c>
      <c r="D41" s="113">
        <f>Nurses</f>
        <v>2750000</v>
      </c>
      <c r="E41" s="15">
        <f t="shared" ref="E41:N42" si="24">+$D41</f>
        <v>2750000</v>
      </c>
      <c r="F41" s="15">
        <f t="shared" si="24"/>
        <v>2750000</v>
      </c>
      <c r="G41" s="15">
        <f t="shared" si="24"/>
        <v>2750000</v>
      </c>
      <c r="H41" s="15">
        <f t="shared" si="24"/>
        <v>2750000</v>
      </c>
      <c r="I41" s="15">
        <f t="shared" si="24"/>
        <v>2750000</v>
      </c>
      <c r="J41" s="15">
        <f t="shared" si="24"/>
        <v>2750000</v>
      </c>
      <c r="K41" s="15">
        <f t="shared" si="24"/>
        <v>2750000</v>
      </c>
      <c r="L41" s="15">
        <f t="shared" si="24"/>
        <v>2750000</v>
      </c>
      <c r="M41" s="15">
        <f t="shared" si="24"/>
        <v>2750000</v>
      </c>
      <c r="N41" s="15">
        <f t="shared" si="24"/>
        <v>2750000</v>
      </c>
      <c r="O41" s="15">
        <f t="shared" ref="O41:X42" si="25">+$D41</f>
        <v>2750000</v>
      </c>
      <c r="P41" s="15">
        <f t="shared" si="25"/>
        <v>2750000</v>
      </c>
      <c r="Q41" s="15">
        <f t="shared" si="25"/>
        <v>2750000</v>
      </c>
      <c r="R41" s="15">
        <f t="shared" si="25"/>
        <v>2750000</v>
      </c>
      <c r="S41" s="15">
        <f t="shared" si="25"/>
        <v>2750000</v>
      </c>
      <c r="T41" s="15">
        <f t="shared" si="25"/>
        <v>2750000</v>
      </c>
      <c r="U41" s="15">
        <f t="shared" si="25"/>
        <v>2750000</v>
      </c>
      <c r="V41" s="15">
        <f t="shared" si="25"/>
        <v>2750000</v>
      </c>
      <c r="W41" s="15">
        <f t="shared" si="25"/>
        <v>2750000</v>
      </c>
      <c r="X41" s="15">
        <f t="shared" si="25"/>
        <v>2750000</v>
      </c>
      <c r="Y41" s="15">
        <f t="shared" ref="Y41:AD42" si="26">+$D41</f>
        <v>2750000</v>
      </c>
      <c r="Z41" s="15">
        <f t="shared" si="26"/>
        <v>2750000</v>
      </c>
      <c r="AA41" s="15">
        <f t="shared" si="26"/>
        <v>2750000</v>
      </c>
      <c r="AB41" s="15">
        <f t="shared" si="26"/>
        <v>2750000</v>
      </c>
      <c r="AC41" s="15">
        <f t="shared" si="26"/>
        <v>2750000</v>
      </c>
      <c r="AD41" s="15">
        <f t="shared" si="26"/>
        <v>2750000</v>
      </c>
    </row>
    <row r="42" spans="1:30">
      <c r="A42" s="387">
        <f t="shared" ref="A42:A47" si="27">+A41-1</f>
        <v>-25</v>
      </c>
      <c r="C42" s="166" t="s">
        <v>117</v>
      </c>
      <c r="D42" s="113">
        <f>NurseHosp</f>
        <v>1370000</v>
      </c>
      <c r="E42" s="15">
        <f t="shared" si="24"/>
        <v>1370000</v>
      </c>
      <c r="F42" s="15">
        <f t="shared" si="24"/>
        <v>1370000</v>
      </c>
      <c r="G42" s="15">
        <f t="shared" si="24"/>
        <v>1370000</v>
      </c>
      <c r="H42" s="15">
        <f t="shared" si="24"/>
        <v>1370000</v>
      </c>
      <c r="I42" s="15">
        <f t="shared" si="24"/>
        <v>1370000</v>
      </c>
      <c r="J42" s="15">
        <f t="shared" si="24"/>
        <v>1370000</v>
      </c>
      <c r="K42" s="15">
        <f t="shared" si="24"/>
        <v>1370000</v>
      </c>
      <c r="L42" s="15">
        <f t="shared" si="24"/>
        <v>1370000</v>
      </c>
      <c r="M42" s="15">
        <f t="shared" si="24"/>
        <v>1370000</v>
      </c>
      <c r="N42" s="15">
        <f t="shared" si="24"/>
        <v>1370000</v>
      </c>
      <c r="O42" s="15">
        <f t="shared" si="25"/>
        <v>1370000</v>
      </c>
      <c r="P42" s="15">
        <f t="shared" si="25"/>
        <v>1370000</v>
      </c>
      <c r="Q42" s="15">
        <f t="shared" si="25"/>
        <v>1370000</v>
      </c>
      <c r="R42" s="15">
        <f t="shared" si="25"/>
        <v>1370000</v>
      </c>
      <c r="S42" s="15">
        <f t="shared" si="25"/>
        <v>1370000</v>
      </c>
      <c r="T42" s="15">
        <f t="shared" si="25"/>
        <v>1370000</v>
      </c>
      <c r="U42" s="15">
        <f t="shared" si="25"/>
        <v>1370000</v>
      </c>
      <c r="V42" s="15">
        <f t="shared" si="25"/>
        <v>1370000</v>
      </c>
      <c r="W42" s="15">
        <f t="shared" si="25"/>
        <v>1370000</v>
      </c>
      <c r="X42" s="15">
        <f t="shared" si="25"/>
        <v>1370000</v>
      </c>
      <c r="Y42" s="15">
        <f t="shared" si="26"/>
        <v>1370000</v>
      </c>
      <c r="Z42" s="15">
        <f t="shared" si="26"/>
        <v>1370000</v>
      </c>
      <c r="AA42" s="15">
        <f t="shared" si="26"/>
        <v>1370000</v>
      </c>
      <c r="AB42" s="15">
        <f t="shared" si="26"/>
        <v>1370000</v>
      </c>
      <c r="AC42" s="15">
        <f t="shared" si="26"/>
        <v>1370000</v>
      </c>
      <c r="AD42" s="15">
        <f t="shared" si="26"/>
        <v>1370000</v>
      </c>
    </row>
    <row r="43" spans="1:30">
      <c r="A43" s="387">
        <f t="shared" si="27"/>
        <v>-26</v>
      </c>
      <c r="C43" s="166" t="s">
        <v>118</v>
      </c>
      <c r="D43" s="113"/>
      <c r="E43" s="15">
        <f t="shared" ref="E43:AD43" si="28">+E29</f>
        <v>0</v>
      </c>
      <c r="F43" s="15">
        <f t="shared" si="28"/>
        <v>0</v>
      </c>
      <c r="G43" s="15">
        <f t="shared" si="28"/>
        <v>0</v>
      </c>
      <c r="H43" s="15">
        <f t="shared" si="28"/>
        <v>0</v>
      </c>
      <c r="I43" s="15">
        <f t="shared" si="28"/>
        <v>68720</v>
      </c>
      <c r="J43" s="15">
        <f t="shared" si="28"/>
        <v>127582</v>
      </c>
      <c r="K43" s="15">
        <f t="shared" si="28"/>
        <v>129468</v>
      </c>
      <c r="L43" s="15">
        <f t="shared" si="28"/>
        <v>73529</v>
      </c>
      <c r="M43" s="15">
        <f t="shared" si="28"/>
        <v>0</v>
      </c>
      <c r="N43" s="15">
        <f t="shared" si="28"/>
        <v>0</v>
      </c>
      <c r="O43" s="15">
        <f t="shared" si="28"/>
        <v>0</v>
      </c>
      <c r="P43" s="15">
        <f t="shared" si="28"/>
        <v>0</v>
      </c>
      <c r="Q43" s="15">
        <f t="shared" si="28"/>
        <v>0</v>
      </c>
      <c r="R43" s="15">
        <f t="shared" si="28"/>
        <v>0</v>
      </c>
      <c r="S43" s="15">
        <f t="shared" si="28"/>
        <v>0</v>
      </c>
      <c r="T43" s="15">
        <f t="shared" si="28"/>
        <v>0</v>
      </c>
      <c r="U43" s="15">
        <f t="shared" si="28"/>
        <v>0</v>
      </c>
      <c r="V43" s="15">
        <f t="shared" si="28"/>
        <v>0</v>
      </c>
      <c r="W43" s="15">
        <f t="shared" si="28"/>
        <v>0</v>
      </c>
      <c r="X43" s="15">
        <f t="shared" si="28"/>
        <v>0</v>
      </c>
      <c r="Y43" s="15">
        <f t="shared" si="28"/>
        <v>0</v>
      </c>
      <c r="Z43" s="15">
        <f t="shared" si="28"/>
        <v>0</v>
      </c>
      <c r="AA43" s="15">
        <f t="shared" si="28"/>
        <v>0</v>
      </c>
      <c r="AB43" s="15">
        <f t="shared" si="28"/>
        <v>0</v>
      </c>
      <c r="AC43" s="15">
        <f t="shared" si="28"/>
        <v>0</v>
      </c>
      <c r="AD43" s="15">
        <f t="shared" si="28"/>
        <v>0</v>
      </c>
    </row>
    <row r="44" spans="1:30">
      <c r="A44" s="387">
        <f t="shared" si="27"/>
        <v>-27</v>
      </c>
      <c r="C44" s="166" t="s">
        <v>151</v>
      </c>
      <c r="D44" s="113"/>
      <c r="E44" s="15">
        <f t="shared" ref="E44:AD44" si="29">+E19</f>
        <v>8551</v>
      </c>
      <c r="F44" s="15">
        <f t="shared" si="29"/>
        <v>16652</v>
      </c>
      <c r="G44" s="15">
        <f t="shared" si="29"/>
        <v>29254</v>
      </c>
      <c r="H44" s="15">
        <f t="shared" si="29"/>
        <v>44556</v>
      </c>
      <c r="I44" s="15">
        <f t="shared" si="29"/>
        <v>58508</v>
      </c>
      <c r="J44" s="15">
        <f t="shared" si="29"/>
        <v>67510</v>
      </c>
      <c r="K44" s="15">
        <f t="shared" si="29"/>
        <v>67510</v>
      </c>
      <c r="L44" s="15">
        <f t="shared" si="29"/>
        <v>58508</v>
      </c>
      <c r="M44" s="15">
        <f t="shared" si="29"/>
        <v>44556</v>
      </c>
      <c r="N44" s="15">
        <f t="shared" si="29"/>
        <v>29254</v>
      </c>
      <c r="O44" s="15">
        <f t="shared" si="29"/>
        <v>16652</v>
      </c>
      <c r="P44" s="15">
        <f t="shared" si="29"/>
        <v>8551</v>
      </c>
      <c r="Q44" s="15">
        <f t="shared" si="29"/>
        <v>0</v>
      </c>
      <c r="R44" s="15">
        <f t="shared" si="29"/>
        <v>0</v>
      </c>
      <c r="S44" s="15">
        <f t="shared" si="29"/>
        <v>0</v>
      </c>
      <c r="T44" s="15">
        <f t="shared" si="29"/>
        <v>0</v>
      </c>
      <c r="U44" s="15">
        <f t="shared" si="29"/>
        <v>0</v>
      </c>
      <c r="V44" s="15">
        <f t="shared" si="29"/>
        <v>0</v>
      </c>
      <c r="W44" s="15">
        <f t="shared" si="29"/>
        <v>0</v>
      </c>
      <c r="X44" s="15">
        <f t="shared" si="29"/>
        <v>0</v>
      </c>
      <c r="Y44" s="15">
        <f t="shared" si="29"/>
        <v>0</v>
      </c>
      <c r="Z44" s="15">
        <f t="shared" si="29"/>
        <v>0</v>
      </c>
      <c r="AA44" s="15">
        <f t="shared" si="29"/>
        <v>0</v>
      </c>
      <c r="AB44" s="15">
        <f t="shared" si="29"/>
        <v>0</v>
      </c>
      <c r="AC44" s="15">
        <f t="shared" si="29"/>
        <v>0</v>
      </c>
      <c r="AD44" s="15">
        <f t="shared" si="29"/>
        <v>0</v>
      </c>
    </row>
    <row r="45" spans="1:30">
      <c r="A45" s="387">
        <f t="shared" si="27"/>
        <v>-28</v>
      </c>
      <c r="C45" s="166" t="s">
        <v>134</v>
      </c>
      <c r="D45" s="211">
        <f>CareFactor</f>
        <v>1.5</v>
      </c>
      <c r="E45" s="15">
        <f t="shared" ref="E45:AD45" si="30">ROUND(E44*$D$45,0)</f>
        <v>12827</v>
      </c>
      <c r="F45" s="15">
        <f t="shared" si="30"/>
        <v>24978</v>
      </c>
      <c r="G45" s="15">
        <f t="shared" si="30"/>
        <v>43881</v>
      </c>
      <c r="H45" s="15">
        <f t="shared" si="30"/>
        <v>66834</v>
      </c>
      <c r="I45" s="15">
        <f t="shared" si="30"/>
        <v>87762</v>
      </c>
      <c r="J45" s="15">
        <f t="shared" si="30"/>
        <v>101265</v>
      </c>
      <c r="K45" s="15">
        <f t="shared" si="30"/>
        <v>101265</v>
      </c>
      <c r="L45" s="15">
        <f t="shared" si="30"/>
        <v>87762</v>
      </c>
      <c r="M45" s="15">
        <f t="shared" si="30"/>
        <v>66834</v>
      </c>
      <c r="N45" s="15">
        <f t="shared" si="30"/>
        <v>43881</v>
      </c>
      <c r="O45" s="15">
        <f t="shared" si="30"/>
        <v>24978</v>
      </c>
      <c r="P45" s="15">
        <f t="shared" si="30"/>
        <v>12827</v>
      </c>
      <c r="Q45" s="15">
        <f t="shared" si="30"/>
        <v>0</v>
      </c>
      <c r="R45" s="15">
        <f t="shared" si="30"/>
        <v>0</v>
      </c>
      <c r="S45" s="15">
        <f t="shared" si="30"/>
        <v>0</v>
      </c>
      <c r="T45" s="15">
        <f t="shared" si="30"/>
        <v>0</v>
      </c>
      <c r="U45" s="15">
        <f t="shared" si="30"/>
        <v>0</v>
      </c>
      <c r="V45" s="15">
        <f t="shared" si="30"/>
        <v>0</v>
      </c>
      <c r="W45" s="15">
        <f t="shared" si="30"/>
        <v>0</v>
      </c>
      <c r="X45" s="15">
        <f t="shared" si="30"/>
        <v>0</v>
      </c>
      <c r="Y45" s="15">
        <f t="shared" si="30"/>
        <v>0</v>
      </c>
      <c r="Z45" s="15">
        <f t="shared" si="30"/>
        <v>0</v>
      </c>
      <c r="AA45" s="15">
        <f t="shared" si="30"/>
        <v>0</v>
      </c>
      <c r="AB45" s="15">
        <f t="shared" si="30"/>
        <v>0</v>
      </c>
      <c r="AC45" s="15">
        <f t="shared" si="30"/>
        <v>0</v>
      </c>
      <c r="AD45" s="15">
        <f t="shared" si="30"/>
        <v>0</v>
      </c>
    </row>
    <row r="46" spans="1:30">
      <c r="A46" s="387">
        <f t="shared" si="27"/>
        <v>-29</v>
      </c>
      <c r="C46" s="166" t="s">
        <v>121</v>
      </c>
      <c r="D46" s="113"/>
      <c r="E46" s="15">
        <f t="shared" ref="E46:AD46" si="31">E41-SUM(E42:E45)</f>
        <v>1358622</v>
      </c>
      <c r="F46" s="15">
        <f t="shared" si="31"/>
        <v>1338370</v>
      </c>
      <c r="G46" s="15">
        <f t="shared" si="31"/>
        <v>1306865</v>
      </c>
      <c r="H46" s="15">
        <f t="shared" si="31"/>
        <v>1268610</v>
      </c>
      <c r="I46" s="15">
        <f t="shared" si="31"/>
        <v>1165010</v>
      </c>
      <c r="J46" s="15">
        <f t="shared" si="31"/>
        <v>1083643</v>
      </c>
      <c r="K46" s="15">
        <f t="shared" si="31"/>
        <v>1081757</v>
      </c>
      <c r="L46" s="15">
        <f t="shared" si="31"/>
        <v>1160201</v>
      </c>
      <c r="M46" s="15">
        <f t="shared" si="31"/>
        <v>1268610</v>
      </c>
      <c r="N46" s="15">
        <f t="shared" si="31"/>
        <v>1306865</v>
      </c>
      <c r="O46" s="15">
        <f t="shared" si="31"/>
        <v>1338370</v>
      </c>
      <c r="P46" s="15">
        <f t="shared" si="31"/>
        <v>1358622</v>
      </c>
      <c r="Q46" s="15">
        <f t="shared" si="31"/>
        <v>1380000</v>
      </c>
      <c r="R46" s="15">
        <f t="shared" si="31"/>
        <v>1380000</v>
      </c>
      <c r="S46" s="15">
        <f t="shared" si="31"/>
        <v>1380000</v>
      </c>
      <c r="T46" s="15">
        <f t="shared" si="31"/>
        <v>1380000</v>
      </c>
      <c r="U46" s="15">
        <f t="shared" si="31"/>
        <v>1380000</v>
      </c>
      <c r="V46" s="15">
        <f t="shared" si="31"/>
        <v>1380000</v>
      </c>
      <c r="W46" s="15">
        <f t="shared" si="31"/>
        <v>1380000</v>
      </c>
      <c r="X46" s="15">
        <f t="shared" si="31"/>
        <v>1380000</v>
      </c>
      <c r="Y46" s="15">
        <f t="shared" si="31"/>
        <v>1380000</v>
      </c>
      <c r="Z46" s="15">
        <f t="shared" si="31"/>
        <v>1380000</v>
      </c>
      <c r="AA46" s="15">
        <f t="shared" si="31"/>
        <v>1380000</v>
      </c>
      <c r="AB46" s="15">
        <f t="shared" si="31"/>
        <v>1380000</v>
      </c>
      <c r="AC46" s="15">
        <f t="shared" si="31"/>
        <v>1380000</v>
      </c>
      <c r="AD46" s="15">
        <f t="shared" si="31"/>
        <v>1380000</v>
      </c>
    </row>
    <row r="47" spans="1:30">
      <c r="A47" s="387">
        <f t="shared" si="27"/>
        <v>-30</v>
      </c>
      <c r="C47" s="166" t="s">
        <v>126</v>
      </c>
      <c r="D47" s="113"/>
      <c r="E47" s="214">
        <f t="shared" ref="E47:AD47" si="32">ROUND(E15/E46,1)</f>
        <v>2.1</v>
      </c>
      <c r="F47" s="214">
        <f t="shared" si="32"/>
        <v>7.6</v>
      </c>
      <c r="G47" s="214">
        <f t="shared" si="32"/>
        <v>4.7</v>
      </c>
      <c r="H47" s="214">
        <f t="shared" si="32"/>
        <v>3.5</v>
      </c>
      <c r="I47" s="214">
        <f t="shared" si="32"/>
        <v>2.9</v>
      </c>
      <c r="J47" s="214">
        <f t="shared" si="32"/>
        <v>2.5</v>
      </c>
      <c r="K47" s="214">
        <f t="shared" si="32"/>
        <v>2.1</v>
      </c>
      <c r="L47" s="214">
        <f t="shared" si="32"/>
        <v>1.6</v>
      </c>
      <c r="M47" s="214">
        <f t="shared" si="32"/>
        <v>1.3</v>
      </c>
      <c r="N47" s="214">
        <f t="shared" si="32"/>
        <v>1.1000000000000001</v>
      </c>
      <c r="O47" s="214">
        <f t="shared" si="32"/>
        <v>0.9</v>
      </c>
      <c r="P47" s="214">
        <f t="shared" si="32"/>
        <v>0.8</v>
      </c>
      <c r="Q47" s="214">
        <f t="shared" si="32"/>
        <v>0</v>
      </c>
      <c r="R47" s="214">
        <f t="shared" si="32"/>
        <v>0</v>
      </c>
      <c r="S47" s="214">
        <f t="shared" si="32"/>
        <v>0</v>
      </c>
      <c r="T47" s="214">
        <f t="shared" si="32"/>
        <v>0</v>
      </c>
      <c r="U47" s="214">
        <f t="shared" si="32"/>
        <v>0</v>
      </c>
      <c r="V47" s="214">
        <f t="shared" si="32"/>
        <v>0</v>
      </c>
      <c r="W47" s="214">
        <f t="shared" si="32"/>
        <v>0</v>
      </c>
      <c r="X47" s="214">
        <f t="shared" si="32"/>
        <v>0</v>
      </c>
      <c r="Y47" s="214">
        <f t="shared" si="32"/>
        <v>0</v>
      </c>
      <c r="Z47" s="214">
        <f t="shared" si="32"/>
        <v>0</v>
      </c>
      <c r="AA47" s="214">
        <f t="shared" si="32"/>
        <v>0</v>
      </c>
      <c r="AB47" s="214">
        <f t="shared" si="32"/>
        <v>0</v>
      </c>
      <c r="AC47" s="214">
        <f t="shared" si="32"/>
        <v>0</v>
      </c>
      <c r="AD47" s="214">
        <f t="shared" si="32"/>
        <v>0</v>
      </c>
    </row>
    <row r="49" spans="1:30" s="16" customFormat="1">
      <c r="C49" s="215" t="s">
        <v>99</v>
      </c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</row>
    <row r="50" spans="1:30" s="16" customFormat="1">
      <c r="A50" s="387">
        <f>+A47-1</f>
        <v>-31</v>
      </c>
      <c r="C50" s="207" t="s">
        <v>122</v>
      </c>
      <c r="D50" s="350">
        <f>SUM(E50:AD50)</f>
        <v>497250.00000000006</v>
      </c>
      <c r="E50" s="201">
        <f t="shared" ref="E50:AD50" si="33">IF(E23&gt;0,ICUCap,0)</f>
        <v>38250.000000000015</v>
      </c>
      <c r="F50" s="201">
        <f t="shared" si="33"/>
        <v>38250.000000000015</v>
      </c>
      <c r="G50" s="201">
        <f t="shared" si="33"/>
        <v>38250.000000000015</v>
      </c>
      <c r="H50" s="201">
        <f t="shared" si="33"/>
        <v>38250.000000000015</v>
      </c>
      <c r="I50" s="201">
        <f t="shared" si="33"/>
        <v>38250.000000000015</v>
      </c>
      <c r="J50" s="201">
        <f t="shared" si="33"/>
        <v>38250.000000000015</v>
      </c>
      <c r="K50" s="201">
        <f t="shared" si="33"/>
        <v>38250.000000000015</v>
      </c>
      <c r="L50" s="201">
        <f t="shared" si="33"/>
        <v>38250.000000000015</v>
      </c>
      <c r="M50" s="201">
        <f t="shared" si="33"/>
        <v>38250.000000000015</v>
      </c>
      <c r="N50" s="201">
        <f t="shared" si="33"/>
        <v>38250.000000000015</v>
      </c>
      <c r="O50" s="201">
        <f t="shared" si="33"/>
        <v>38250.000000000015</v>
      </c>
      <c r="P50" s="201">
        <f t="shared" si="33"/>
        <v>38250.000000000015</v>
      </c>
      <c r="Q50" s="201">
        <f t="shared" si="33"/>
        <v>38250.000000000015</v>
      </c>
      <c r="R50" s="201">
        <f t="shared" si="33"/>
        <v>0</v>
      </c>
      <c r="S50" s="201">
        <f t="shared" si="33"/>
        <v>0</v>
      </c>
      <c r="T50" s="201">
        <f t="shared" si="33"/>
        <v>0</v>
      </c>
      <c r="U50" s="201">
        <f t="shared" si="33"/>
        <v>0</v>
      </c>
      <c r="V50" s="201">
        <f t="shared" si="33"/>
        <v>0</v>
      </c>
      <c r="W50" s="201">
        <f t="shared" si="33"/>
        <v>0</v>
      </c>
      <c r="X50" s="201">
        <f t="shared" si="33"/>
        <v>0</v>
      </c>
      <c r="Y50" s="201">
        <f t="shared" si="33"/>
        <v>0</v>
      </c>
      <c r="Z50" s="201">
        <f t="shared" si="33"/>
        <v>0</v>
      </c>
      <c r="AA50" s="201">
        <f t="shared" si="33"/>
        <v>0</v>
      </c>
      <c r="AB50" s="201">
        <f t="shared" si="33"/>
        <v>0</v>
      </c>
      <c r="AC50" s="201">
        <f t="shared" si="33"/>
        <v>0</v>
      </c>
      <c r="AD50" s="201">
        <f t="shared" si="33"/>
        <v>0</v>
      </c>
    </row>
    <row r="51" spans="1:30" s="16" customFormat="1">
      <c r="A51" s="387">
        <f t="shared" ref="A51:A52" si="34">+A50-1</f>
        <v>-32</v>
      </c>
      <c r="C51" s="207" t="s">
        <v>152</v>
      </c>
      <c r="D51" s="350">
        <f>SUM(E51:AD51)</f>
        <v>1639654</v>
      </c>
      <c r="E51" s="201">
        <f t="shared" ref="E51:AD51" si="35">+E23</f>
        <v>27259</v>
      </c>
      <c r="F51" s="201">
        <f t="shared" si="35"/>
        <v>56978</v>
      </c>
      <c r="G51" s="201">
        <f t="shared" si="35"/>
        <v>100838</v>
      </c>
      <c r="H51" s="201">
        <f t="shared" si="35"/>
        <v>155357</v>
      </c>
      <c r="I51" s="201">
        <f t="shared" si="35"/>
        <v>206802</v>
      </c>
      <c r="J51" s="201">
        <f t="shared" si="35"/>
        <v>241849</v>
      </c>
      <c r="K51" s="201">
        <f t="shared" si="35"/>
        <v>245949</v>
      </c>
      <c r="L51" s="201">
        <f t="shared" si="35"/>
        <v>217255</v>
      </c>
      <c r="M51" s="201">
        <f t="shared" si="35"/>
        <v>168679</v>
      </c>
      <c r="N51" s="201">
        <f t="shared" si="35"/>
        <v>113546</v>
      </c>
      <c r="O51" s="201">
        <f t="shared" si="35"/>
        <v>66406</v>
      </c>
      <c r="P51" s="201">
        <f t="shared" si="35"/>
        <v>34842</v>
      </c>
      <c r="Q51" s="201">
        <f t="shared" si="35"/>
        <v>3894</v>
      </c>
      <c r="R51" s="201">
        <f t="shared" si="35"/>
        <v>0</v>
      </c>
      <c r="S51" s="201">
        <f t="shared" si="35"/>
        <v>0</v>
      </c>
      <c r="T51" s="201">
        <f t="shared" si="35"/>
        <v>0</v>
      </c>
      <c r="U51" s="201">
        <f t="shared" si="35"/>
        <v>0</v>
      </c>
      <c r="V51" s="201">
        <f t="shared" si="35"/>
        <v>0</v>
      </c>
      <c r="W51" s="201">
        <f t="shared" si="35"/>
        <v>0</v>
      </c>
      <c r="X51" s="201">
        <f t="shared" si="35"/>
        <v>0</v>
      </c>
      <c r="Y51" s="201">
        <f t="shared" si="35"/>
        <v>0</v>
      </c>
      <c r="Z51" s="201">
        <f t="shared" si="35"/>
        <v>0</v>
      </c>
      <c r="AA51" s="201">
        <f t="shared" si="35"/>
        <v>0</v>
      </c>
      <c r="AB51" s="201">
        <f t="shared" si="35"/>
        <v>0</v>
      </c>
      <c r="AC51" s="201">
        <f t="shared" si="35"/>
        <v>0</v>
      </c>
      <c r="AD51" s="201">
        <f t="shared" si="35"/>
        <v>0</v>
      </c>
    </row>
    <row r="52" spans="1:30" s="39" customFormat="1">
      <c r="A52" s="387">
        <f t="shared" si="34"/>
        <v>-33</v>
      </c>
      <c r="C52" s="207" t="s">
        <v>264</v>
      </c>
      <c r="D52" s="351">
        <f>SUM(E52:AD52)</f>
        <v>1191159</v>
      </c>
      <c r="E52" s="204">
        <f t="shared" ref="E52:AD52" si="36">MAX(0,E51-E50)</f>
        <v>0</v>
      </c>
      <c r="F52" s="204">
        <f t="shared" si="36"/>
        <v>18727.999999999985</v>
      </c>
      <c r="G52" s="204">
        <f t="shared" si="36"/>
        <v>62587.999999999985</v>
      </c>
      <c r="H52" s="204">
        <f t="shared" si="36"/>
        <v>117106.99999999999</v>
      </c>
      <c r="I52" s="204">
        <f t="shared" si="36"/>
        <v>168552</v>
      </c>
      <c r="J52" s="204">
        <f t="shared" si="36"/>
        <v>203599</v>
      </c>
      <c r="K52" s="204">
        <f t="shared" si="36"/>
        <v>207699</v>
      </c>
      <c r="L52" s="204">
        <f t="shared" si="36"/>
        <v>179005</v>
      </c>
      <c r="M52" s="204">
        <f t="shared" si="36"/>
        <v>130428.99999999999</v>
      </c>
      <c r="N52" s="204">
        <f t="shared" si="36"/>
        <v>75295.999999999985</v>
      </c>
      <c r="O52" s="204">
        <f t="shared" si="36"/>
        <v>28155.999999999985</v>
      </c>
      <c r="P52" s="204">
        <f t="shared" si="36"/>
        <v>0</v>
      </c>
      <c r="Q52" s="204">
        <f t="shared" si="36"/>
        <v>0</v>
      </c>
      <c r="R52" s="204">
        <f t="shared" si="36"/>
        <v>0</v>
      </c>
      <c r="S52" s="204">
        <f t="shared" si="36"/>
        <v>0</v>
      </c>
      <c r="T52" s="204">
        <f t="shared" si="36"/>
        <v>0</v>
      </c>
      <c r="U52" s="204">
        <f t="shared" si="36"/>
        <v>0</v>
      </c>
      <c r="V52" s="204">
        <f t="shared" si="36"/>
        <v>0</v>
      </c>
      <c r="W52" s="204">
        <f t="shared" si="36"/>
        <v>0</v>
      </c>
      <c r="X52" s="204">
        <f t="shared" si="36"/>
        <v>0</v>
      </c>
      <c r="Y52" s="204">
        <f t="shared" si="36"/>
        <v>0</v>
      </c>
      <c r="Z52" s="204">
        <f t="shared" si="36"/>
        <v>0</v>
      </c>
      <c r="AA52" s="204">
        <f t="shared" si="36"/>
        <v>0</v>
      </c>
      <c r="AB52" s="204">
        <f t="shared" si="36"/>
        <v>0</v>
      </c>
      <c r="AC52" s="204">
        <f t="shared" si="36"/>
        <v>0</v>
      </c>
      <c r="AD52" s="204">
        <f t="shared" si="36"/>
        <v>0</v>
      </c>
    </row>
    <row r="53" spans="1:30" s="16" customFormat="1">
      <c r="C53" s="207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</row>
    <row r="54" spans="1:30" s="16" customFormat="1">
      <c r="C54" s="215" t="s">
        <v>100</v>
      </c>
      <c r="D54" s="198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</row>
    <row r="55" spans="1:30" s="16" customFormat="1">
      <c r="A55" s="387">
        <f>+A52-1</f>
        <v>-34</v>
      </c>
      <c r="C55" s="207" t="s">
        <v>100</v>
      </c>
      <c r="D55" s="350">
        <f>SUM(E55:AD55)</f>
        <v>402000</v>
      </c>
      <c r="E55" s="201">
        <f t="shared" ref="E55:AD55" si="37">IF(E56&gt;0,VentCap,0)</f>
        <v>33500</v>
      </c>
      <c r="F55" s="201">
        <f t="shared" si="37"/>
        <v>33500</v>
      </c>
      <c r="G55" s="201">
        <f t="shared" si="37"/>
        <v>33500</v>
      </c>
      <c r="H55" s="201">
        <f t="shared" si="37"/>
        <v>33500</v>
      </c>
      <c r="I55" s="201">
        <f t="shared" si="37"/>
        <v>33500</v>
      </c>
      <c r="J55" s="201">
        <f t="shared" si="37"/>
        <v>33500</v>
      </c>
      <c r="K55" s="201">
        <f t="shared" si="37"/>
        <v>33500</v>
      </c>
      <c r="L55" s="201">
        <f t="shared" si="37"/>
        <v>33500</v>
      </c>
      <c r="M55" s="201">
        <f t="shared" si="37"/>
        <v>33500</v>
      </c>
      <c r="N55" s="201">
        <f t="shared" si="37"/>
        <v>33500</v>
      </c>
      <c r="O55" s="201">
        <f t="shared" si="37"/>
        <v>33500</v>
      </c>
      <c r="P55" s="201">
        <f t="shared" si="37"/>
        <v>33500</v>
      </c>
      <c r="Q55" s="201">
        <f t="shared" si="37"/>
        <v>0</v>
      </c>
      <c r="R55" s="201">
        <f t="shared" si="37"/>
        <v>0</v>
      </c>
      <c r="S55" s="201">
        <f t="shared" si="37"/>
        <v>0</v>
      </c>
      <c r="T55" s="201">
        <f t="shared" si="37"/>
        <v>0</v>
      </c>
      <c r="U55" s="201">
        <f t="shared" si="37"/>
        <v>0</v>
      </c>
      <c r="V55" s="201">
        <f t="shared" si="37"/>
        <v>0</v>
      </c>
      <c r="W55" s="201">
        <f t="shared" si="37"/>
        <v>0</v>
      </c>
      <c r="X55" s="201">
        <f t="shared" si="37"/>
        <v>0</v>
      </c>
      <c r="Y55" s="201">
        <f t="shared" si="37"/>
        <v>0</v>
      </c>
      <c r="Z55" s="201">
        <f t="shared" si="37"/>
        <v>0</v>
      </c>
      <c r="AA55" s="201">
        <f t="shared" si="37"/>
        <v>0</v>
      </c>
      <c r="AB55" s="201">
        <f t="shared" si="37"/>
        <v>0</v>
      </c>
      <c r="AC55" s="201">
        <f t="shared" si="37"/>
        <v>0</v>
      </c>
      <c r="AD55" s="201">
        <f t="shared" si="37"/>
        <v>0</v>
      </c>
    </row>
    <row r="56" spans="1:30" s="39" customFormat="1">
      <c r="A56" s="387">
        <f t="shared" ref="A56:A57" si="38">+A55-1</f>
        <v>-35</v>
      </c>
      <c r="C56" s="209" t="s">
        <v>405</v>
      </c>
      <c r="D56" s="351">
        <f>SUM(E56:AD56)</f>
        <v>1434698</v>
      </c>
      <c r="E56" s="204">
        <f t="shared" ref="E56:AD56" si="39">ROUND(MIN(VentPCT*E12*VentStay/7,E12*VentPCT),0)</f>
        <v>27259</v>
      </c>
      <c r="F56" s="204">
        <f t="shared" si="39"/>
        <v>53084</v>
      </c>
      <c r="G56" s="204">
        <f t="shared" si="39"/>
        <v>93255</v>
      </c>
      <c r="H56" s="204">
        <f t="shared" si="39"/>
        <v>142035</v>
      </c>
      <c r="I56" s="204">
        <f t="shared" si="39"/>
        <v>186511</v>
      </c>
      <c r="J56" s="204">
        <f t="shared" si="39"/>
        <v>215205</v>
      </c>
      <c r="K56" s="204">
        <f t="shared" si="39"/>
        <v>215205</v>
      </c>
      <c r="L56" s="204">
        <f t="shared" si="39"/>
        <v>186511</v>
      </c>
      <c r="M56" s="204">
        <f t="shared" si="39"/>
        <v>142035</v>
      </c>
      <c r="N56" s="204">
        <f t="shared" si="39"/>
        <v>93255</v>
      </c>
      <c r="O56" s="204">
        <f t="shared" si="39"/>
        <v>53084</v>
      </c>
      <c r="P56" s="204">
        <f t="shared" si="39"/>
        <v>27259</v>
      </c>
      <c r="Q56" s="204">
        <f t="shared" si="39"/>
        <v>0</v>
      </c>
      <c r="R56" s="204">
        <f t="shared" si="39"/>
        <v>0</v>
      </c>
      <c r="S56" s="204">
        <f t="shared" si="39"/>
        <v>0</v>
      </c>
      <c r="T56" s="204">
        <f t="shared" si="39"/>
        <v>0</v>
      </c>
      <c r="U56" s="204">
        <f t="shared" si="39"/>
        <v>0</v>
      </c>
      <c r="V56" s="204">
        <f t="shared" si="39"/>
        <v>0</v>
      </c>
      <c r="W56" s="204">
        <f t="shared" si="39"/>
        <v>0</v>
      </c>
      <c r="X56" s="204">
        <f t="shared" si="39"/>
        <v>0</v>
      </c>
      <c r="Y56" s="204">
        <f t="shared" si="39"/>
        <v>0</v>
      </c>
      <c r="Z56" s="204">
        <f t="shared" si="39"/>
        <v>0</v>
      </c>
      <c r="AA56" s="204">
        <f t="shared" si="39"/>
        <v>0</v>
      </c>
      <c r="AB56" s="204">
        <f t="shared" si="39"/>
        <v>0</v>
      </c>
      <c r="AC56" s="204">
        <f t="shared" si="39"/>
        <v>0</v>
      </c>
      <c r="AD56" s="204">
        <f t="shared" si="39"/>
        <v>0</v>
      </c>
    </row>
    <row r="57" spans="1:30" s="16" customFormat="1">
      <c r="A57" s="387">
        <f t="shared" si="38"/>
        <v>-36</v>
      </c>
      <c r="C57" s="207" t="s">
        <v>104</v>
      </c>
      <c r="D57" s="350">
        <f>SUM(E57:AD57)</f>
        <v>1045180</v>
      </c>
      <c r="E57" s="201">
        <f t="shared" ref="E57:AD57" si="40">MAX(0,E56-E55)</f>
        <v>0</v>
      </c>
      <c r="F57" s="201">
        <f t="shared" si="40"/>
        <v>19584</v>
      </c>
      <c r="G57" s="201">
        <f t="shared" si="40"/>
        <v>59755</v>
      </c>
      <c r="H57" s="201">
        <f t="shared" si="40"/>
        <v>108535</v>
      </c>
      <c r="I57" s="201">
        <f t="shared" si="40"/>
        <v>153011</v>
      </c>
      <c r="J57" s="201">
        <f t="shared" si="40"/>
        <v>181705</v>
      </c>
      <c r="K57" s="201">
        <f t="shared" si="40"/>
        <v>181705</v>
      </c>
      <c r="L57" s="201">
        <f t="shared" si="40"/>
        <v>153011</v>
      </c>
      <c r="M57" s="201">
        <f t="shared" si="40"/>
        <v>108535</v>
      </c>
      <c r="N57" s="201">
        <f t="shared" si="40"/>
        <v>59755</v>
      </c>
      <c r="O57" s="201">
        <f t="shared" si="40"/>
        <v>19584</v>
      </c>
      <c r="P57" s="201">
        <f t="shared" si="40"/>
        <v>0</v>
      </c>
      <c r="Q57" s="201">
        <f t="shared" si="40"/>
        <v>0</v>
      </c>
      <c r="R57" s="201">
        <f t="shared" si="40"/>
        <v>0</v>
      </c>
      <c r="S57" s="201">
        <f t="shared" si="40"/>
        <v>0</v>
      </c>
      <c r="T57" s="201">
        <f t="shared" si="40"/>
        <v>0</v>
      </c>
      <c r="U57" s="201">
        <f t="shared" si="40"/>
        <v>0</v>
      </c>
      <c r="V57" s="201">
        <f t="shared" si="40"/>
        <v>0</v>
      </c>
      <c r="W57" s="201">
        <f t="shared" si="40"/>
        <v>0</v>
      </c>
      <c r="X57" s="201">
        <f t="shared" si="40"/>
        <v>0</v>
      </c>
      <c r="Y57" s="201">
        <f t="shared" si="40"/>
        <v>0</v>
      </c>
      <c r="Z57" s="201">
        <f t="shared" si="40"/>
        <v>0</v>
      </c>
      <c r="AA57" s="201">
        <f t="shared" si="40"/>
        <v>0</v>
      </c>
      <c r="AB57" s="201">
        <f t="shared" si="40"/>
        <v>0</v>
      </c>
      <c r="AC57" s="201">
        <f t="shared" si="40"/>
        <v>0</v>
      </c>
      <c r="AD57" s="201">
        <f t="shared" si="40"/>
        <v>0</v>
      </c>
    </row>
    <row r="58" spans="1:30" s="16" customFormat="1">
      <c r="C58" s="207"/>
      <c r="D58" s="198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</row>
    <row r="59" spans="1:30" s="16" customFormat="1">
      <c r="C59" s="215" t="s">
        <v>38</v>
      </c>
      <c r="D59" s="198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</row>
    <row r="60" spans="1:30" s="16" customFormat="1">
      <c r="A60" s="387">
        <f>+A57-1</f>
        <v>-37</v>
      </c>
      <c r="C60" s="207" t="s">
        <v>157</v>
      </c>
      <c r="D60" s="350">
        <f>SUM(E60:AD60)</f>
        <v>1944148</v>
      </c>
      <c r="E60" s="201">
        <v>0</v>
      </c>
      <c r="F60" s="201">
        <f t="shared" ref="F60:AD60" si="41">ROUND(D9*XSDths,0)</f>
        <v>0</v>
      </c>
      <c r="G60" s="201">
        <f t="shared" si="41"/>
        <v>36939</v>
      </c>
      <c r="H60" s="201">
        <f t="shared" si="41"/>
        <v>71933</v>
      </c>
      <c r="I60" s="201">
        <f t="shared" si="41"/>
        <v>126370</v>
      </c>
      <c r="J60" s="201">
        <f t="shared" si="41"/>
        <v>192471</v>
      </c>
      <c r="K60" s="201">
        <f t="shared" si="41"/>
        <v>252739</v>
      </c>
      <c r="L60" s="201">
        <f t="shared" si="41"/>
        <v>291622</v>
      </c>
      <c r="M60" s="201">
        <f t="shared" si="41"/>
        <v>291622</v>
      </c>
      <c r="N60" s="201">
        <f t="shared" si="41"/>
        <v>252739</v>
      </c>
      <c r="O60" s="201">
        <f t="shared" si="41"/>
        <v>192471</v>
      </c>
      <c r="P60" s="201">
        <f t="shared" si="41"/>
        <v>126370</v>
      </c>
      <c r="Q60" s="201">
        <f t="shared" si="41"/>
        <v>71933</v>
      </c>
      <c r="R60" s="201">
        <f t="shared" si="41"/>
        <v>36939</v>
      </c>
      <c r="S60" s="201">
        <f t="shared" si="41"/>
        <v>0</v>
      </c>
      <c r="T60" s="201">
        <f t="shared" si="41"/>
        <v>0</v>
      </c>
      <c r="U60" s="201">
        <f t="shared" si="41"/>
        <v>0</v>
      </c>
      <c r="V60" s="201">
        <f t="shared" si="41"/>
        <v>0</v>
      </c>
      <c r="W60" s="201">
        <f t="shared" si="41"/>
        <v>0</v>
      </c>
      <c r="X60" s="201">
        <f t="shared" si="41"/>
        <v>0</v>
      </c>
      <c r="Y60" s="201">
        <f t="shared" si="41"/>
        <v>0</v>
      </c>
      <c r="Z60" s="201">
        <f t="shared" si="41"/>
        <v>0</v>
      </c>
      <c r="AA60" s="201">
        <f t="shared" si="41"/>
        <v>0</v>
      </c>
      <c r="AB60" s="201">
        <f t="shared" si="41"/>
        <v>0</v>
      </c>
      <c r="AC60" s="201">
        <f t="shared" si="41"/>
        <v>0</v>
      </c>
      <c r="AD60" s="201">
        <f t="shared" si="41"/>
        <v>0</v>
      </c>
    </row>
    <row r="61" spans="1:30" s="16" customFormat="1">
      <c r="A61" s="387">
        <f t="shared" ref="A61" si="42">+A60-1</f>
        <v>-38</v>
      </c>
      <c r="C61" s="207" t="s">
        <v>101</v>
      </c>
      <c r="D61" s="350">
        <f>SUM(E61:AD61)</f>
        <v>1652526</v>
      </c>
      <c r="E61" s="201">
        <v>0</v>
      </c>
      <c r="F61" s="201">
        <f>ROUND(F60*DthHospPct,0)</f>
        <v>0</v>
      </c>
      <c r="G61" s="201">
        <f t="shared" ref="G61:AD61" si="43">ROUND(G60*DthHospPct,0)</f>
        <v>31398</v>
      </c>
      <c r="H61" s="201">
        <f t="shared" si="43"/>
        <v>61143</v>
      </c>
      <c r="I61" s="201">
        <f t="shared" si="43"/>
        <v>107415</v>
      </c>
      <c r="J61" s="201">
        <f t="shared" si="43"/>
        <v>163600</v>
      </c>
      <c r="K61" s="201">
        <f t="shared" si="43"/>
        <v>214828</v>
      </c>
      <c r="L61" s="201">
        <f t="shared" si="43"/>
        <v>247879</v>
      </c>
      <c r="M61" s="201">
        <f t="shared" si="43"/>
        <v>247879</v>
      </c>
      <c r="N61" s="201">
        <f t="shared" si="43"/>
        <v>214828</v>
      </c>
      <c r="O61" s="201">
        <f t="shared" si="43"/>
        <v>163600</v>
      </c>
      <c r="P61" s="201">
        <f t="shared" si="43"/>
        <v>107415</v>
      </c>
      <c r="Q61" s="201">
        <f t="shared" si="43"/>
        <v>61143</v>
      </c>
      <c r="R61" s="201">
        <f t="shared" si="43"/>
        <v>31398</v>
      </c>
      <c r="S61" s="201">
        <f t="shared" si="43"/>
        <v>0</v>
      </c>
      <c r="T61" s="201">
        <f t="shared" si="43"/>
        <v>0</v>
      </c>
      <c r="U61" s="201">
        <f t="shared" si="43"/>
        <v>0</v>
      </c>
      <c r="V61" s="201">
        <f t="shared" si="43"/>
        <v>0</v>
      </c>
      <c r="W61" s="201">
        <f t="shared" si="43"/>
        <v>0</v>
      </c>
      <c r="X61" s="201">
        <f t="shared" si="43"/>
        <v>0</v>
      </c>
      <c r="Y61" s="201">
        <f t="shared" si="43"/>
        <v>0</v>
      </c>
      <c r="Z61" s="201">
        <f t="shared" si="43"/>
        <v>0</v>
      </c>
      <c r="AA61" s="201">
        <f t="shared" si="43"/>
        <v>0</v>
      </c>
      <c r="AB61" s="201">
        <f t="shared" si="43"/>
        <v>0</v>
      </c>
      <c r="AC61" s="201">
        <f t="shared" si="43"/>
        <v>0</v>
      </c>
      <c r="AD61" s="201">
        <f t="shared" si="43"/>
        <v>0</v>
      </c>
    </row>
    <row r="62" spans="1:30" s="16" customFormat="1" ht="15">
      <c r="M62" s="199"/>
      <c r="N62" s="199"/>
      <c r="O62" s="199"/>
      <c r="P62" s="199"/>
    </row>
    <row r="63" spans="1:30">
      <c r="A63" s="387">
        <f>+A61-1</f>
        <v>-39</v>
      </c>
      <c r="C63" s="524" t="s">
        <v>351</v>
      </c>
      <c r="D63" s="525">
        <f>ROUND(MIN(1,'Provider Utilization'!D52/'Provider Utilization'!D51),2)</f>
        <v>0.73</v>
      </c>
    </row>
  </sheetData>
  <phoneticPr fontId="21" type="noConversion"/>
  <dataValidations count="1">
    <dataValidation type="whole" allowBlank="1" showInputMessage="1" showErrorMessage="1" sqref="G1:G3 P3 Y3">
      <formula1>6</formula1>
      <formula2>24</formula2>
    </dataValidation>
  </dataValidations>
  <printOptions horizontalCentered="1"/>
  <pageMargins left="0.5" right="0.5" top="0.75" bottom="0.75" header="0.35" footer="0.35"/>
  <pageSetup scale="81" fitToWidth="3" fitToHeight="3" orientation="portrait" r:id="rId1"/>
  <headerFooter alignWithMargins="0">
    <oddFooter>&amp;L&amp;F
&amp;A&amp;CMBA Actuaries, Inc.&amp;R&amp;T
&amp;D</oddFooter>
  </headerFooter>
  <colBreaks count="2" manualBreakCount="2">
    <brk id="10" max="59" man="1"/>
    <brk id="18" max="5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A26"/>
  <sheetViews>
    <sheetView zoomScaleNormal="100" workbookViewId="0">
      <selection activeCell="D4" sqref="D4"/>
    </sheetView>
  </sheetViews>
  <sheetFormatPr defaultRowHeight="12.75"/>
  <cols>
    <col min="1" max="1" width="26.140625" customWidth="1"/>
    <col min="2" max="25" width="9.7109375" customWidth="1"/>
  </cols>
  <sheetData>
    <row r="1" spans="1:27" ht="15.75">
      <c r="A1" s="446" t="str">
        <f>scenario</f>
        <v>Severe Scenario, V\ Curve</v>
      </c>
      <c r="M1" s="164" t="s">
        <v>401</v>
      </c>
      <c r="N1" s="137"/>
      <c r="O1" s="13"/>
      <c r="P1" s="13"/>
      <c r="Q1" s="13"/>
      <c r="R1" s="13"/>
      <c r="S1" s="13"/>
      <c r="T1" s="13"/>
      <c r="U1" s="13"/>
      <c r="V1" s="13"/>
      <c r="W1" s="13"/>
      <c r="X1" s="13"/>
      <c r="Y1" s="164" t="s">
        <v>401</v>
      </c>
    </row>
    <row r="2" spans="1:27" ht="15.75">
      <c r="A2" s="446"/>
      <c r="M2" s="222"/>
      <c r="N2" s="137"/>
      <c r="O2" s="13"/>
      <c r="P2" s="13"/>
      <c r="Q2" s="13"/>
      <c r="R2" s="13"/>
      <c r="S2" s="13"/>
      <c r="T2" s="13"/>
      <c r="U2" s="13"/>
      <c r="V2" s="13"/>
      <c r="W2" s="13"/>
      <c r="X2" s="13"/>
      <c r="Y2" s="222"/>
    </row>
    <row r="3" spans="1:27" ht="15.75">
      <c r="A3" s="137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295"/>
      <c r="N3" s="137" t="s">
        <v>130</v>
      </c>
      <c r="O3" s="13"/>
      <c r="P3" s="13"/>
      <c r="Q3" s="13"/>
      <c r="R3" s="13"/>
      <c r="S3" s="13"/>
      <c r="T3" s="13"/>
      <c r="U3" s="13"/>
      <c r="V3" s="295"/>
    </row>
    <row r="4" spans="1:27" ht="15">
      <c r="A4" s="227" t="s">
        <v>149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227" t="s">
        <v>149</v>
      </c>
      <c r="O4" s="13"/>
      <c r="P4" s="13"/>
      <c r="Q4" s="13"/>
      <c r="R4" s="13"/>
      <c r="S4" s="13"/>
      <c r="T4" s="13"/>
      <c r="U4" s="13"/>
      <c r="V4" s="13"/>
    </row>
    <row r="5" spans="1:27" ht="15">
      <c r="A5" s="22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27" ht="12" customHeigh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1"/>
      <c r="Y6" s="201"/>
    </row>
    <row r="7" spans="1:27" s="16" customFormat="1">
      <c r="B7" s="205" t="s">
        <v>111</v>
      </c>
      <c r="J7" s="205"/>
      <c r="N7" s="205" t="s">
        <v>111</v>
      </c>
      <c r="S7" s="205"/>
    </row>
    <row r="8" spans="1:27" s="253" customFormat="1">
      <c r="A8" s="258" t="s">
        <v>139</v>
      </c>
      <c r="B8" s="254">
        <v>1</v>
      </c>
      <c r="C8" s="254">
        <v>2</v>
      </c>
      <c r="D8" s="254">
        <v>3</v>
      </c>
      <c r="E8" s="254">
        <v>4</v>
      </c>
      <c r="F8" s="254">
        <v>5</v>
      </c>
      <c r="G8" s="254">
        <v>6</v>
      </c>
      <c r="H8" s="254">
        <v>7</v>
      </c>
      <c r="I8" s="254">
        <v>8</v>
      </c>
      <c r="J8" s="254">
        <v>9</v>
      </c>
      <c r="K8" s="254">
        <v>10</v>
      </c>
      <c r="L8" s="254">
        <v>11</v>
      </c>
      <c r="M8" s="254">
        <v>12</v>
      </c>
      <c r="N8" s="254">
        <v>13</v>
      </c>
      <c r="O8" s="254">
        <v>14</v>
      </c>
      <c r="P8" s="254">
        <v>15</v>
      </c>
      <c r="Q8" s="254">
        <v>16</v>
      </c>
      <c r="R8" s="254">
        <v>17</v>
      </c>
      <c r="S8" s="254">
        <v>18</v>
      </c>
      <c r="T8" s="254">
        <v>19</v>
      </c>
      <c r="U8" s="254">
        <v>20</v>
      </c>
      <c r="V8" s="254">
        <v>21</v>
      </c>
      <c r="W8" s="254">
        <v>22</v>
      </c>
      <c r="X8" s="254">
        <v>23</v>
      </c>
      <c r="Y8" s="254">
        <v>24</v>
      </c>
      <c r="Z8" s="254">
        <v>25</v>
      </c>
      <c r="AA8" s="254">
        <v>26</v>
      </c>
    </row>
    <row r="9" spans="1:27" s="39" customFormat="1" ht="5.0999999999999996" customHeight="1">
      <c r="A9" s="255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04"/>
      <c r="AA9" s="204"/>
    </row>
    <row r="10" spans="1:27" s="39" customFormat="1">
      <c r="A10" s="209" t="s">
        <v>288</v>
      </c>
      <c r="B10" s="252">
        <f>1-SUM(C10:Y10)</f>
        <v>1.8999999999999906E-2</v>
      </c>
      <c r="C10" s="252">
        <f t="shared" ref="C10:Y10" si="0">ROUND(IF(C$8&gt;WaveDur,0,(NORMDIST(C$8,WaveDur/2,WaveDur/StdFactor,1)-NORMDIST(B$8,WaveDur/2,WaveDur/StdFactor,1))/(NORMDIST(WaveDur,WaveDur/2,WaveDur/StdFactor,1)-NORMDIST(0,WaveDur/2,WaveDur/StdFactor,1))),3)</f>
        <v>3.6999999999999998E-2</v>
      </c>
      <c r="D10" s="252">
        <f t="shared" si="0"/>
        <v>6.5000000000000002E-2</v>
      </c>
      <c r="E10" s="252">
        <f t="shared" si="0"/>
        <v>9.9000000000000005E-2</v>
      </c>
      <c r="F10" s="252">
        <f t="shared" si="0"/>
        <v>0.13</v>
      </c>
      <c r="G10" s="252">
        <f t="shared" si="0"/>
        <v>0.15</v>
      </c>
      <c r="H10" s="252">
        <f t="shared" si="0"/>
        <v>0.15</v>
      </c>
      <c r="I10" s="252">
        <f t="shared" si="0"/>
        <v>0.13</v>
      </c>
      <c r="J10" s="252">
        <f t="shared" si="0"/>
        <v>9.9000000000000005E-2</v>
      </c>
      <c r="K10" s="252">
        <f t="shared" si="0"/>
        <v>6.5000000000000002E-2</v>
      </c>
      <c r="L10" s="252">
        <f t="shared" si="0"/>
        <v>3.6999999999999998E-2</v>
      </c>
      <c r="M10" s="252">
        <f t="shared" si="0"/>
        <v>1.9E-2</v>
      </c>
      <c r="N10" s="252">
        <f t="shared" si="0"/>
        <v>0</v>
      </c>
      <c r="O10" s="252">
        <f t="shared" si="0"/>
        <v>0</v>
      </c>
      <c r="P10" s="252">
        <f t="shared" si="0"/>
        <v>0</v>
      </c>
      <c r="Q10" s="252">
        <f t="shared" si="0"/>
        <v>0</v>
      </c>
      <c r="R10" s="252">
        <f t="shared" si="0"/>
        <v>0</v>
      </c>
      <c r="S10" s="252">
        <f t="shared" si="0"/>
        <v>0</v>
      </c>
      <c r="T10" s="252">
        <f t="shared" si="0"/>
        <v>0</v>
      </c>
      <c r="U10" s="252">
        <f t="shared" si="0"/>
        <v>0</v>
      </c>
      <c r="V10" s="252">
        <f t="shared" si="0"/>
        <v>0</v>
      </c>
      <c r="W10" s="252">
        <f t="shared" si="0"/>
        <v>0</v>
      </c>
      <c r="X10" s="252">
        <f t="shared" si="0"/>
        <v>0</v>
      </c>
      <c r="Y10" s="252">
        <f t="shared" si="0"/>
        <v>0</v>
      </c>
      <c r="Z10" s="252">
        <v>0</v>
      </c>
      <c r="AA10" s="252">
        <v>0</v>
      </c>
    </row>
    <row r="11" spans="1:27" s="175" customFormat="1">
      <c r="A11" s="209" t="s">
        <v>289</v>
      </c>
      <c r="B11" s="200">
        <f>1-SUM(C11:Y11)</f>
        <v>7.3999999999999733E-2</v>
      </c>
      <c r="C11" s="200">
        <f t="shared" ref="C11:AA11" si="1">ROUND(IF(C$8&gt;WaveDur,0,(WEIBULL(C$8,Weibull_Alpha,Weibull_Beta,1)-WEIBULL(B$8,Weibull_Alpha,Weibull_Beta,1))/(WEIBULL(WaveDur,Weibull_Alpha,Weibull_Beta,1)-NORMDIST(0,Weibull_Alpha,Weibull_Beta,1))),3)</f>
        <v>0.25900000000000001</v>
      </c>
      <c r="D11" s="200">
        <f t="shared" si="1"/>
        <v>0.157</v>
      </c>
      <c r="E11" s="200">
        <f t="shared" si="1"/>
        <v>0.112</v>
      </c>
      <c r="F11" s="200">
        <f t="shared" si="1"/>
        <v>8.5999999999999993E-2</v>
      </c>
      <c r="G11" s="200">
        <f t="shared" si="1"/>
        <v>6.9000000000000006E-2</v>
      </c>
      <c r="H11" s="200">
        <f t="shared" si="1"/>
        <v>5.7000000000000002E-2</v>
      </c>
      <c r="I11" s="200">
        <f t="shared" si="1"/>
        <v>4.8000000000000001E-2</v>
      </c>
      <c r="J11" s="200">
        <f t="shared" si="1"/>
        <v>4.2000000000000003E-2</v>
      </c>
      <c r="K11" s="200">
        <f t="shared" si="1"/>
        <v>3.5999999999999997E-2</v>
      </c>
      <c r="L11" s="200">
        <f t="shared" si="1"/>
        <v>3.2000000000000001E-2</v>
      </c>
      <c r="M11" s="200">
        <f t="shared" si="1"/>
        <v>2.8000000000000001E-2</v>
      </c>
      <c r="N11" s="200">
        <f t="shared" si="1"/>
        <v>0</v>
      </c>
      <c r="O11" s="200">
        <f t="shared" si="1"/>
        <v>0</v>
      </c>
      <c r="P11" s="200">
        <f t="shared" si="1"/>
        <v>0</v>
      </c>
      <c r="Q11" s="200">
        <f t="shared" si="1"/>
        <v>0</v>
      </c>
      <c r="R11" s="200">
        <f t="shared" si="1"/>
        <v>0</v>
      </c>
      <c r="S11" s="200">
        <f t="shared" si="1"/>
        <v>0</v>
      </c>
      <c r="T11" s="200">
        <f t="shared" si="1"/>
        <v>0</v>
      </c>
      <c r="U11" s="200">
        <f t="shared" si="1"/>
        <v>0</v>
      </c>
      <c r="V11" s="200">
        <f t="shared" si="1"/>
        <v>0</v>
      </c>
      <c r="W11" s="200">
        <f t="shared" si="1"/>
        <v>0</v>
      </c>
      <c r="X11" s="200">
        <f t="shared" si="1"/>
        <v>0</v>
      </c>
      <c r="Y11" s="200">
        <f t="shared" si="1"/>
        <v>0</v>
      </c>
      <c r="Z11" s="200">
        <f t="shared" si="1"/>
        <v>0</v>
      </c>
      <c r="AA11" s="200">
        <f t="shared" si="1"/>
        <v>0</v>
      </c>
    </row>
    <row r="12" spans="1:27" s="175" customFormat="1">
      <c r="A12" s="296" t="s">
        <v>4</v>
      </c>
      <c r="B12" s="256">
        <f t="shared" ref="B12:AA12" si="2">+B10</f>
        <v>1.8999999999999906E-2</v>
      </c>
      <c r="C12" s="256">
        <f t="shared" si="2"/>
        <v>3.6999999999999998E-2</v>
      </c>
      <c r="D12" s="256">
        <f t="shared" si="2"/>
        <v>6.5000000000000002E-2</v>
      </c>
      <c r="E12" s="256">
        <f t="shared" si="2"/>
        <v>9.9000000000000005E-2</v>
      </c>
      <c r="F12" s="256">
        <f t="shared" si="2"/>
        <v>0.13</v>
      </c>
      <c r="G12" s="256">
        <f t="shared" si="2"/>
        <v>0.15</v>
      </c>
      <c r="H12" s="256">
        <f t="shared" si="2"/>
        <v>0.15</v>
      </c>
      <c r="I12" s="256">
        <f t="shared" si="2"/>
        <v>0.13</v>
      </c>
      <c r="J12" s="256">
        <f t="shared" si="2"/>
        <v>9.9000000000000005E-2</v>
      </c>
      <c r="K12" s="256">
        <f t="shared" si="2"/>
        <v>6.5000000000000002E-2</v>
      </c>
      <c r="L12" s="256">
        <f t="shared" si="2"/>
        <v>3.6999999999999998E-2</v>
      </c>
      <c r="M12" s="256">
        <f t="shared" si="2"/>
        <v>1.9E-2</v>
      </c>
      <c r="N12" s="256">
        <f t="shared" si="2"/>
        <v>0</v>
      </c>
      <c r="O12" s="256">
        <f t="shared" si="2"/>
        <v>0</v>
      </c>
      <c r="P12" s="256">
        <f t="shared" si="2"/>
        <v>0</v>
      </c>
      <c r="Q12" s="256">
        <f t="shared" si="2"/>
        <v>0</v>
      </c>
      <c r="R12" s="256">
        <f t="shared" si="2"/>
        <v>0</v>
      </c>
      <c r="S12" s="256">
        <f t="shared" si="2"/>
        <v>0</v>
      </c>
      <c r="T12" s="256">
        <f t="shared" si="2"/>
        <v>0</v>
      </c>
      <c r="U12" s="256">
        <f t="shared" si="2"/>
        <v>0</v>
      </c>
      <c r="V12" s="256">
        <f t="shared" si="2"/>
        <v>0</v>
      </c>
      <c r="W12" s="256">
        <f t="shared" si="2"/>
        <v>0</v>
      </c>
      <c r="X12" s="256">
        <f t="shared" si="2"/>
        <v>0</v>
      </c>
      <c r="Y12" s="256">
        <f t="shared" si="2"/>
        <v>0</v>
      </c>
      <c r="Z12" s="256">
        <f t="shared" si="2"/>
        <v>0</v>
      </c>
      <c r="AA12" s="256">
        <f t="shared" si="2"/>
        <v>0</v>
      </c>
    </row>
    <row r="14" spans="1:27" s="16" customFormat="1">
      <c r="B14" s="205" t="s">
        <v>111</v>
      </c>
      <c r="J14" s="205"/>
      <c r="N14" s="205" t="s">
        <v>111</v>
      </c>
      <c r="S14" s="205"/>
    </row>
    <row r="15" spans="1:27" s="253" customFormat="1">
      <c r="A15" s="164" t="s">
        <v>140</v>
      </c>
      <c r="B15" s="254">
        <v>1</v>
      </c>
      <c r="C15" s="254">
        <v>2</v>
      </c>
      <c r="D15" s="254">
        <v>3</v>
      </c>
      <c r="E15" s="254">
        <v>4</v>
      </c>
      <c r="F15" s="254">
        <v>5</v>
      </c>
      <c r="G15" s="254">
        <v>6</v>
      </c>
      <c r="H15" s="254">
        <v>7</v>
      </c>
      <c r="I15" s="254">
        <v>8</v>
      </c>
      <c r="J15" s="254">
        <v>9</v>
      </c>
      <c r="K15" s="254">
        <v>10</v>
      </c>
      <c r="L15" s="254">
        <v>11</v>
      </c>
      <c r="M15" s="254">
        <v>12</v>
      </c>
      <c r="N15" s="254">
        <v>13</v>
      </c>
      <c r="O15" s="254">
        <v>14</v>
      </c>
      <c r="P15" s="254">
        <v>15</v>
      </c>
      <c r="Q15" s="254">
        <v>16</v>
      </c>
      <c r="R15" s="254">
        <v>17</v>
      </c>
      <c r="S15" s="254">
        <v>18</v>
      </c>
      <c r="T15" s="254">
        <v>19</v>
      </c>
      <c r="U15" s="254">
        <v>20</v>
      </c>
      <c r="V15" s="254">
        <v>21</v>
      </c>
      <c r="W15" s="254">
        <v>22</v>
      </c>
      <c r="X15" s="254">
        <v>23</v>
      </c>
      <c r="Y15" s="254">
        <v>24</v>
      </c>
      <c r="Z15" s="254">
        <v>25</v>
      </c>
      <c r="AA15" s="254">
        <v>26</v>
      </c>
    </row>
    <row r="16" spans="1:27" s="39" customFormat="1" ht="5.0999999999999996" customHeight="1">
      <c r="A16" s="255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04"/>
      <c r="AA16" s="204"/>
    </row>
    <row r="17" spans="1:27" s="39" customFormat="1">
      <c r="A17" s="209" t="s">
        <v>288</v>
      </c>
      <c r="B17" s="252">
        <f t="shared" ref="B17:AA17" si="3">+B10</f>
        <v>1.8999999999999906E-2</v>
      </c>
      <c r="C17" s="252">
        <f t="shared" si="3"/>
        <v>3.6999999999999998E-2</v>
      </c>
      <c r="D17" s="252">
        <f t="shared" si="3"/>
        <v>6.5000000000000002E-2</v>
      </c>
      <c r="E17" s="252">
        <f t="shared" si="3"/>
        <v>9.9000000000000005E-2</v>
      </c>
      <c r="F17" s="252">
        <f t="shared" si="3"/>
        <v>0.13</v>
      </c>
      <c r="G17" s="252">
        <f t="shared" si="3"/>
        <v>0.15</v>
      </c>
      <c r="H17" s="252">
        <f t="shared" si="3"/>
        <v>0.15</v>
      </c>
      <c r="I17" s="252">
        <f t="shared" si="3"/>
        <v>0.13</v>
      </c>
      <c r="J17" s="252">
        <f t="shared" si="3"/>
        <v>9.9000000000000005E-2</v>
      </c>
      <c r="K17" s="252">
        <f t="shared" si="3"/>
        <v>6.5000000000000002E-2</v>
      </c>
      <c r="L17" s="252">
        <f t="shared" si="3"/>
        <v>3.6999999999999998E-2</v>
      </c>
      <c r="M17" s="252">
        <f t="shared" si="3"/>
        <v>1.9E-2</v>
      </c>
      <c r="N17" s="252">
        <f t="shared" si="3"/>
        <v>0</v>
      </c>
      <c r="O17" s="252">
        <f t="shared" si="3"/>
        <v>0</v>
      </c>
      <c r="P17" s="252">
        <f t="shared" si="3"/>
        <v>0</v>
      </c>
      <c r="Q17" s="252">
        <f t="shared" si="3"/>
        <v>0</v>
      </c>
      <c r="R17" s="252">
        <f t="shared" si="3"/>
        <v>0</v>
      </c>
      <c r="S17" s="252">
        <f t="shared" si="3"/>
        <v>0</v>
      </c>
      <c r="T17" s="252">
        <f t="shared" si="3"/>
        <v>0</v>
      </c>
      <c r="U17" s="252">
        <f t="shared" si="3"/>
        <v>0</v>
      </c>
      <c r="V17" s="252">
        <f t="shared" si="3"/>
        <v>0</v>
      </c>
      <c r="W17" s="252">
        <f t="shared" si="3"/>
        <v>0</v>
      </c>
      <c r="X17" s="252">
        <f t="shared" si="3"/>
        <v>0</v>
      </c>
      <c r="Y17" s="252">
        <f t="shared" si="3"/>
        <v>0</v>
      </c>
      <c r="Z17" s="252">
        <f t="shared" si="3"/>
        <v>0</v>
      </c>
      <c r="AA17" s="252">
        <f t="shared" si="3"/>
        <v>0</v>
      </c>
    </row>
    <row r="18" spans="1:27">
      <c r="A18" s="209" t="s">
        <v>289</v>
      </c>
      <c r="B18" s="200">
        <f>1-SUM(C18:Y18)</f>
        <v>7.3999999999999733E-2</v>
      </c>
      <c r="C18" s="200">
        <f t="shared" ref="C18:AA18" si="4">ROUND(IF(C$15&gt;WaveDur,0,(WEIBULL(C$15,Weibull_Alpha,Weibull_Beta,1)-WEIBULL(B$15,Weibull_Alpha,Weibull_Beta,1))/(WEIBULL(WaveDur,Weibull_Alpha,Weibull_Beta,1)-NORMDIST(0,Weibull_Alpha,Weibull_Beta,1))),3)</f>
        <v>0.25900000000000001</v>
      </c>
      <c r="D18" s="200">
        <f t="shared" si="4"/>
        <v>0.157</v>
      </c>
      <c r="E18" s="200">
        <f t="shared" si="4"/>
        <v>0.112</v>
      </c>
      <c r="F18" s="200">
        <f t="shared" si="4"/>
        <v>8.5999999999999993E-2</v>
      </c>
      <c r="G18" s="200">
        <f t="shared" si="4"/>
        <v>6.9000000000000006E-2</v>
      </c>
      <c r="H18" s="200">
        <f t="shared" si="4"/>
        <v>5.7000000000000002E-2</v>
      </c>
      <c r="I18" s="200">
        <f t="shared" si="4"/>
        <v>4.8000000000000001E-2</v>
      </c>
      <c r="J18" s="200">
        <f t="shared" si="4"/>
        <v>4.2000000000000003E-2</v>
      </c>
      <c r="K18" s="200">
        <f t="shared" si="4"/>
        <v>3.5999999999999997E-2</v>
      </c>
      <c r="L18" s="200">
        <f t="shared" si="4"/>
        <v>3.2000000000000001E-2</v>
      </c>
      <c r="M18" s="200">
        <f t="shared" si="4"/>
        <v>2.8000000000000001E-2</v>
      </c>
      <c r="N18" s="200">
        <f t="shared" si="4"/>
        <v>0</v>
      </c>
      <c r="O18" s="200">
        <f t="shared" si="4"/>
        <v>0</v>
      </c>
      <c r="P18" s="200">
        <f t="shared" si="4"/>
        <v>0</v>
      </c>
      <c r="Q18" s="200">
        <f t="shared" si="4"/>
        <v>0</v>
      </c>
      <c r="R18" s="200">
        <f t="shared" si="4"/>
        <v>0</v>
      </c>
      <c r="S18" s="200">
        <f t="shared" si="4"/>
        <v>0</v>
      </c>
      <c r="T18" s="200">
        <f t="shared" si="4"/>
        <v>0</v>
      </c>
      <c r="U18" s="200">
        <f t="shared" si="4"/>
        <v>0</v>
      </c>
      <c r="V18" s="200">
        <f t="shared" si="4"/>
        <v>0</v>
      </c>
      <c r="W18" s="200">
        <f t="shared" si="4"/>
        <v>0</v>
      </c>
      <c r="X18" s="200">
        <f t="shared" si="4"/>
        <v>0</v>
      </c>
      <c r="Y18" s="200">
        <f t="shared" si="4"/>
        <v>0</v>
      </c>
      <c r="Z18" s="200">
        <f t="shared" si="4"/>
        <v>0</v>
      </c>
      <c r="AA18" s="200">
        <f t="shared" si="4"/>
        <v>0</v>
      </c>
    </row>
    <row r="19" spans="1:27">
      <c r="A19" s="296" t="s">
        <v>4</v>
      </c>
      <c r="B19" s="257">
        <f t="shared" ref="B19:AA19" si="5">+B18</f>
        <v>7.3999999999999733E-2</v>
      </c>
      <c r="C19" s="257">
        <f t="shared" si="5"/>
        <v>0.25900000000000001</v>
      </c>
      <c r="D19" s="257">
        <f t="shared" si="5"/>
        <v>0.157</v>
      </c>
      <c r="E19" s="257">
        <f t="shared" si="5"/>
        <v>0.112</v>
      </c>
      <c r="F19" s="257">
        <f t="shared" si="5"/>
        <v>8.5999999999999993E-2</v>
      </c>
      <c r="G19" s="257">
        <f t="shared" si="5"/>
        <v>6.9000000000000006E-2</v>
      </c>
      <c r="H19" s="257">
        <f t="shared" si="5"/>
        <v>5.7000000000000002E-2</v>
      </c>
      <c r="I19" s="257">
        <f t="shared" si="5"/>
        <v>4.8000000000000001E-2</v>
      </c>
      <c r="J19" s="257">
        <f t="shared" si="5"/>
        <v>4.2000000000000003E-2</v>
      </c>
      <c r="K19" s="257">
        <f t="shared" si="5"/>
        <v>3.5999999999999997E-2</v>
      </c>
      <c r="L19" s="257">
        <f t="shared" si="5"/>
        <v>3.2000000000000001E-2</v>
      </c>
      <c r="M19" s="257">
        <f t="shared" si="5"/>
        <v>2.8000000000000001E-2</v>
      </c>
      <c r="N19" s="257">
        <f t="shared" si="5"/>
        <v>0</v>
      </c>
      <c r="O19" s="257">
        <f t="shared" si="5"/>
        <v>0</v>
      </c>
      <c r="P19" s="257">
        <f t="shared" si="5"/>
        <v>0</v>
      </c>
      <c r="Q19" s="257">
        <f t="shared" si="5"/>
        <v>0</v>
      </c>
      <c r="R19" s="257">
        <f t="shared" si="5"/>
        <v>0</v>
      </c>
      <c r="S19" s="257">
        <f t="shared" si="5"/>
        <v>0</v>
      </c>
      <c r="T19" s="257">
        <f t="shared" si="5"/>
        <v>0</v>
      </c>
      <c r="U19" s="257">
        <f t="shared" si="5"/>
        <v>0</v>
      </c>
      <c r="V19" s="257">
        <f t="shared" si="5"/>
        <v>0</v>
      </c>
      <c r="W19" s="257">
        <f t="shared" si="5"/>
        <v>0</v>
      </c>
      <c r="X19" s="257">
        <f t="shared" si="5"/>
        <v>0</v>
      </c>
      <c r="Y19" s="257">
        <f t="shared" si="5"/>
        <v>0</v>
      </c>
      <c r="Z19" s="257">
        <f t="shared" si="5"/>
        <v>0</v>
      </c>
      <c r="AA19" s="257">
        <f t="shared" si="5"/>
        <v>0</v>
      </c>
    </row>
    <row r="21" spans="1:27">
      <c r="A21" s="13"/>
      <c r="B21" s="13"/>
      <c r="D21" s="13"/>
      <c r="E21" s="13"/>
      <c r="F21" s="13"/>
      <c r="G21" s="13"/>
      <c r="I21" s="13"/>
      <c r="J21" s="13"/>
    </row>
    <row r="22" spans="1:27">
      <c r="F22" s="164" t="s">
        <v>147</v>
      </c>
    </row>
    <row r="23" spans="1:27">
      <c r="G23" s="164"/>
    </row>
    <row r="24" spans="1:27">
      <c r="D24" s="166" t="s">
        <v>292</v>
      </c>
      <c r="E24" s="499">
        <v>4.5</v>
      </c>
      <c r="F24" s="40" t="s">
        <v>290</v>
      </c>
      <c r="G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</row>
    <row r="25" spans="1:27">
      <c r="D25" s="169" t="s">
        <v>145</v>
      </c>
      <c r="E25" s="499">
        <v>0.4</v>
      </c>
      <c r="F25" s="40" t="s">
        <v>291</v>
      </c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</row>
    <row r="26" spans="1:27">
      <c r="D26" s="200" t="s">
        <v>146</v>
      </c>
      <c r="E26" s="499">
        <v>3</v>
      </c>
      <c r="F26" s="40" t="s">
        <v>291</v>
      </c>
      <c r="G26" s="206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1"/>
      <c r="Y26" s="201"/>
    </row>
  </sheetData>
  <phoneticPr fontId="21" type="noConversion"/>
  <printOptions horizontalCentered="1"/>
  <pageMargins left="0.5" right="0.5" top="0.75" bottom="0.75" header="0.5" footer="0.35"/>
  <pageSetup scale="85" orientation="landscape" r:id="rId1"/>
  <headerFooter alignWithMargins="0">
    <oddFooter xml:space="preserve">&amp;L&amp;F
&amp;A&amp;CMBA Actuaries, Inc.&amp;R&amp;T
&amp;D </oddFooter>
  </headerFooter>
  <colBreaks count="1" manualBreakCount="1">
    <brk id="13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2:M31"/>
  <sheetViews>
    <sheetView workbookViewId="0">
      <selection activeCell="D4" sqref="D4"/>
    </sheetView>
  </sheetViews>
  <sheetFormatPr defaultRowHeight="12.75"/>
  <cols>
    <col min="1" max="16384" width="9.140625" style="165"/>
  </cols>
  <sheetData>
    <row r="2" spans="2:13">
      <c r="B2" s="446" t="str">
        <f>scenario</f>
        <v>Severe Scenario, V\ Curve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64" t="s">
        <v>400</v>
      </c>
    </row>
    <row r="3" spans="2:13" ht="15.75">
      <c r="B3" s="137"/>
      <c r="C3" s="13"/>
      <c r="D3" s="13"/>
      <c r="E3" s="13"/>
      <c r="F3" s="13"/>
      <c r="G3" s="13"/>
      <c r="H3" s="13"/>
      <c r="I3" s="13"/>
      <c r="J3" s="13"/>
      <c r="K3" s="13"/>
      <c r="L3" s="13"/>
      <c r="M3" s="222"/>
    </row>
    <row r="4" spans="2:13" ht="15.75">
      <c r="B4" s="137" t="s">
        <v>130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15">
      <c r="B5" s="227" t="s">
        <v>149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13">
      <c r="B6"/>
      <c r="C6"/>
      <c r="D6"/>
      <c r="E6"/>
      <c r="F6"/>
      <c r="G6"/>
      <c r="H6"/>
      <c r="I6"/>
      <c r="J6"/>
      <c r="K6"/>
      <c r="L6"/>
      <c r="M6"/>
    </row>
    <row r="7" spans="2:13">
      <c r="B7"/>
      <c r="C7"/>
      <c r="D7"/>
      <c r="E7"/>
      <c r="F7"/>
      <c r="G7"/>
      <c r="H7"/>
      <c r="I7"/>
      <c r="J7"/>
      <c r="K7"/>
      <c r="L7"/>
      <c r="M7"/>
    </row>
    <row r="8" spans="2:13">
      <c r="B8"/>
      <c r="C8"/>
      <c r="D8"/>
      <c r="E8"/>
      <c r="F8"/>
      <c r="G8"/>
      <c r="H8"/>
      <c r="I8"/>
      <c r="J8"/>
      <c r="K8"/>
      <c r="L8"/>
      <c r="M8"/>
    </row>
    <row r="9" spans="2:13">
      <c r="B9"/>
      <c r="C9"/>
      <c r="D9"/>
      <c r="E9"/>
      <c r="F9"/>
      <c r="G9"/>
      <c r="H9"/>
      <c r="I9"/>
      <c r="J9"/>
      <c r="K9"/>
      <c r="L9"/>
      <c r="M9"/>
    </row>
    <row r="10" spans="2:13">
      <c r="B10"/>
      <c r="C10"/>
      <c r="D10"/>
      <c r="E10"/>
      <c r="F10"/>
      <c r="G10"/>
      <c r="H10"/>
      <c r="I10"/>
      <c r="J10"/>
      <c r="K10"/>
      <c r="L10"/>
      <c r="M10"/>
    </row>
    <row r="11" spans="2:13">
      <c r="B11"/>
      <c r="C11"/>
      <c r="D11"/>
      <c r="E11"/>
      <c r="F11"/>
      <c r="G11"/>
      <c r="H11"/>
      <c r="I11"/>
      <c r="J11"/>
      <c r="K11"/>
      <c r="L11"/>
      <c r="M11"/>
    </row>
    <row r="12" spans="2:13">
      <c r="B12"/>
      <c r="C12"/>
      <c r="D12"/>
      <c r="E12"/>
      <c r="F12"/>
      <c r="G12"/>
      <c r="H12"/>
      <c r="I12"/>
      <c r="J12"/>
      <c r="K12"/>
      <c r="L12"/>
      <c r="M12"/>
    </row>
    <row r="13" spans="2:13">
      <c r="B13"/>
      <c r="C13"/>
      <c r="D13"/>
      <c r="E13"/>
      <c r="F13"/>
      <c r="G13"/>
      <c r="H13"/>
      <c r="I13"/>
      <c r="J13"/>
      <c r="K13"/>
      <c r="L13"/>
      <c r="M13"/>
    </row>
    <row r="14" spans="2:13">
      <c r="B14"/>
      <c r="C14"/>
      <c r="D14"/>
      <c r="E14"/>
      <c r="F14"/>
      <c r="G14"/>
      <c r="H14"/>
      <c r="I14"/>
      <c r="J14"/>
      <c r="K14"/>
      <c r="L14"/>
      <c r="M14"/>
    </row>
    <row r="15" spans="2:13">
      <c r="B15"/>
      <c r="C15"/>
      <c r="D15"/>
      <c r="E15"/>
      <c r="F15"/>
      <c r="G15"/>
      <c r="H15"/>
      <c r="I15"/>
      <c r="J15"/>
      <c r="K15"/>
      <c r="L15"/>
      <c r="M15"/>
    </row>
    <row r="16" spans="2:13">
      <c r="B16"/>
      <c r="C16"/>
      <c r="D16"/>
      <c r="E16"/>
      <c r="F16"/>
      <c r="G16"/>
      <c r="H16"/>
      <c r="I16"/>
      <c r="J16"/>
      <c r="K16"/>
      <c r="L16"/>
      <c r="M16"/>
    </row>
    <row r="17" spans="1:13"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B21"/>
      <c r="C21"/>
      <c r="D21"/>
      <c r="E21"/>
      <c r="F21"/>
      <c r="G21"/>
      <c r="H21"/>
      <c r="I21"/>
      <c r="J21"/>
      <c r="K21"/>
      <c r="L21"/>
      <c r="M21"/>
    </row>
    <row r="22" spans="1:13">
      <c r="A22" s="238"/>
      <c r="B22"/>
      <c r="C22"/>
      <c r="D22"/>
      <c r="E22"/>
      <c r="F22"/>
      <c r="G22"/>
      <c r="H22"/>
      <c r="I22"/>
      <c r="J22"/>
      <c r="K22"/>
      <c r="L22"/>
      <c r="M22"/>
    </row>
    <row r="23" spans="1:13">
      <c r="B23"/>
      <c r="C23"/>
      <c r="D23"/>
      <c r="E23"/>
      <c r="F23"/>
      <c r="G23"/>
      <c r="H23"/>
      <c r="I23"/>
      <c r="J23"/>
      <c r="K23"/>
      <c r="L23"/>
      <c r="M23"/>
    </row>
    <row r="24" spans="1:13">
      <c r="B24"/>
      <c r="C24"/>
      <c r="D24"/>
      <c r="E24"/>
      <c r="F24"/>
      <c r="G24"/>
      <c r="H24"/>
      <c r="I24"/>
      <c r="J24"/>
      <c r="K24"/>
      <c r="L24"/>
      <c r="M24"/>
    </row>
    <row r="25" spans="1:13">
      <c r="B25"/>
      <c r="C25"/>
      <c r="D25"/>
      <c r="E25"/>
      <c r="F25"/>
      <c r="G25"/>
      <c r="H25"/>
      <c r="I25"/>
      <c r="J25"/>
      <c r="K25"/>
      <c r="L25"/>
      <c r="M25"/>
    </row>
    <row r="26" spans="1:13">
      <c r="B26"/>
      <c r="C26"/>
      <c r="D26"/>
      <c r="E26"/>
      <c r="F26"/>
      <c r="G26"/>
      <c r="H26"/>
      <c r="I26"/>
      <c r="J26"/>
      <c r="K26"/>
      <c r="L26"/>
      <c r="M26"/>
    </row>
    <row r="27" spans="1:13">
      <c r="B27"/>
      <c r="C27"/>
      <c r="D27"/>
      <c r="E27"/>
      <c r="F27"/>
      <c r="G27"/>
      <c r="H27"/>
      <c r="I27"/>
      <c r="J27"/>
      <c r="K27"/>
      <c r="L27"/>
      <c r="M27"/>
    </row>
    <row r="28" spans="1:13">
      <c r="B28"/>
      <c r="C28"/>
      <c r="D28"/>
      <c r="E28"/>
      <c r="F28"/>
      <c r="G28"/>
      <c r="H28"/>
      <c r="I28"/>
      <c r="J28"/>
      <c r="K28"/>
      <c r="L28"/>
      <c r="M28"/>
    </row>
    <row r="29" spans="1:13">
      <c r="B29"/>
      <c r="C29"/>
      <c r="D29"/>
      <c r="E29"/>
      <c r="F29"/>
      <c r="G29"/>
      <c r="H29"/>
      <c r="I29"/>
      <c r="J29"/>
      <c r="K29"/>
      <c r="L29"/>
      <c r="M29"/>
    </row>
    <row r="30" spans="1:13">
      <c r="B30"/>
      <c r="C30"/>
      <c r="D30"/>
      <c r="E30"/>
      <c r="F30"/>
      <c r="G30"/>
      <c r="H30"/>
      <c r="I30"/>
      <c r="J30"/>
      <c r="K30"/>
      <c r="L30"/>
      <c r="M30"/>
    </row>
    <row r="31" spans="1:13">
      <c r="B31"/>
      <c r="C31"/>
      <c r="D31"/>
      <c r="E31"/>
      <c r="F31"/>
      <c r="G31"/>
      <c r="H31"/>
      <c r="I31"/>
      <c r="J31"/>
      <c r="K31"/>
      <c r="L31"/>
      <c r="M31"/>
    </row>
  </sheetData>
  <printOptions horizontalCentered="1"/>
  <pageMargins left="0.5" right="0.5" top="0.75" bottom="0.75" header="0.5" footer="0.35"/>
  <pageSetup orientation="landscape" r:id="rId1"/>
  <headerFooter alignWithMargins="0">
    <oddFooter>&amp;L&amp;8&amp;F 
&amp;A&amp;C&amp;8 MBA Actuaries, Inc. &amp;R&amp;8&amp;D 
&amp;T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/>
  <dimension ref="A1:H39"/>
  <sheetViews>
    <sheetView workbookViewId="0">
      <selection activeCell="D4" sqref="D4"/>
    </sheetView>
  </sheetViews>
  <sheetFormatPr defaultRowHeight="12.75"/>
  <cols>
    <col min="1" max="1" width="9.42578125" style="3" bestFit="1" customWidth="1"/>
    <col min="2" max="2" width="10.7109375" style="230" customWidth="1"/>
    <col min="3" max="6" width="10.7109375" style="3" customWidth="1"/>
    <col min="7" max="7" width="17" style="3" bestFit="1" customWidth="1"/>
    <col min="8" max="8" width="2" style="3" customWidth="1"/>
    <col min="9" max="16384" width="9.140625" style="3"/>
  </cols>
  <sheetData>
    <row r="1" spans="1:8">
      <c r="A1" s="446" t="str">
        <f>scenario</f>
        <v>Severe Scenario, V\ Curve</v>
      </c>
      <c r="H1" s="164" t="s">
        <v>399</v>
      </c>
    </row>
    <row r="2" spans="1:8">
      <c r="H2" s="25"/>
    </row>
    <row r="3" spans="1:8">
      <c r="H3" s="25"/>
    </row>
    <row r="4" spans="1:8" ht="15.75">
      <c r="A4" s="137" t="s">
        <v>130</v>
      </c>
      <c r="B4" s="231"/>
      <c r="C4" s="137"/>
      <c r="D4" s="28"/>
      <c r="E4" s="28"/>
      <c r="F4" s="28"/>
      <c r="G4" s="28"/>
      <c r="H4" s="25"/>
    </row>
    <row r="5" spans="1:8" ht="15">
      <c r="A5" s="139" t="s">
        <v>339</v>
      </c>
      <c r="B5" s="232"/>
      <c r="C5" s="139"/>
      <c r="D5" s="28"/>
      <c r="E5" s="28"/>
      <c r="F5" s="28"/>
      <c r="G5" s="28"/>
    </row>
    <row r="7" spans="1:8">
      <c r="D7" s="4"/>
      <c r="E7" s="33"/>
      <c r="F7" s="33"/>
      <c r="G7" s="33"/>
    </row>
    <row r="8" spans="1:8">
      <c r="A8" s="37" t="str">
        <f>+'Total Costs'!A5</f>
        <v>Age</v>
      </c>
      <c r="B8" s="233"/>
      <c r="C8" s="37"/>
      <c r="D8" s="37" t="s">
        <v>62</v>
      </c>
      <c r="E8" s="37" t="s">
        <v>64</v>
      </c>
      <c r="F8" s="229" t="s">
        <v>161</v>
      </c>
      <c r="G8" s="37" t="s">
        <v>1</v>
      </c>
    </row>
    <row r="9" spans="1:8">
      <c r="A9" s="37" t="str">
        <f>+'Total Costs'!A6</f>
        <v>Range</v>
      </c>
      <c r="B9" s="233" t="s">
        <v>167</v>
      </c>
      <c r="C9" s="229" t="s">
        <v>34</v>
      </c>
      <c r="D9" s="37" t="s">
        <v>63</v>
      </c>
      <c r="E9" s="237" t="s">
        <v>141</v>
      </c>
      <c r="F9" s="237" t="s">
        <v>141</v>
      </c>
      <c r="G9" s="237" t="s">
        <v>143</v>
      </c>
    </row>
    <row r="10" spans="1:8">
      <c r="B10" s="66">
        <v>-1</v>
      </c>
      <c r="C10" s="66">
        <f>+B10-1</f>
        <v>-2</v>
      </c>
      <c r="D10" s="66">
        <f>+C10-1</f>
        <v>-3</v>
      </c>
      <c r="E10" s="66">
        <f>+D10-1</f>
        <v>-4</v>
      </c>
      <c r="F10" s="66">
        <f>+E10-1</f>
        <v>-5</v>
      </c>
      <c r="G10" s="66">
        <f>+F10-1</f>
        <v>-6</v>
      </c>
    </row>
    <row r="11" spans="1:8" ht="5.0999999999999996" customHeight="1">
      <c r="A11" s="37"/>
      <c r="B11" s="233"/>
      <c r="C11" s="37"/>
      <c r="D11" s="37"/>
      <c r="E11" s="33"/>
      <c r="F11" s="33"/>
      <c r="G11" s="33"/>
    </row>
    <row r="12" spans="1:8">
      <c r="A12" s="41" t="str">
        <f>+'Total Costs'!A9</f>
        <v>0 - 4</v>
      </c>
      <c r="B12" s="234">
        <v>0</v>
      </c>
      <c r="C12" s="236">
        <f t="shared" ref="C12:C29" si="0">+B12*$C$30</f>
        <v>0</v>
      </c>
      <c r="D12" s="169">
        <f t="shared" ref="D12:D29" si="1">ACFStay</f>
        <v>5</v>
      </c>
      <c r="E12" s="527">
        <f t="shared" ref="E12:E29" si="2">ACFCharge</f>
        <v>500</v>
      </c>
      <c r="F12" s="382">
        <f t="shared" ref="F12:F29" si="3">+D12*E12</f>
        <v>2500</v>
      </c>
      <c r="G12" s="98">
        <f t="shared" ref="G12:G29" si="4">+C12*D12*E12</f>
        <v>0</v>
      </c>
    </row>
    <row r="13" spans="1:8">
      <c r="A13" s="41" t="str">
        <f>+'Total Costs'!A10</f>
        <v>5 - 9</v>
      </c>
      <c r="B13" s="234">
        <v>0</v>
      </c>
      <c r="C13" s="236">
        <f t="shared" si="0"/>
        <v>0</v>
      </c>
      <c r="D13" s="169">
        <f t="shared" si="1"/>
        <v>5</v>
      </c>
      <c r="E13" s="282">
        <f t="shared" si="2"/>
        <v>500</v>
      </c>
      <c r="F13" s="98">
        <f t="shared" si="3"/>
        <v>2500</v>
      </c>
      <c r="G13" s="98">
        <f t="shared" si="4"/>
        <v>0</v>
      </c>
    </row>
    <row r="14" spans="1:8">
      <c r="A14" s="41" t="str">
        <f>+'Total Costs'!A11</f>
        <v>10 - 14</v>
      </c>
      <c r="B14" s="234">
        <v>0</v>
      </c>
      <c r="C14" s="236">
        <f t="shared" si="0"/>
        <v>0</v>
      </c>
      <c r="D14" s="169">
        <f t="shared" si="1"/>
        <v>5</v>
      </c>
      <c r="E14" s="282">
        <f t="shared" si="2"/>
        <v>500</v>
      </c>
      <c r="F14" s="98">
        <f t="shared" si="3"/>
        <v>2500</v>
      </c>
      <c r="G14" s="98">
        <f t="shared" si="4"/>
        <v>0</v>
      </c>
    </row>
    <row r="15" spans="1:8">
      <c r="A15" s="41" t="str">
        <f>+'Total Costs'!A12</f>
        <v>15 - 19</v>
      </c>
      <c r="B15" s="234">
        <f>ROUND('Distribution by Risk Class'!I12/SUM('Distribution by Risk Class'!$I$12:$I$22),3)</f>
        <v>0.06</v>
      </c>
      <c r="C15" s="236">
        <f t="shared" si="0"/>
        <v>52082.579999999994</v>
      </c>
      <c r="D15" s="169">
        <f t="shared" si="1"/>
        <v>5</v>
      </c>
      <c r="E15" s="282">
        <f t="shared" si="2"/>
        <v>500</v>
      </c>
      <c r="F15" s="98">
        <f t="shared" si="3"/>
        <v>2500</v>
      </c>
      <c r="G15" s="382">
        <f t="shared" si="4"/>
        <v>130206449.99999999</v>
      </c>
    </row>
    <row r="16" spans="1:8">
      <c r="A16" s="41" t="str">
        <f>+'Total Costs'!A13</f>
        <v>20 - 24</v>
      </c>
      <c r="B16" s="234">
        <f>ROUND('Distribution by Risk Class'!I13/SUM('Distribution by Risk Class'!$I$12:$I$22),3)</f>
        <v>0.108</v>
      </c>
      <c r="C16" s="236">
        <f t="shared" si="0"/>
        <v>93748.644</v>
      </c>
      <c r="D16" s="169">
        <f t="shared" si="1"/>
        <v>5</v>
      </c>
      <c r="E16" s="282">
        <f t="shared" si="2"/>
        <v>500</v>
      </c>
      <c r="F16" s="98">
        <f t="shared" si="3"/>
        <v>2500</v>
      </c>
      <c r="G16" s="98">
        <f t="shared" si="4"/>
        <v>234371610</v>
      </c>
    </row>
    <row r="17" spans="1:7">
      <c r="A17" s="41" t="str">
        <f>+'Total Costs'!A14</f>
        <v>25 - 29</v>
      </c>
      <c r="B17" s="234">
        <f>ROUND('Distribution by Risk Class'!I14/SUM('Distribution by Risk Class'!$I$12:$I$22),3)</f>
        <v>0.193</v>
      </c>
      <c r="C17" s="236">
        <f t="shared" si="0"/>
        <v>167532.299</v>
      </c>
      <c r="D17" s="169">
        <f t="shared" si="1"/>
        <v>5</v>
      </c>
      <c r="E17" s="282">
        <f t="shared" si="2"/>
        <v>500</v>
      </c>
      <c r="F17" s="98">
        <f t="shared" si="3"/>
        <v>2500</v>
      </c>
      <c r="G17" s="98">
        <f t="shared" si="4"/>
        <v>418830747.5</v>
      </c>
    </row>
    <row r="18" spans="1:7">
      <c r="A18" s="41" t="str">
        <f>+'Total Costs'!A15</f>
        <v>30 - 34</v>
      </c>
      <c r="B18" s="234">
        <f>ROUND('Distribution by Risk Class'!I15/SUM('Distribution by Risk Class'!$I$12:$I$22),3)</f>
        <v>0.23599999999999999</v>
      </c>
      <c r="C18" s="236">
        <f t="shared" si="0"/>
        <v>204858.14799999999</v>
      </c>
      <c r="D18" s="169">
        <f t="shared" si="1"/>
        <v>5</v>
      </c>
      <c r="E18" s="282">
        <f t="shared" si="2"/>
        <v>500</v>
      </c>
      <c r="F18" s="98">
        <f t="shared" si="3"/>
        <v>2500</v>
      </c>
      <c r="G18" s="98">
        <f t="shared" si="4"/>
        <v>512145370</v>
      </c>
    </row>
    <row r="19" spans="1:7">
      <c r="A19" s="41" t="str">
        <f>+'Total Costs'!A16</f>
        <v>35 - 39</v>
      </c>
      <c r="B19" s="234">
        <f>ROUND('Distribution by Risk Class'!I16/SUM('Distribution by Risk Class'!$I$12:$I$22),3)</f>
        <v>0.19</v>
      </c>
      <c r="C19" s="236">
        <f t="shared" si="0"/>
        <v>164928.17000000001</v>
      </c>
      <c r="D19" s="169">
        <f t="shared" si="1"/>
        <v>5</v>
      </c>
      <c r="E19" s="282">
        <f t="shared" si="2"/>
        <v>500</v>
      </c>
      <c r="F19" s="98">
        <f t="shared" si="3"/>
        <v>2500</v>
      </c>
      <c r="G19" s="98">
        <f t="shared" si="4"/>
        <v>412320425.00000006</v>
      </c>
    </row>
    <row r="20" spans="1:7">
      <c r="A20" s="41" t="str">
        <f>+'Total Costs'!A17</f>
        <v>40 - 44</v>
      </c>
      <c r="B20" s="234">
        <f>ROUND('Distribution by Risk Class'!I17/SUM('Distribution by Risk Class'!$I$12:$I$22),3)</f>
        <v>0.126</v>
      </c>
      <c r="C20" s="236">
        <f t="shared" si="0"/>
        <v>109373.41800000001</v>
      </c>
      <c r="D20" s="169">
        <f t="shared" si="1"/>
        <v>5</v>
      </c>
      <c r="E20" s="282">
        <f t="shared" si="2"/>
        <v>500</v>
      </c>
      <c r="F20" s="98">
        <f t="shared" si="3"/>
        <v>2500</v>
      </c>
      <c r="G20" s="98">
        <f t="shared" si="4"/>
        <v>273433545.00000006</v>
      </c>
    </row>
    <row r="21" spans="1:7">
      <c r="A21" s="41" t="str">
        <f>+'Total Costs'!A18</f>
        <v>45 - 49</v>
      </c>
      <c r="B21" s="234">
        <f>ROUND('Distribution by Risk Class'!I18/SUM('Distribution by Risk Class'!$I$12:$I$22),3)</f>
        <v>5.3999999999999999E-2</v>
      </c>
      <c r="C21" s="236">
        <f t="shared" si="0"/>
        <v>46874.322</v>
      </c>
      <c r="D21" s="169">
        <f t="shared" si="1"/>
        <v>5</v>
      </c>
      <c r="E21" s="282">
        <f t="shared" si="2"/>
        <v>500</v>
      </c>
      <c r="F21" s="98">
        <f t="shared" si="3"/>
        <v>2500</v>
      </c>
      <c r="G21" s="98">
        <f t="shared" si="4"/>
        <v>117185805</v>
      </c>
    </row>
    <row r="22" spans="1:7">
      <c r="A22" s="41" t="str">
        <f>+'Total Costs'!A19</f>
        <v>50 - 54</v>
      </c>
      <c r="B22" s="234">
        <f>ROUND('Distribution by Risk Class'!I19/SUM('Distribution by Risk Class'!$I$12:$I$22),3)</f>
        <v>2.4E-2</v>
      </c>
      <c r="C22" s="236">
        <f t="shared" si="0"/>
        <v>20833.031999999999</v>
      </c>
      <c r="D22" s="169">
        <f t="shared" si="1"/>
        <v>5</v>
      </c>
      <c r="E22" s="282">
        <f t="shared" si="2"/>
        <v>500</v>
      </c>
      <c r="F22" s="98">
        <f t="shared" si="3"/>
        <v>2500</v>
      </c>
      <c r="G22" s="98">
        <f t="shared" si="4"/>
        <v>52082580</v>
      </c>
    </row>
    <row r="23" spans="1:7">
      <c r="A23" s="41" t="str">
        <f>+'Total Costs'!A20</f>
        <v>55 - 59</v>
      </c>
      <c r="B23" s="234">
        <f>ROUND('Distribution by Risk Class'!I20/SUM('Distribution by Risk Class'!$I$12:$I$22),3)</f>
        <v>7.0000000000000001E-3</v>
      </c>
      <c r="C23" s="236">
        <f t="shared" si="0"/>
        <v>6076.3010000000004</v>
      </c>
      <c r="D23" s="169">
        <f t="shared" si="1"/>
        <v>5</v>
      </c>
      <c r="E23" s="282">
        <f t="shared" si="2"/>
        <v>500</v>
      </c>
      <c r="F23" s="98">
        <f t="shared" si="3"/>
        <v>2500</v>
      </c>
      <c r="G23" s="98">
        <f t="shared" si="4"/>
        <v>15190752.5</v>
      </c>
    </row>
    <row r="24" spans="1:7">
      <c r="A24" s="41" t="str">
        <f>+'Total Costs'!A21</f>
        <v>60 - 64</v>
      </c>
      <c r="B24" s="234">
        <f>ROUND('Distribution by Risk Class'!I21/SUM('Distribution by Risk Class'!$I$12:$I$22),3)</f>
        <v>2E-3</v>
      </c>
      <c r="C24" s="236">
        <f t="shared" si="0"/>
        <v>1736.086</v>
      </c>
      <c r="D24" s="169">
        <f t="shared" si="1"/>
        <v>5</v>
      </c>
      <c r="E24" s="282">
        <f t="shared" si="2"/>
        <v>500</v>
      </c>
      <c r="F24" s="98">
        <f t="shared" si="3"/>
        <v>2500</v>
      </c>
      <c r="G24" s="98">
        <f t="shared" si="4"/>
        <v>4340215</v>
      </c>
    </row>
    <row r="25" spans="1:7">
      <c r="A25" s="41" t="str">
        <f>+'Total Costs'!A22</f>
        <v>65 - 69</v>
      </c>
      <c r="B25" s="234">
        <f>ROUND('Distribution by Risk Class'!I22/SUM('Distribution by Risk Class'!$I$12:$I$22),3)</f>
        <v>1E-3</v>
      </c>
      <c r="C25" s="236">
        <f t="shared" si="0"/>
        <v>868.04300000000001</v>
      </c>
      <c r="D25" s="169">
        <f t="shared" si="1"/>
        <v>5</v>
      </c>
      <c r="E25" s="282">
        <f t="shared" si="2"/>
        <v>500</v>
      </c>
      <c r="F25" s="98">
        <f t="shared" si="3"/>
        <v>2500</v>
      </c>
      <c r="G25" s="98">
        <f t="shared" si="4"/>
        <v>2170107.5</v>
      </c>
    </row>
    <row r="26" spans="1:7">
      <c r="A26" s="41" t="str">
        <f>+'Total Costs'!A23</f>
        <v>70 - 74</v>
      </c>
      <c r="B26" s="234">
        <v>0</v>
      </c>
      <c r="C26" s="236">
        <f t="shared" si="0"/>
        <v>0</v>
      </c>
      <c r="D26" s="169">
        <f t="shared" si="1"/>
        <v>5</v>
      </c>
      <c r="E26" s="282">
        <f t="shared" si="2"/>
        <v>500</v>
      </c>
      <c r="F26" s="98">
        <f t="shared" si="3"/>
        <v>2500</v>
      </c>
      <c r="G26" s="98">
        <f t="shared" si="4"/>
        <v>0</v>
      </c>
    </row>
    <row r="27" spans="1:7">
      <c r="A27" s="41" t="str">
        <f>+'Total Costs'!A24</f>
        <v>75 - 79</v>
      </c>
      <c r="B27" s="234">
        <v>0</v>
      </c>
      <c r="C27" s="236">
        <f t="shared" si="0"/>
        <v>0</v>
      </c>
      <c r="D27" s="169">
        <f t="shared" si="1"/>
        <v>5</v>
      </c>
      <c r="E27" s="282">
        <f t="shared" si="2"/>
        <v>500</v>
      </c>
      <c r="F27" s="98">
        <f t="shared" si="3"/>
        <v>2500</v>
      </c>
      <c r="G27" s="98">
        <f t="shared" si="4"/>
        <v>0</v>
      </c>
    </row>
    <row r="28" spans="1:7">
      <c r="A28" s="41" t="str">
        <f>+'Total Costs'!A25</f>
        <v>80 - 84</v>
      </c>
      <c r="B28" s="234">
        <v>0</v>
      </c>
      <c r="C28" s="236">
        <f t="shared" si="0"/>
        <v>0</v>
      </c>
      <c r="D28" s="169">
        <f t="shared" si="1"/>
        <v>5</v>
      </c>
      <c r="E28" s="282">
        <f t="shared" si="2"/>
        <v>500</v>
      </c>
      <c r="F28" s="98">
        <f t="shared" si="3"/>
        <v>2500</v>
      </c>
      <c r="G28" s="98">
        <f t="shared" si="4"/>
        <v>0</v>
      </c>
    </row>
    <row r="29" spans="1:7">
      <c r="A29" s="41" t="str">
        <f>+'Total Costs'!A26</f>
        <v>85+</v>
      </c>
      <c r="B29" s="234">
        <v>0</v>
      </c>
      <c r="C29" s="98">
        <f t="shared" si="0"/>
        <v>0</v>
      </c>
      <c r="D29" s="169">
        <f t="shared" si="1"/>
        <v>5</v>
      </c>
      <c r="E29" s="282">
        <f t="shared" si="2"/>
        <v>500</v>
      </c>
      <c r="F29" s="98">
        <f t="shared" si="3"/>
        <v>2500</v>
      </c>
      <c r="G29" s="98">
        <f t="shared" si="4"/>
        <v>0</v>
      </c>
    </row>
    <row r="30" spans="1:7">
      <c r="A30" s="79" t="str">
        <f>+'Total Costs'!A28</f>
        <v>Total</v>
      </c>
      <c r="B30" s="395">
        <f>SUM(B12:B29)</f>
        <v>1.0009999999999999</v>
      </c>
      <c r="C30" s="98">
        <f>ACFDemand</f>
        <v>868043</v>
      </c>
      <c r="D30" s="79"/>
      <c r="G30" s="382">
        <f>SUM(G12:G29)</f>
        <v>2172277607.5</v>
      </c>
    </row>
    <row r="31" spans="1:7">
      <c r="B31" s="235"/>
      <c r="G31" s="282"/>
    </row>
    <row r="32" spans="1:7">
      <c r="B32" s="235"/>
    </row>
    <row r="33" spans="1:2">
      <c r="B33" s="45" t="s">
        <v>9</v>
      </c>
    </row>
    <row r="34" spans="1:2">
      <c r="A34" s="181">
        <v>-1</v>
      </c>
      <c r="B34" s="165" t="s">
        <v>294</v>
      </c>
    </row>
    <row r="35" spans="1:2">
      <c r="A35" s="374">
        <f>+A34-1</f>
        <v>-2</v>
      </c>
      <c r="B35" s="230" t="s">
        <v>340</v>
      </c>
    </row>
    <row r="36" spans="1:2">
      <c r="A36" s="374">
        <f>+A35-1</f>
        <v>-3</v>
      </c>
      <c r="B36" s="230" t="s">
        <v>258</v>
      </c>
    </row>
    <row r="37" spans="1:2">
      <c r="A37" s="374">
        <f>+A36-1</f>
        <v>-4</v>
      </c>
      <c r="B37" s="230" t="s">
        <v>258</v>
      </c>
    </row>
    <row r="38" spans="1:2">
      <c r="A38" s="374">
        <f>+A37-1</f>
        <v>-5</v>
      </c>
      <c r="B38" s="230" t="s">
        <v>259</v>
      </c>
    </row>
    <row r="39" spans="1:2">
      <c r="A39" s="374">
        <f>+A38-1</f>
        <v>-6</v>
      </c>
      <c r="B39" s="230" t="s">
        <v>253</v>
      </c>
    </row>
  </sheetData>
  <phoneticPr fontId="0" type="noConversion"/>
  <printOptions horizontalCentered="1"/>
  <pageMargins left="0.5" right="0.5" top="0.75" bottom="0.7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45"/>
  <sheetViews>
    <sheetView zoomScaleNormal="100" workbookViewId="0">
      <selection activeCell="C25" sqref="C25"/>
    </sheetView>
  </sheetViews>
  <sheetFormatPr defaultRowHeight="12.75"/>
  <cols>
    <col min="1" max="1" width="6.7109375" style="165" customWidth="1"/>
    <col min="2" max="2" width="25.5703125" style="68" customWidth="1"/>
    <col min="3" max="4" width="16.7109375" style="165" customWidth="1"/>
    <col min="5" max="5" width="11.28515625" style="165" bestFit="1" customWidth="1"/>
    <col min="6" max="6" width="1.7109375" style="165" customWidth="1"/>
    <col min="7" max="8" width="12.7109375" style="165" customWidth="1"/>
    <col min="9" max="16384" width="9.140625" style="165"/>
  </cols>
  <sheetData>
    <row r="1" spans="1:6">
      <c r="A1" s="446" t="str">
        <f>scenario</f>
        <v>Severe Scenario, V\ Curve</v>
      </c>
      <c r="F1" s="164" t="s">
        <v>398</v>
      </c>
    </row>
    <row r="2" spans="1:6">
      <c r="F2" s="169"/>
    </row>
    <row r="3" spans="1:6">
      <c r="F3" s="169"/>
    </row>
    <row r="4" spans="1:6" ht="15.75">
      <c r="A4" s="137" t="s">
        <v>130</v>
      </c>
      <c r="B4" s="293"/>
      <c r="C4" s="137"/>
      <c r="D4" s="137"/>
      <c r="E4" s="251"/>
      <c r="F4" s="251"/>
    </row>
    <row r="5" spans="1:6" ht="15">
      <c r="A5" s="227" t="s">
        <v>158</v>
      </c>
      <c r="B5" s="293"/>
      <c r="C5" s="227"/>
      <c r="D5" s="227"/>
      <c r="E5" s="251"/>
      <c r="F5" s="251"/>
    </row>
    <row r="8" spans="1:6">
      <c r="C8" s="168"/>
      <c r="D8" s="293" t="s">
        <v>168</v>
      </c>
      <c r="E8" s="251"/>
    </row>
    <row r="9" spans="1:6">
      <c r="C9" s="168" t="s">
        <v>260</v>
      </c>
      <c r="D9" s="168" t="s">
        <v>31</v>
      </c>
      <c r="E9" s="168" t="s">
        <v>166</v>
      </c>
    </row>
    <row r="10" spans="1:6">
      <c r="A10" s="384">
        <v>-1</v>
      </c>
      <c r="B10" s="164" t="s">
        <v>197</v>
      </c>
      <c r="C10" s="250">
        <f>+E10-D10</f>
        <v>130600</v>
      </c>
      <c r="D10" s="250">
        <f>+HospUse</f>
        <v>522400</v>
      </c>
      <c r="E10" s="250">
        <f>+'Provider Scenario'!E15</f>
        <v>653000</v>
      </c>
      <c r="F10" s="285"/>
    </row>
    <row r="11" spans="1:6">
      <c r="B11" s="164"/>
      <c r="C11" s="250"/>
      <c r="D11" s="250"/>
      <c r="E11" s="250"/>
    </row>
    <row r="12" spans="1:6">
      <c r="B12" s="164"/>
      <c r="C12" s="250"/>
      <c r="D12" s="250"/>
      <c r="E12" s="250"/>
    </row>
    <row r="13" spans="1:6">
      <c r="C13" s="168" t="s">
        <v>169</v>
      </c>
      <c r="D13" s="168" t="s">
        <v>295</v>
      </c>
      <c r="E13" s="250"/>
    </row>
    <row r="14" spans="1:6">
      <c r="A14" s="383">
        <f>+A10-1</f>
        <v>-2</v>
      </c>
      <c r="B14" s="164" t="s">
        <v>275</v>
      </c>
      <c r="C14" s="490">
        <f>IF(Curve="V\",0.67,0.33)</f>
        <v>0.67</v>
      </c>
      <c r="D14" s="490">
        <f>1-C14</f>
        <v>0.32999999999999996</v>
      </c>
      <c r="E14" s="40"/>
    </row>
    <row r="15" spans="1:6">
      <c r="A15" s="383">
        <f>+A14-1</f>
        <v>-3</v>
      </c>
      <c r="B15" s="164" t="s">
        <v>170</v>
      </c>
      <c r="C15" s="500">
        <f>+C14*C10</f>
        <v>87502</v>
      </c>
      <c r="D15" s="500">
        <f>+D14*C10</f>
        <v>43097.999999999993</v>
      </c>
    </row>
    <row r="16" spans="1:6">
      <c r="A16" s="383">
        <f>+A15-1</f>
        <v>-4</v>
      </c>
      <c r="B16" s="164" t="s">
        <v>276</v>
      </c>
      <c r="C16" s="501">
        <v>25752.595000000001</v>
      </c>
      <c r="D16" s="501">
        <v>29600</v>
      </c>
      <c r="E16" s="40"/>
    </row>
    <row r="17" spans="1:7">
      <c r="B17" s="164"/>
      <c r="C17" s="294"/>
      <c r="D17" s="294"/>
      <c r="E17" s="40"/>
    </row>
    <row r="19" spans="1:7">
      <c r="C19" s="168" t="s">
        <v>169</v>
      </c>
      <c r="D19" s="168" t="s">
        <v>295</v>
      </c>
    </row>
    <row r="20" spans="1:7">
      <c r="A20" s="383">
        <f>+A16-1</f>
        <v>-5</v>
      </c>
      <c r="B20" s="164" t="s">
        <v>269</v>
      </c>
      <c r="C20" s="502">
        <v>0.66700000000000004</v>
      </c>
      <c r="D20" s="502">
        <v>0.66700000000000004</v>
      </c>
    </row>
    <row r="21" spans="1:7">
      <c r="A21" s="383">
        <f>+A20-1</f>
        <v>-6</v>
      </c>
      <c r="B21" s="164" t="s">
        <v>270</v>
      </c>
      <c r="C21" s="292">
        <f>WaveDur*C20</f>
        <v>8.0040000000000013</v>
      </c>
      <c r="D21" s="292">
        <f>WaveDur*D20</f>
        <v>8.0040000000000013</v>
      </c>
    </row>
    <row r="22" spans="1:7">
      <c r="A22" s="383">
        <f>+A21-1</f>
        <v>-7</v>
      </c>
      <c r="B22" s="164" t="s">
        <v>271</v>
      </c>
      <c r="C22" s="250">
        <f>C21*7</f>
        <v>56.028000000000006</v>
      </c>
      <c r="D22" s="284">
        <f>+C22</f>
        <v>56.028000000000006</v>
      </c>
    </row>
    <row r="23" spans="1:7">
      <c r="A23" s="383">
        <f>+A22-1</f>
        <v>-8</v>
      </c>
      <c r="B23" s="164" t="s">
        <v>262</v>
      </c>
      <c r="C23" s="503">
        <v>3.8</v>
      </c>
      <c r="D23" s="503">
        <v>4.8</v>
      </c>
      <c r="E23" s="40"/>
    </row>
    <row r="24" spans="1:7">
      <c r="A24" s="383">
        <f>+A23-1</f>
        <v>-9</v>
      </c>
      <c r="B24" s="164" t="s">
        <v>171</v>
      </c>
      <c r="C24" s="250">
        <f>+C15*C22/C23</f>
        <v>1290147.9094736844</v>
      </c>
      <c r="D24" s="250">
        <f>+D22/D23*D15</f>
        <v>503061.40499999997</v>
      </c>
      <c r="G24" s="277"/>
    </row>
    <row r="25" spans="1:7">
      <c r="B25" s="164"/>
      <c r="C25" s="250"/>
      <c r="D25" s="250"/>
    </row>
    <row r="26" spans="1:7">
      <c r="C26" s="284"/>
    </row>
    <row r="27" spans="1:7">
      <c r="B27" s="164" t="s">
        <v>272</v>
      </c>
    </row>
    <row r="28" spans="1:7">
      <c r="A28" s="383">
        <f>+A24-1</f>
        <v>-10</v>
      </c>
      <c r="B28" s="164" t="s">
        <v>170</v>
      </c>
      <c r="C28" s="286">
        <f>+C24*C16</f>
        <v>33224656602.772457</v>
      </c>
      <c r="D28" s="286">
        <f>+D24*D16</f>
        <v>14890617588</v>
      </c>
    </row>
    <row r="29" spans="1:7">
      <c r="B29" s="164"/>
      <c r="C29" s="285"/>
      <c r="D29" s="285"/>
    </row>
    <row r="30" spans="1:7">
      <c r="D30" s="285"/>
    </row>
    <row r="31" spans="1:7">
      <c r="A31" s="383">
        <f>+A28-1</f>
        <v>-11</v>
      </c>
      <c r="B31" s="164" t="s">
        <v>263</v>
      </c>
      <c r="C31" s="286">
        <f>+C28+D28</f>
        <v>48115274190.772461</v>
      </c>
    </row>
    <row r="34" spans="1:3">
      <c r="B34" s="45" t="s">
        <v>9</v>
      </c>
      <c r="C34" s="40"/>
    </row>
    <row r="35" spans="1:3">
      <c r="A35" s="384">
        <v>-1</v>
      </c>
      <c r="B35" s="303" t="s">
        <v>274</v>
      </c>
    </row>
    <row r="36" spans="1:3">
      <c r="A36" s="383">
        <f t="shared" ref="A36:A41" si="0">+A35-1</f>
        <v>-2</v>
      </c>
      <c r="B36" s="303" t="s">
        <v>408</v>
      </c>
    </row>
    <row r="37" spans="1:3">
      <c r="A37" s="383">
        <f t="shared" si="0"/>
        <v>-3</v>
      </c>
      <c r="B37" s="303" t="s">
        <v>261</v>
      </c>
    </row>
    <row r="38" spans="1:3">
      <c r="A38" s="383">
        <f t="shared" si="0"/>
        <v>-4</v>
      </c>
      <c r="B38" s="303" t="s">
        <v>281</v>
      </c>
    </row>
    <row r="39" spans="1:3">
      <c r="A39" s="383">
        <f t="shared" si="0"/>
        <v>-5</v>
      </c>
      <c r="B39" s="303" t="s">
        <v>277</v>
      </c>
    </row>
    <row r="40" spans="1:3">
      <c r="A40" s="383">
        <f t="shared" si="0"/>
        <v>-6</v>
      </c>
      <c r="B40" s="303" t="s">
        <v>278</v>
      </c>
    </row>
    <row r="41" spans="1:3">
      <c r="A41" s="383">
        <f t="shared" si="0"/>
        <v>-7</v>
      </c>
      <c r="B41" s="303" t="s">
        <v>279</v>
      </c>
    </row>
    <row r="42" spans="1:3">
      <c r="A42" s="383">
        <f>+A41-1</f>
        <v>-8</v>
      </c>
      <c r="B42" s="303" t="s">
        <v>280</v>
      </c>
    </row>
    <row r="43" spans="1:3">
      <c r="A43" s="383">
        <f>+A42-1</f>
        <v>-9</v>
      </c>
      <c r="B43" s="303" t="s">
        <v>282</v>
      </c>
    </row>
    <row r="44" spans="1:3">
      <c r="A44" s="383">
        <f>+A43-1</f>
        <v>-10</v>
      </c>
      <c r="B44" s="303" t="s">
        <v>283</v>
      </c>
    </row>
    <row r="45" spans="1:3">
      <c r="A45" s="383">
        <f>+A44-1</f>
        <v>-11</v>
      </c>
      <c r="B45" s="303" t="s">
        <v>284</v>
      </c>
    </row>
  </sheetData>
  <phoneticPr fontId="21" type="noConversion"/>
  <printOptions horizontalCentered="1"/>
  <pageMargins left="0.5" right="0.5" top="0.75" bottom="0.7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1"/>
  </sheetPr>
  <dimension ref="A23"/>
  <sheetViews>
    <sheetView workbookViewId="0">
      <selection activeCell="D4" sqref="D4"/>
    </sheetView>
  </sheetViews>
  <sheetFormatPr defaultRowHeight="12.75"/>
  <cols>
    <col min="1" max="16384" width="9.140625" style="274"/>
  </cols>
  <sheetData>
    <row r="23" spans="1:1">
      <c r="A23" s="275"/>
    </row>
  </sheetData>
  <pageMargins left="0.5" right="0.5" top="0.75" bottom="0.7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6"/>
  <sheetViews>
    <sheetView zoomScaleNormal="100" workbookViewId="0">
      <selection activeCell="B57" sqref="B57"/>
    </sheetView>
  </sheetViews>
  <sheetFormatPr defaultRowHeight="12.75"/>
  <cols>
    <col min="1" max="1" width="8.85546875" style="274" customWidth="1"/>
    <col min="2" max="2" width="9" style="274" customWidth="1"/>
    <col min="3" max="3" width="10.28515625" style="274" customWidth="1"/>
    <col min="4" max="4" width="11.140625" style="274" bestFit="1" customWidth="1"/>
    <col min="5" max="5" width="9.5703125" style="274" bestFit="1" customWidth="1"/>
    <col min="6" max="6" width="12.7109375" style="274" customWidth="1"/>
    <col min="7" max="7" width="11.140625" style="274" bestFit="1" customWidth="1"/>
    <col min="8" max="8" width="9.7109375" style="274" bestFit="1" customWidth="1"/>
    <col min="9" max="9" width="11.140625" style="274" bestFit="1" customWidth="1"/>
    <col min="10" max="10" width="11.42578125" style="274" customWidth="1"/>
    <col min="11" max="11" width="9.5703125" style="274" bestFit="1" customWidth="1"/>
    <col min="12" max="12" width="9.7109375" style="274" bestFit="1" customWidth="1"/>
    <col min="13" max="13" width="1.85546875" style="274" customWidth="1"/>
    <col min="14" max="15" width="11.28515625" style="274" bestFit="1" customWidth="1"/>
    <col min="16" max="16" width="10.28515625" style="274" bestFit="1" customWidth="1"/>
    <col min="17" max="16384" width="9.140625" style="274"/>
  </cols>
  <sheetData>
    <row r="1" spans="1:13">
      <c r="A1" s="446" t="str">
        <f>scenario</f>
        <v>Severe Scenario, V\ Curve</v>
      </c>
      <c r="M1" s="164" t="s">
        <v>397</v>
      </c>
    </row>
    <row r="2" spans="1:13">
      <c r="M2" s="446"/>
    </row>
    <row r="3" spans="1:13" ht="15.75">
      <c r="A3" s="52" t="str">
        <f>LOB_1&amp;" Case Distribution by Provider and Risk Class"</f>
        <v>LOB_1 Case Distribution by Provider and Risk Class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3">
      <c r="C5" s="276" t="s">
        <v>296</v>
      </c>
      <c r="D5" s="250">
        <f>LOB1Pop</f>
        <v>1000000</v>
      </c>
      <c r="F5" s="276" t="s">
        <v>299</v>
      </c>
      <c r="G5" s="280">
        <f>UtilAdj</f>
        <v>0.97499999999999998</v>
      </c>
      <c r="J5" s="276" t="s">
        <v>302</v>
      </c>
      <c r="K5" s="280">
        <f>ICUStepdown</f>
        <v>0.73</v>
      </c>
    </row>
    <row r="6" spans="1:13">
      <c r="C6" s="276" t="s">
        <v>298</v>
      </c>
      <c r="D6" s="280">
        <f>+MortRatio</f>
        <v>0.76900000000000002</v>
      </c>
      <c r="F6" s="276" t="s">
        <v>300</v>
      </c>
      <c r="G6" s="280">
        <f>RiskAdj</f>
        <v>0.92500000000000004</v>
      </c>
      <c r="J6" s="276" t="s">
        <v>301</v>
      </c>
      <c r="K6" s="280">
        <f>DthHospPct</f>
        <v>0.85</v>
      </c>
    </row>
    <row r="7" spans="1:13">
      <c r="E7" s="279"/>
    </row>
    <row r="8" spans="1:13">
      <c r="A8" s="37" t="s">
        <v>36</v>
      </c>
      <c r="B8" s="332" t="s">
        <v>179</v>
      </c>
      <c r="C8" s="333"/>
      <c r="D8" s="325" t="s">
        <v>50</v>
      </c>
      <c r="F8" s="326" t="s">
        <v>181</v>
      </c>
      <c r="G8" s="104" t="s">
        <v>65</v>
      </c>
      <c r="H8" s="105"/>
      <c r="I8" s="106"/>
      <c r="J8" s="104" t="s">
        <v>66</v>
      </c>
      <c r="K8" s="105"/>
      <c r="L8" s="106"/>
    </row>
    <row r="9" spans="1:13">
      <c r="A9" s="37" t="s">
        <v>37</v>
      </c>
      <c r="B9" s="327" t="s">
        <v>178</v>
      </c>
      <c r="C9" s="334" t="s">
        <v>180</v>
      </c>
      <c r="D9" s="327" t="s">
        <v>173</v>
      </c>
      <c r="E9" s="229" t="s">
        <v>38</v>
      </c>
      <c r="F9" s="328" t="s">
        <v>107</v>
      </c>
      <c r="G9" s="88" t="str">
        <f>_PR1</f>
        <v>Not Seeking</v>
      </c>
      <c r="H9" s="152" t="str">
        <f>_PR2</f>
        <v>Outpatient</v>
      </c>
      <c r="I9" s="89" t="str">
        <f>_PR3</f>
        <v>Hospital</v>
      </c>
      <c r="J9" s="88" t="str">
        <f>_PR1</f>
        <v>Not Seeking</v>
      </c>
      <c r="K9" s="152" t="str">
        <f>_PR2</f>
        <v>Outpatient</v>
      </c>
      <c r="L9" s="89" t="str">
        <f>_PR3</f>
        <v>Hospital</v>
      </c>
    </row>
    <row r="10" spans="1:13">
      <c r="A10" s="307"/>
      <c r="B10" s="63">
        <v>-7</v>
      </c>
      <c r="C10" s="150">
        <f>+B10-1</f>
        <v>-8</v>
      </c>
      <c r="D10" s="148">
        <f t="shared" ref="D10:L10" si="0">+C10-1</f>
        <v>-9</v>
      </c>
      <c r="E10" s="149">
        <f t="shared" si="0"/>
        <v>-10</v>
      </c>
      <c r="F10" s="150">
        <f t="shared" si="0"/>
        <v>-11</v>
      </c>
      <c r="G10" s="148">
        <f t="shared" si="0"/>
        <v>-12</v>
      </c>
      <c r="H10" s="149">
        <f t="shared" si="0"/>
        <v>-13</v>
      </c>
      <c r="I10" s="150">
        <f t="shared" si="0"/>
        <v>-14</v>
      </c>
      <c r="J10" s="148">
        <f t="shared" si="0"/>
        <v>-15</v>
      </c>
      <c r="K10" s="149">
        <f t="shared" si="0"/>
        <v>-16</v>
      </c>
      <c r="L10" s="150">
        <f t="shared" si="0"/>
        <v>-17</v>
      </c>
    </row>
    <row r="11" spans="1:13" ht="5.0999999999999996" customHeight="1">
      <c r="B11" s="306"/>
      <c r="C11" s="308"/>
      <c r="D11" s="306"/>
      <c r="E11" s="307"/>
      <c r="F11" s="308"/>
      <c r="G11" s="306"/>
      <c r="H11" s="307"/>
      <c r="I11" s="308"/>
      <c r="J11" s="306"/>
      <c r="K11" s="307"/>
      <c r="L11" s="308"/>
    </row>
    <row r="12" spans="1:13">
      <c r="A12" s="41" t="str">
        <f>+'Total Costs'!A9</f>
        <v>0 - 4</v>
      </c>
      <c r="B12" s="335">
        <f>ROUND('Mortality Distribution'!B19/SUM('Mortality Distribution'!$B$19:$B$32),3)</f>
        <v>7.4999999999999997E-2</v>
      </c>
      <c r="C12" s="322">
        <f t="shared" ref="C12:C29" si="1">+B12*LOB1Pop</f>
        <v>75000</v>
      </c>
      <c r="D12" s="329">
        <f>ROUND(MortRatio*'Mortality Distribution'!K19,3)</f>
        <v>8.8049999999999997</v>
      </c>
      <c r="E12" s="330">
        <f t="shared" ref="E12:E29" si="2">ROUND(C12*D12/1000,0)</f>
        <v>660</v>
      </c>
      <c r="F12" s="322">
        <f t="shared" ref="F12:F29" si="3">ROUND(Morbidity*(C12-E12/Morbidity),0)</f>
        <v>21840</v>
      </c>
      <c r="G12" s="312">
        <f t="shared" ref="G12:G29" si="4">1-H12-I12</f>
        <v>0.31799999999999995</v>
      </c>
      <c r="H12" s="309">
        <f>ROUND(UtilAdj*'Distribution by Provider'!G9,3)</f>
        <v>0.53600000000000003</v>
      </c>
      <c r="I12" s="310">
        <f>ROUND(UtilAdj*'Distribution by Provider'!H9,3)</f>
        <v>0.14599999999999999</v>
      </c>
      <c r="J12" s="314">
        <f t="shared" ref="J12:L29" si="5">ROUND(G12*$F12,0)</f>
        <v>6945</v>
      </c>
      <c r="K12" s="315">
        <f t="shared" si="5"/>
        <v>11706</v>
      </c>
      <c r="L12" s="316">
        <f t="shared" si="5"/>
        <v>3189</v>
      </c>
    </row>
    <row r="13" spans="1:13">
      <c r="A13" s="41" t="str">
        <f>+'Total Costs'!A10</f>
        <v>5 - 9</v>
      </c>
      <c r="B13" s="335">
        <f>ROUND('Mortality Distribution'!B20/SUM('Mortality Distribution'!$B$19:$B$32),3)</f>
        <v>7.2999999999999995E-2</v>
      </c>
      <c r="C13" s="322">
        <f t="shared" si="1"/>
        <v>73000</v>
      </c>
      <c r="D13" s="329">
        <f>ROUND(MortRatio*'Mortality Distribution'!K20,3)</f>
        <v>1.7609999999999999</v>
      </c>
      <c r="E13" s="330">
        <f t="shared" si="2"/>
        <v>129</v>
      </c>
      <c r="F13" s="322">
        <f t="shared" si="3"/>
        <v>21771</v>
      </c>
      <c r="G13" s="312">
        <f t="shared" si="4"/>
        <v>0.57599999999999996</v>
      </c>
      <c r="H13" s="309">
        <f>ROUND(UtilAdj*'Distribution by Provider'!G10,3)</f>
        <v>0.39</v>
      </c>
      <c r="I13" s="310">
        <f>ROUND(UtilAdj*'Distribution by Provider'!H10,3)</f>
        <v>3.4000000000000002E-2</v>
      </c>
      <c r="J13" s="314">
        <f t="shared" si="5"/>
        <v>12540</v>
      </c>
      <c r="K13" s="315">
        <f t="shared" si="5"/>
        <v>8491</v>
      </c>
      <c r="L13" s="316">
        <f t="shared" si="5"/>
        <v>740</v>
      </c>
    </row>
    <row r="14" spans="1:13">
      <c r="A14" s="41" t="str">
        <f>+'Total Costs'!A11</f>
        <v>10 - 14</v>
      </c>
      <c r="B14" s="335">
        <f>ROUND('Mortality Distribution'!B21/SUM('Mortality Distribution'!$B$19:$B$32),3)</f>
        <v>7.9000000000000001E-2</v>
      </c>
      <c r="C14" s="322">
        <f t="shared" si="1"/>
        <v>79000</v>
      </c>
      <c r="D14" s="329">
        <f>ROUND(MortRatio*'Mortality Distribution'!K21,3)</f>
        <v>1.7609999999999999</v>
      </c>
      <c r="E14" s="330">
        <f t="shared" si="2"/>
        <v>139</v>
      </c>
      <c r="F14" s="322">
        <f t="shared" si="3"/>
        <v>23561</v>
      </c>
      <c r="G14" s="312">
        <f t="shared" si="4"/>
        <v>0.57599999999999996</v>
      </c>
      <c r="H14" s="309">
        <f>ROUND(UtilAdj*'Distribution by Provider'!G11,3)</f>
        <v>0.39</v>
      </c>
      <c r="I14" s="310">
        <f>ROUND(UtilAdj*'Distribution by Provider'!H11,3)</f>
        <v>3.4000000000000002E-2</v>
      </c>
      <c r="J14" s="314">
        <f t="shared" si="5"/>
        <v>13571</v>
      </c>
      <c r="K14" s="315">
        <f t="shared" si="5"/>
        <v>9189</v>
      </c>
      <c r="L14" s="316">
        <f t="shared" si="5"/>
        <v>801</v>
      </c>
    </row>
    <row r="15" spans="1:13">
      <c r="A15" s="41" t="str">
        <f>+'Total Costs'!A12</f>
        <v>15 - 19</v>
      </c>
      <c r="B15" s="335">
        <f>ROUND('Mortality Distribution'!B22/SUM('Mortality Distribution'!$B$19:$B$32),3)</f>
        <v>7.8E-2</v>
      </c>
      <c r="C15" s="322">
        <f t="shared" si="1"/>
        <v>78000</v>
      </c>
      <c r="D15" s="329">
        <f>ROUND(MortRatio*'Mortality Distribution'!K22,3)</f>
        <v>5.2830000000000004</v>
      </c>
      <c r="E15" s="330">
        <f t="shared" si="2"/>
        <v>412</v>
      </c>
      <c r="F15" s="322">
        <f t="shared" si="3"/>
        <v>22988</v>
      </c>
      <c r="G15" s="312">
        <f t="shared" si="4"/>
        <v>0.54200000000000004</v>
      </c>
      <c r="H15" s="309">
        <f>ROUND(UtilAdj*'Distribution by Provider'!G12,3)</f>
        <v>0.39</v>
      </c>
      <c r="I15" s="310">
        <f>ROUND(UtilAdj*'Distribution by Provider'!H12,3)</f>
        <v>6.8000000000000005E-2</v>
      </c>
      <c r="J15" s="314">
        <f t="shared" si="5"/>
        <v>12459</v>
      </c>
      <c r="K15" s="315">
        <f t="shared" si="5"/>
        <v>8965</v>
      </c>
      <c r="L15" s="316">
        <f t="shared" si="5"/>
        <v>1563</v>
      </c>
    </row>
    <row r="16" spans="1:13">
      <c r="A16" s="41" t="str">
        <f>+'Total Costs'!A13</f>
        <v>20 - 24</v>
      </c>
      <c r="B16" s="335">
        <f>ROUND('Mortality Distribution'!B23/SUM('Mortality Distribution'!$B$19:$B$32),3)</f>
        <v>7.8E-2</v>
      </c>
      <c r="C16" s="322">
        <f t="shared" si="1"/>
        <v>78000</v>
      </c>
      <c r="D16" s="329">
        <f>ROUND(MortRatio*'Mortality Distribution'!K23,3)</f>
        <v>7.6310000000000002</v>
      </c>
      <c r="E16" s="330">
        <f t="shared" si="2"/>
        <v>595</v>
      </c>
      <c r="F16" s="322">
        <f t="shared" si="3"/>
        <v>22805</v>
      </c>
      <c r="G16" s="312">
        <f t="shared" si="4"/>
        <v>0.46299999999999997</v>
      </c>
      <c r="H16" s="309">
        <f>ROUND(UtilAdj*'Distribution by Provider'!G13,3)</f>
        <v>0.439</v>
      </c>
      <c r="I16" s="310">
        <f>ROUND(UtilAdj*'Distribution by Provider'!H13,3)</f>
        <v>9.8000000000000004E-2</v>
      </c>
      <c r="J16" s="314">
        <f t="shared" si="5"/>
        <v>10559</v>
      </c>
      <c r="K16" s="315">
        <f t="shared" si="5"/>
        <v>10011</v>
      </c>
      <c r="L16" s="316">
        <f t="shared" si="5"/>
        <v>2235</v>
      </c>
    </row>
    <row r="17" spans="1:16">
      <c r="A17" s="41" t="str">
        <f>+'Total Costs'!A14</f>
        <v>25 - 29</v>
      </c>
      <c r="B17" s="335">
        <f>ROUND('Mortality Distribution'!B24/SUM('Mortality Distribution'!$B$19:$B$32),3)</f>
        <v>7.2999999999999995E-2</v>
      </c>
      <c r="C17" s="322">
        <f t="shared" si="1"/>
        <v>73000</v>
      </c>
      <c r="D17" s="329">
        <f>ROUND(MortRatio*'Mortality Distribution'!K24,3)</f>
        <v>11.154</v>
      </c>
      <c r="E17" s="330">
        <f t="shared" si="2"/>
        <v>814</v>
      </c>
      <c r="F17" s="322">
        <f t="shared" si="3"/>
        <v>21086</v>
      </c>
      <c r="G17" s="312">
        <f t="shared" si="4"/>
        <v>0.43399999999999994</v>
      </c>
      <c r="H17" s="309">
        <f>ROUND(UtilAdj*'Distribution by Provider'!G14,3)</f>
        <v>0.439</v>
      </c>
      <c r="I17" s="310">
        <f>ROUND(UtilAdj*'Distribution by Provider'!H14,3)</f>
        <v>0.127</v>
      </c>
      <c r="J17" s="314">
        <f t="shared" si="5"/>
        <v>9151</v>
      </c>
      <c r="K17" s="315">
        <f t="shared" si="5"/>
        <v>9257</v>
      </c>
      <c r="L17" s="316">
        <f t="shared" si="5"/>
        <v>2678</v>
      </c>
    </row>
    <row r="18" spans="1:16">
      <c r="A18" s="41" t="str">
        <f>+'Total Costs'!A15</f>
        <v>30 - 34</v>
      </c>
      <c r="B18" s="335">
        <f>ROUND('Mortality Distribution'!B25/SUM('Mortality Distribution'!$B$19:$B$32),3)</f>
        <v>7.6999999999999999E-2</v>
      </c>
      <c r="C18" s="322">
        <f t="shared" si="1"/>
        <v>77000</v>
      </c>
      <c r="D18" s="329">
        <f>ROUND(MortRatio*'Mortality Distribution'!K25,3)</f>
        <v>11.154</v>
      </c>
      <c r="E18" s="330">
        <f t="shared" si="2"/>
        <v>859</v>
      </c>
      <c r="F18" s="322">
        <f t="shared" si="3"/>
        <v>22241</v>
      </c>
      <c r="G18" s="312">
        <f t="shared" si="4"/>
        <v>0.43399999999999994</v>
      </c>
      <c r="H18" s="309">
        <f>ROUND(UtilAdj*'Distribution by Provider'!G15,3)</f>
        <v>0.439</v>
      </c>
      <c r="I18" s="310">
        <f>ROUND(UtilAdj*'Distribution by Provider'!H15,3)</f>
        <v>0.127</v>
      </c>
      <c r="J18" s="314">
        <f t="shared" si="5"/>
        <v>9653</v>
      </c>
      <c r="K18" s="315">
        <f t="shared" si="5"/>
        <v>9764</v>
      </c>
      <c r="L18" s="316">
        <f t="shared" si="5"/>
        <v>2825</v>
      </c>
    </row>
    <row r="19" spans="1:16">
      <c r="A19" s="41" t="str">
        <f>+'Total Costs'!A16</f>
        <v>35 - 39</v>
      </c>
      <c r="B19" s="335">
        <f>ROUND('Mortality Distribution'!B26/SUM('Mortality Distribution'!$B$19:$B$32),3)</f>
        <v>7.9000000000000001E-2</v>
      </c>
      <c r="C19" s="322">
        <f t="shared" si="1"/>
        <v>79000</v>
      </c>
      <c r="D19" s="329">
        <f>ROUND(MortRatio*'Mortality Distribution'!K26,3)</f>
        <v>6.4569999999999999</v>
      </c>
      <c r="E19" s="330">
        <f t="shared" si="2"/>
        <v>510</v>
      </c>
      <c r="F19" s="322">
        <f t="shared" si="3"/>
        <v>23190</v>
      </c>
      <c r="G19" s="312">
        <f t="shared" si="4"/>
        <v>0.46299999999999997</v>
      </c>
      <c r="H19" s="309">
        <f>ROUND(UtilAdj*'Distribution by Provider'!G16,3)</f>
        <v>0.439</v>
      </c>
      <c r="I19" s="310">
        <f>ROUND(UtilAdj*'Distribution by Provider'!H16,3)</f>
        <v>9.8000000000000004E-2</v>
      </c>
      <c r="J19" s="314">
        <f t="shared" si="5"/>
        <v>10737</v>
      </c>
      <c r="K19" s="315">
        <f t="shared" si="5"/>
        <v>10180</v>
      </c>
      <c r="L19" s="316">
        <f t="shared" si="5"/>
        <v>2273</v>
      </c>
    </row>
    <row r="20" spans="1:16">
      <c r="A20" s="41" t="str">
        <f>+'Total Costs'!A17</f>
        <v>40 - 44</v>
      </c>
      <c r="B20" s="335">
        <f>ROUND('Mortality Distribution'!B27/SUM('Mortality Distribution'!$B$19:$B$32),3)</f>
        <v>8.5999999999999993E-2</v>
      </c>
      <c r="C20" s="322">
        <f t="shared" si="1"/>
        <v>86000</v>
      </c>
      <c r="D20" s="329">
        <f>ROUND(MortRatio*'Mortality Distribution'!K27,3)</f>
        <v>5.2830000000000004</v>
      </c>
      <c r="E20" s="330">
        <f t="shared" si="2"/>
        <v>454</v>
      </c>
      <c r="F20" s="322">
        <f t="shared" si="3"/>
        <v>25346</v>
      </c>
      <c r="G20" s="312">
        <f t="shared" si="4"/>
        <v>0.49299999999999994</v>
      </c>
      <c r="H20" s="309">
        <f>ROUND(UtilAdj*'Distribution by Provider'!G17,3)</f>
        <v>0.439</v>
      </c>
      <c r="I20" s="310">
        <f>ROUND(UtilAdj*'Distribution by Provider'!H17,3)</f>
        <v>6.8000000000000005E-2</v>
      </c>
      <c r="J20" s="314">
        <f t="shared" si="5"/>
        <v>12496</v>
      </c>
      <c r="K20" s="315">
        <f t="shared" si="5"/>
        <v>11127</v>
      </c>
      <c r="L20" s="316">
        <f t="shared" si="5"/>
        <v>1724</v>
      </c>
    </row>
    <row r="21" spans="1:16">
      <c r="A21" s="41" t="str">
        <f>+'Total Costs'!A18</f>
        <v>45 - 49</v>
      </c>
      <c r="B21" s="335">
        <f>ROUND('Mortality Distribution'!B28/SUM('Mortality Distribution'!$B$19:$B$32),3)</f>
        <v>8.3000000000000004E-2</v>
      </c>
      <c r="C21" s="322">
        <f t="shared" si="1"/>
        <v>83000</v>
      </c>
      <c r="D21" s="329">
        <f>ROUND(MortRatio*'Mortality Distribution'!K28,3)</f>
        <v>4.109</v>
      </c>
      <c r="E21" s="330">
        <f t="shared" si="2"/>
        <v>341</v>
      </c>
      <c r="F21" s="322">
        <f t="shared" si="3"/>
        <v>24559</v>
      </c>
      <c r="G21" s="312">
        <f t="shared" si="4"/>
        <v>0.5119999999999999</v>
      </c>
      <c r="H21" s="309">
        <f>ROUND(UtilAdj*'Distribution by Provider'!G18,3)</f>
        <v>0.439</v>
      </c>
      <c r="I21" s="310">
        <f>ROUND(UtilAdj*'Distribution by Provider'!H18,3)</f>
        <v>4.9000000000000002E-2</v>
      </c>
      <c r="J21" s="314">
        <f t="shared" si="5"/>
        <v>12574</v>
      </c>
      <c r="K21" s="315">
        <f t="shared" si="5"/>
        <v>10781</v>
      </c>
      <c r="L21" s="316">
        <f t="shared" si="5"/>
        <v>1203</v>
      </c>
    </row>
    <row r="22" spans="1:16">
      <c r="A22" s="41" t="str">
        <f>+'Total Costs'!A19</f>
        <v>50 - 54</v>
      </c>
      <c r="B22" s="335">
        <f>ROUND('Mortality Distribution'!B29/SUM('Mortality Distribution'!$B$19:$B$32),3)</f>
        <v>7.2999999999999995E-2</v>
      </c>
      <c r="C22" s="322">
        <f t="shared" si="1"/>
        <v>73000</v>
      </c>
      <c r="D22" s="329">
        <f>ROUND(MortRatio*'Mortality Distribution'!K29,3)</f>
        <v>2.9350000000000001</v>
      </c>
      <c r="E22" s="330">
        <f t="shared" si="2"/>
        <v>214</v>
      </c>
      <c r="F22" s="322">
        <f t="shared" si="3"/>
        <v>21686</v>
      </c>
      <c r="G22" s="312">
        <f t="shared" si="4"/>
        <v>0.52699999999999991</v>
      </c>
      <c r="H22" s="309">
        <f>ROUND(UtilAdj*'Distribution by Provider'!G19,3)</f>
        <v>0.439</v>
      </c>
      <c r="I22" s="310">
        <f>ROUND(UtilAdj*'Distribution by Provider'!H19,3)</f>
        <v>3.4000000000000002E-2</v>
      </c>
      <c r="J22" s="314">
        <f t="shared" si="5"/>
        <v>11429</v>
      </c>
      <c r="K22" s="315">
        <f t="shared" si="5"/>
        <v>9520</v>
      </c>
      <c r="L22" s="316">
        <f t="shared" si="5"/>
        <v>737</v>
      </c>
    </row>
    <row r="23" spans="1:16">
      <c r="A23" s="41" t="str">
        <f>+'Total Costs'!A20</f>
        <v>55 - 59</v>
      </c>
      <c r="B23" s="335">
        <f>ROUND('Mortality Distribution'!B30/SUM('Mortality Distribution'!$B$19:$B$32),3)</f>
        <v>6.2E-2</v>
      </c>
      <c r="C23" s="322">
        <f t="shared" si="1"/>
        <v>62000</v>
      </c>
      <c r="D23" s="329">
        <f>ROUND(MortRatio*'Mortality Distribution'!K30,3)</f>
        <v>2.3479999999999999</v>
      </c>
      <c r="E23" s="330">
        <f t="shared" si="2"/>
        <v>146</v>
      </c>
      <c r="F23" s="322">
        <f t="shared" si="3"/>
        <v>18454</v>
      </c>
      <c r="G23" s="312">
        <f t="shared" si="4"/>
        <v>0.63500000000000001</v>
      </c>
      <c r="H23" s="309">
        <f>ROUND(UtilAdj*'Distribution by Provider'!G20,3)</f>
        <v>0.34100000000000003</v>
      </c>
      <c r="I23" s="310">
        <f>ROUND(UtilAdj*'Distribution by Provider'!H20,3)</f>
        <v>2.4E-2</v>
      </c>
      <c r="J23" s="314">
        <f t="shared" si="5"/>
        <v>11718</v>
      </c>
      <c r="K23" s="315">
        <f t="shared" si="5"/>
        <v>6293</v>
      </c>
      <c r="L23" s="316">
        <f t="shared" si="5"/>
        <v>443</v>
      </c>
    </row>
    <row r="24" spans="1:16">
      <c r="A24" s="41" t="str">
        <f>+'Total Costs'!A21</f>
        <v>60 - 64</v>
      </c>
      <c r="B24" s="335">
        <f>ROUND('Mortality Distribution'!B31/SUM('Mortality Distribution'!$B$19:$B$32),3)</f>
        <v>4.7E-2</v>
      </c>
      <c r="C24" s="322">
        <f t="shared" si="1"/>
        <v>47000</v>
      </c>
      <c r="D24" s="329">
        <f>ROUND(MortRatio*'Mortality Distribution'!K31,3)</f>
        <v>1.7609999999999999</v>
      </c>
      <c r="E24" s="330">
        <f t="shared" si="2"/>
        <v>83</v>
      </c>
      <c r="F24" s="322">
        <f t="shared" si="3"/>
        <v>14017</v>
      </c>
      <c r="G24" s="312">
        <f t="shared" si="4"/>
        <v>0.74099999999999999</v>
      </c>
      <c r="H24" s="309">
        <f>ROUND(UtilAdj*'Distribution by Provider'!G21,3)</f>
        <v>0.24399999999999999</v>
      </c>
      <c r="I24" s="310">
        <f>ROUND(UtilAdj*'Distribution by Provider'!H21,3)</f>
        <v>1.4999999999999999E-2</v>
      </c>
      <c r="J24" s="314">
        <f t="shared" si="5"/>
        <v>10387</v>
      </c>
      <c r="K24" s="315">
        <f t="shared" si="5"/>
        <v>3420</v>
      </c>
      <c r="L24" s="316">
        <f t="shared" si="5"/>
        <v>210</v>
      </c>
    </row>
    <row r="25" spans="1:16">
      <c r="A25" s="41" t="str">
        <f>+'Total Costs'!A22</f>
        <v>65 - 69</v>
      </c>
      <c r="B25" s="335">
        <f>ROUND('Mortality Distribution'!B32/SUM('Mortality Distribution'!$B$19:$B$32),3)</f>
        <v>3.6999999999999998E-2</v>
      </c>
      <c r="C25" s="322">
        <f t="shared" si="1"/>
        <v>37000</v>
      </c>
      <c r="D25" s="329">
        <f>ROUND(MortRatio*'Mortality Distribution'!K32,3)</f>
        <v>1.1739999999999999</v>
      </c>
      <c r="E25" s="330">
        <f t="shared" si="2"/>
        <v>43</v>
      </c>
      <c r="F25" s="322">
        <f t="shared" si="3"/>
        <v>11057</v>
      </c>
      <c r="G25" s="312">
        <f t="shared" si="4"/>
        <v>0.84399999999999997</v>
      </c>
      <c r="H25" s="309">
        <f>ROUND(UtilAdj*'Distribution by Provider'!G22,3)</f>
        <v>0.14599999999999999</v>
      </c>
      <c r="I25" s="310">
        <f>ROUND(UtilAdj*'Distribution by Provider'!H22,3)</f>
        <v>0.01</v>
      </c>
      <c r="J25" s="314">
        <f t="shared" si="5"/>
        <v>9332</v>
      </c>
      <c r="K25" s="315">
        <f t="shared" si="5"/>
        <v>1614</v>
      </c>
      <c r="L25" s="316">
        <f t="shared" si="5"/>
        <v>111</v>
      </c>
    </row>
    <row r="26" spans="1:16">
      <c r="A26" s="41" t="str">
        <f>+'Total Costs'!A23</f>
        <v>70 - 74</v>
      </c>
      <c r="B26" s="335">
        <v>0</v>
      </c>
      <c r="C26" s="322">
        <f t="shared" si="1"/>
        <v>0</v>
      </c>
      <c r="D26" s="329">
        <f>ROUND(MortRatio*'Mortality Distribution'!K33,3)</f>
        <v>1.1739999999999999</v>
      </c>
      <c r="E26" s="330">
        <f t="shared" si="2"/>
        <v>0</v>
      </c>
      <c r="F26" s="322">
        <f t="shared" si="3"/>
        <v>0</v>
      </c>
      <c r="G26" s="312">
        <f t="shared" si="4"/>
        <v>0.84399999999999997</v>
      </c>
      <c r="H26" s="309">
        <f>ROUND(UtilAdj*'Distribution by Provider'!G23,3)</f>
        <v>0.14599999999999999</v>
      </c>
      <c r="I26" s="310">
        <f>ROUND(UtilAdj*'Distribution by Provider'!H23,3)</f>
        <v>0.01</v>
      </c>
      <c r="J26" s="314">
        <f t="shared" si="5"/>
        <v>0</v>
      </c>
      <c r="K26" s="315">
        <f t="shared" si="5"/>
        <v>0</v>
      </c>
      <c r="L26" s="316">
        <f t="shared" si="5"/>
        <v>0</v>
      </c>
    </row>
    <row r="27" spans="1:16">
      <c r="A27" s="79" t="str">
        <f>+'Total Costs'!A24</f>
        <v>75 - 79</v>
      </c>
      <c r="B27" s="335">
        <v>0</v>
      </c>
      <c r="C27" s="322">
        <f t="shared" si="1"/>
        <v>0</v>
      </c>
      <c r="D27" s="329">
        <f>ROUND(MortRatio*'Mortality Distribution'!K34,3)</f>
        <v>0.58699999999999997</v>
      </c>
      <c r="E27" s="330">
        <f t="shared" si="2"/>
        <v>0</v>
      </c>
      <c r="F27" s="322">
        <f t="shared" si="3"/>
        <v>0</v>
      </c>
      <c r="G27" s="312">
        <f t="shared" si="4"/>
        <v>0.84399999999999997</v>
      </c>
      <c r="H27" s="309">
        <f>ROUND(UtilAdj*'Distribution by Provider'!G24,3)</f>
        <v>0.14599999999999999</v>
      </c>
      <c r="I27" s="310">
        <f>ROUND(UtilAdj*'Distribution by Provider'!H24,3)</f>
        <v>0.01</v>
      </c>
      <c r="J27" s="314">
        <f t="shared" si="5"/>
        <v>0</v>
      </c>
      <c r="K27" s="315">
        <f t="shared" si="5"/>
        <v>0</v>
      </c>
      <c r="L27" s="316">
        <f t="shared" si="5"/>
        <v>0</v>
      </c>
    </row>
    <row r="28" spans="1:16">
      <c r="A28" s="79" t="str">
        <f>+'Total Costs'!A25</f>
        <v>80 - 84</v>
      </c>
      <c r="B28" s="335">
        <v>0</v>
      </c>
      <c r="C28" s="322">
        <f t="shared" si="1"/>
        <v>0</v>
      </c>
      <c r="D28" s="329">
        <f>ROUND(MortRatio*'Mortality Distribution'!K35,3)</f>
        <v>0.58699999999999997</v>
      </c>
      <c r="E28" s="330">
        <f t="shared" si="2"/>
        <v>0</v>
      </c>
      <c r="F28" s="322">
        <f t="shared" si="3"/>
        <v>0</v>
      </c>
      <c r="G28" s="312">
        <f t="shared" si="4"/>
        <v>0.84399999999999997</v>
      </c>
      <c r="H28" s="309">
        <f>ROUND(UtilAdj*'Distribution by Provider'!G25,3)</f>
        <v>0.14599999999999999</v>
      </c>
      <c r="I28" s="310">
        <f>ROUND(UtilAdj*'Distribution by Provider'!H25,3)</f>
        <v>0.01</v>
      </c>
      <c r="J28" s="314">
        <f t="shared" si="5"/>
        <v>0</v>
      </c>
      <c r="K28" s="315">
        <f t="shared" si="5"/>
        <v>0</v>
      </c>
      <c r="L28" s="316">
        <f t="shared" si="5"/>
        <v>0</v>
      </c>
    </row>
    <row r="29" spans="1:16">
      <c r="A29" s="79" t="str">
        <f>+'Total Costs'!A26</f>
        <v>85+</v>
      </c>
      <c r="B29" s="336">
        <v>0</v>
      </c>
      <c r="C29" s="323">
        <f t="shared" si="1"/>
        <v>0</v>
      </c>
      <c r="D29" s="331">
        <f>ROUND(MortRatio*'Mortality Distribution'!K36,3)</f>
        <v>0.58699999999999997</v>
      </c>
      <c r="E29" s="305">
        <f t="shared" si="2"/>
        <v>0</v>
      </c>
      <c r="F29" s="323">
        <f t="shared" si="3"/>
        <v>0</v>
      </c>
      <c r="G29" s="313">
        <f t="shared" si="4"/>
        <v>0.84399999999999997</v>
      </c>
      <c r="H29" s="281">
        <f>ROUND(UtilAdj*'Distribution by Provider'!G26,3)</f>
        <v>0.14599999999999999</v>
      </c>
      <c r="I29" s="311">
        <f>ROUND(UtilAdj*'Distribution by Provider'!H26,3)</f>
        <v>0.01</v>
      </c>
      <c r="J29" s="317">
        <f t="shared" si="5"/>
        <v>0</v>
      </c>
      <c r="K29" s="318">
        <f t="shared" si="5"/>
        <v>0</v>
      </c>
      <c r="L29" s="319">
        <f t="shared" si="5"/>
        <v>0</v>
      </c>
    </row>
    <row r="30" spans="1:16">
      <c r="B30" s="280">
        <f>SUM(B12:B29)</f>
        <v>1</v>
      </c>
      <c r="C30" s="278">
        <f>SUM(C12:C29)</f>
        <v>1000000</v>
      </c>
      <c r="E30" s="278">
        <f t="shared" ref="E30:L30" si="6">SUM(E12:E29)</f>
        <v>5399</v>
      </c>
      <c r="F30" s="278">
        <f t="shared" si="6"/>
        <v>294601</v>
      </c>
      <c r="G30" s="278"/>
      <c r="H30" s="278"/>
      <c r="I30" s="278"/>
      <c r="J30" s="278">
        <f t="shared" si="6"/>
        <v>153551</v>
      </c>
      <c r="K30" s="278">
        <f t="shared" si="6"/>
        <v>120318</v>
      </c>
      <c r="L30" s="278">
        <f t="shared" si="6"/>
        <v>20732</v>
      </c>
      <c r="N30" s="278"/>
      <c r="O30" s="278"/>
      <c r="P30" s="278"/>
    </row>
    <row r="32" spans="1:16">
      <c r="A32" s="37" t="s">
        <v>36</v>
      </c>
      <c r="B32" s="83" t="s">
        <v>7</v>
      </c>
      <c r="C32" s="84" t="s">
        <v>7</v>
      </c>
      <c r="D32" s="104" t="s">
        <v>69</v>
      </c>
      <c r="E32" s="105"/>
      <c r="F32" s="105"/>
      <c r="G32" s="105"/>
      <c r="H32" s="324"/>
      <c r="I32" s="104" t="s">
        <v>70</v>
      </c>
      <c r="J32" s="105"/>
      <c r="K32" s="105"/>
      <c r="L32" s="324"/>
    </row>
    <row r="33" spans="1:12">
      <c r="A33" s="37" t="s">
        <v>37</v>
      </c>
      <c r="B33" s="153" t="s">
        <v>51</v>
      </c>
      <c r="C33" s="156" t="s">
        <v>53</v>
      </c>
      <c r="D33" s="88" t="str">
        <f>_PR1</f>
        <v>Not Seeking</v>
      </c>
      <c r="E33" s="152" t="str">
        <f>_PR2</f>
        <v>Outpatient</v>
      </c>
      <c r="F33" s="394" t="s">
        <v>198</v>
      </c>
      <c r="G33" s="394" t="s">
        <v>41</v>
      </c>
      <c r="H33" s="390" t="s">
        <v>182</v>
      </c>
      <c r="I33" s="87" t="str">
        <f>_PR1</f>
        <v>Not Seeking</v>
      </c>
      <c r="J33" s="391" t="str">
        <f>_PR2</f>
        <v>Outpatient</v>
      </c>
      <c r="K33" s="392" t="str">
        <f>_PR3</f>
        <v>Hospital</v>
      </c>
      <c r="L33" s="393" t="s">
        <v>182</v>
      </c>
    </row>
    <row r="34" spans="1:12">
      <c r="A34" s="3"/>
      <c r="B34" s="63">
        <f>-1+L10</f>
        <v>-18</v>
      </c>
      <c r="C34" s="150">
        <f>+B34-1</f>
        <v>-19</v>
      </c>
      <c r="D34" s="148">
        <f>C34-1</f>
        <v>-20</v>
      </c>
      <c r="E34" s="149">
        <f t="shared" ref="E34" si="7">D34-1</f>
        <v>-21</v>
      </c>
      <c r="F34" s="149">
        <f t="shared" ref="F34:L34" si="8">E34-1</f>
        <v>-22</v>
      </c>
      <c r="G34" s="149">
        <f t="shared" si="8"/>
        <v>-23</v>
      </c>
      <c r="H34" s="149">
        <f t="shared" si="8"/>
        <v>-24</v>
      </c>
      <c r="I34" s="148">
        <f t="shared" si="8"/>
        <v>-25</v>
      </c>
      <c r="J34" s="149">
        <f t="shared" si="8"/>
        <v>-26</v>
      </c>
      <c r="K34" s="149">
        <f t="shared" si="8"/>
        <v>-27</v>
      </c>
      <c r="L34" s="150">
        <f t="shared" si="8"/>
        <v>-28</v>
      </c>
    </row>
    <row r="35" spans="1:12" ht="5.0999999999999996" customHeight="1">
      <c r="A35" s="3"/>
      <c r="B35" s="103"/>
      <c r="C35" s="130"/>
      <c r="D35" s="31"/>
      <c r="E35" s="33"/>
      <c r="F35" s="33"/>
      <c r="G35" s="33"/>
      <c r="H35" s="307"/>
      <c r="I35" s="31"/>
      <c r="J35" s="33"/>
      <c r="K35" s="33"/>
      <c r="L35" s="308"/>
    </row>
    <row r="36" spans="1:12">
      <c r="A36" s="78" t="str">
        <f t="shared" ref="A36:A53" si="9">+A12</f>
        <v>0 - 4</v>
      </c>
      <c r="B36" s="154">
        <f t="shared" ref="B36:B53" si="10">1-C36</f>
        <v>0.95399999999999996</v>
      </c>
      <c r="C36" s="320">
        <f>ROUND('Distribution by Risk Class'!C9*RiskAdj,3)</f>
        <v>4.5999999999999999E-2</v>
      </c>
      <c r="D36" s="97">
        <f t="shared" ref="D36:D53" si="11">ROUND($B36*J12,0)</f>
        <v>6626</v>
      </c>
      <c r="E36" s="98">
        <f t="shared" ref="E36:E53" si="12">ROUND($B36*K12,0)</f>
        <v>11168</v>
      </c>
      <c r="F36" s="250">
        <f>ROUND('ACF Costs'!C12*LOB1Pop/Pop0to69,0)</f>
        <v>0</v>
      </c>
      <c r="G36" s="98">
        <f t="shared" ref="G36:G53" si="13">+L12-K36-F36</f>
        <v>3149</v>
      </c>
      <c r="H36" s="171">
        <f t="shared" ref="H36:H53" si="14">ROUND(E12*DthHospPct,0)-L36</f>
        <v>542</v>
      </c>
      <c r="I36" s="97">
        <f t="shared" ref="I36:J53" si="15">ROUND($C36*J12,0)</f>
        <v>319</v>
      </c>
      <c r="J36" s="98">
        <f t="shared" si="15"/>
        <v>538</v>
      </c>
      <c r="K36" s="35">
        <f t="shared" ref="K36:K53" si="16">ROUND($C36*L12*(1-ICUStepdown),0)</f>
        <v>40</v>
      </c>
      <c r="L36" s="396">
        <f t="shared" ref="L36:L53" si="17">ROUND(E12*C36*DthHospPct*ICUStepdown,0)</f>
        <v>19</v>
      </c>
    </row>
    <row r="37" spans="1:12">
      <c r="A37" s="78" t="str">
        <f t="shared" si="9"/>
        <v>5 - 9</v>
      </c>
      <c r="B37" s="154">
        <f t="shared" si="10"/>
        <v>0.90700000000000003</v>
      </c>
      <c r="C37" s="320">
        <f>ROUND('Distribution by Risk Class'!C10*RiskAdj,3)</f>
        <v>9.2999999999999999E-2</v>
      </c>
      <c r="D37" s="97">
        <f t="shared" si="11"/>
        <v>11374</v>
      </c>
      <c r="E37" s="98">
        <f t="shared" si="12"/>
        <v>7701</v>
      </c>
      <c r="F37" s="250">
        <f>ROUND('ACF Costs'!C13*LOB1Pop/Pop0to69,0)</f>
        <v>0</v>
      </c>
      <c r="G37" s="98">
        <f t="shared" si="13"/>
        <v>721</v>
      </c>
      <c r="H37" s="171">
        <f t="shared" si="14"/>
        <v>103</v>
      </c>
      <c r="I37" s="97">
        <f t="shared" si="15"/>
        <v>1166</v>
      </c>
      <c r="J37" s="98">
        <f t="shared" si="15"/>
        <v>790</v>
      </c>
      <c r="K37" s="35">
        <f t="shared" si="16"/>
        <v>19</v>
      </c>
      <c r="L37" s="396">
        <f t="shared" si="17"/>
        <v>7</v>
      </c>
    </row>
    <row r="38" spans="1:12">
      <c r="A38" s="78" t="str">
        <f t="shared" si="9"/>
        <v>10 - 14</v>
      </c>
      <c r="B38" s="154">
        <f t="shared" si="10"/>
        <v>0.90700000000000003</v>
      </c>
      <c r="C38" s="320">
        <f>ROUND('Distribution by Risk Class'!C11*RiskAdj,3)</f>
        <v>9.2999999999999999E-2</v>
      </c>
      <c r="D38" s="97">
        <f t="shared" si="11"/>
        <v>12309</v>
      </c>
      <c r="E38" s="98">
        <f t="shared" si="12"/>
        <v>8334</v>
      </c>
      <c r="F38" s="250">
        <f>ROUND('ACF Costs'!C14*LOB1Pop/Pop0to69,0)</f>
        <v>0</v>
      </c>
      <c r="G38" s="98">
        <f t="shared" si="13"/>
        <v>781</v>
      </c>
      <c r="H38" s="171">
        <f t="shared" si="14"/>
        <v>110</v>
      </c>
      <c r="I38" s="97">
        <f t="shared" si="15"/>
        <v>1262</v>
      </c>
      <c r="J38" s="98">
        <f t="shared" si="15"/>
        <v>855</v>
      </c>
      <c r="K38" s="35">
        <f t="shared" si="16"/>
        <v>20</v>
      </c>
      <c r="L38" s="396">
        <f t="shared" si="17"/>
        <v>8</v>
      </c>
    </row>
    <row r="39" spans="1:12">
      <c r="A39" s="78" t="str">
        <f t="shared" si="9"/>
        <v>15 - 19</v>
      </c>
      <c r="B39" s="154">
        <f t="shared" si="10"/>
        <v>0.90700000000000003</v>
      </c>
      <c r="C39" s="320">
        <f>ROUND('Distribution by Risk Class'!C12*RiskAdj,3)</f>
        <v>9.2999999999999999E-2</v>
      </c>
      <c r="D39" s="97">
        <f t="shared" si="11"/>
        <v>11300</v>
      </c>
      <c r="E39" s="98">
        <f t="shared" si="12"/>
        <v>8131</v>
      </c>
      <c r="F39" s="250">
        <f>ROUND('ACF Costs'!C15*LOB1Pop/Pop0to69,0)</f>
        <v>191</v>
      </c>
      <c r="G39" s="98">
        <f t="shared" si="13"/>
        <v>1333</v>
      </c>
      <c r="H39" s="171">
        <f t="shared" si="14"/>
        <v>326</v>
      </c>
      <c r="I39" s="97">
        <f t="shared" si="15"/>
        <v>1159</v>
      </c>
      <c r="J39" s="98">
        <f t="shared" si="15"/>
        <v>834</v>
      </c>
      <c r="K39" s="35">
        <f t="shared" si="16"/>
        <v>39</v>
      </c>
      <c r="L39" s="396">
        <f t="shared" si="17"/>
        <v>24</v>
      </c>
    </row>
    <row r="40" spans="1:12">
      <c r="A40" s="78" t="str">
        <f t="shared" si="9"/>
        <v>20 - 24</v>
      </c>
      <c r="B40" s="154">
        <f t="shared" si="10"/>
        <v>0.86099999999999999</v>
      </c>
      <c r="C40" s="320">
        <f>ROUND('Distribution by Risk Class'!C13*RiskAdj,3)</f>
        <v>0.13900000000000001</v>
      </c>
      <c r="D40" s="97">
        <f t="shared" si="11"/>
        <v>9091</v>
      </c>
      <c r="E40" s="98">
        <f t="shared" si="12"/>
        <v>8619</v>
      </c>
      <c r="F40" s="250">
        <f>ROUND('ACF Costs'!C16*LOB1Pop/Pop0to69,0)</f>
        <v>343</v>
      </c>
      <c r="G40" s="98">
        <f t="shared" si="13"/>
        <v>1808</v>
      </c>
      <c r="H40" s="171">
        <f t="shared" si="14"/>
        <v>455</v>
      </c>
      <c r="I40" s="97">
        <f t="shared" si="15"/>
        <v>1468</v>
      </c>
      <c r="J40" s="98">
        <f t="shared" si="15"/>
        <v>1392</v>
      </c>
      <c r="K40" s="35">
        <f t="shared" si="16"/>
        <v>84</v>
      </c>
      <c r="L40" s="396">
        <f t="shared" si="17"/>
        <v>51</v>
      </c>
    </row>
    <row r="41" spans="1:12">
      <c r="A41" s="78" t="str">
        <f t="shared" si="9"/>
        <v>25 - 29</v>
      </c>
      <c r="B41" s="154">
        <f t="shared" si="10"/>
        <v>0.86099999999999999</v>
      </c>
      <c r="C41" s="320">
        <f>ROUND('Distribution by Risk Class'!C14*RiskAdj,3)</f>
        <v>0.13900000000000001</v>
      </c>
      <c r="D41" s="97">
        <f t="shared" si="11"/>
        <v>7879</v>
      </c>
      <c r="E41" s="98">
        <f t="shared" si="12"/>
        <v>7970</v>
      </c>
      <c r="F41" s="250">
        <f>ROUND('ACF Costs'!C17*LOB1Pop/Pop0to69,0)</f>
        <v>613</v>
      </c>
      <c r="G41" s="98">
        <f t="shared" si="13"/>
        <v>1964</v>
      </c>
      <c r="H41" s="171">
        <f t="shared" si="14"/>
        <v>622</v>
      </c>
      <c r="I41" s="97">
        <f t="shared" si="15"/>
        <v>1272</v>
      </c>
      <c r="J41" s="98">
        <f t="shared" si="15"/>
        <v>1287</v>
      </c>
      <c r="K41" s="35">
        <f t="shared" si="16"/>
        <v>101</v>
      </c>
      <c r="L41" s="396">
        <f t="shared" si="17"/>
        <v>70</v>
      </c>
    </row>
    <row r="42" spans="1:12">
      <c r="A42" s="78" t="str">
        <f t="shared" si="9"/>
        <v>30 - 34</v>
      </c>
      <c r="B42" s="154">
        <f t="shared" si="10"/>
        <v>0.86099999999999999</v>
      </c>
      <c r="C42" s="320">
        <f>ROUND('Distribution by Risk Class'!C15*RiskAdj,3)</f>
        <v>0.13900000000000001</v>
      </c>
      <c r="D42" s="97">
        <f t="shared" si="11"/>
        <v>8311</v>
      </c>
      <c r="E42" s="98">
        <f t="shared" si="12"/>
        <v>8407</v>
      </c>
      <c r="F42" s="250">
        <f>ROUND('ACF Costs'!C18*LOB1Pop/Pop0to69,0)</f>
        <v>750</v>
      </c>
      <c r="G42" s="98">
        <f t="shared" si="13"/>
        <v>1969</v>
      </c>
      <c r="H42" s="171">
        <f t="shared" si="14"/>
        <v>656</v>
      </c>
      <c r="I42" s="97">
        <f t="shared" si="15"/>
        <v>1342</v>
      </c>
      <c r="J42" s="98">
        <f t="shared" si="15"/>
        <v>1357</v>
      </c>
      <c r="K42" s="35">
        <f t="shared" si="16"/>
        <v>106</v>
      </c>
      <c r="L42" s="396">
        <f t="shared" si="17"/>
        <v>74</v>
      </c>
    </row>
    <row r="43" spans="1:12">
      <c r="A43" s="78" t="str">
        <f t="shared" si="9"/>
        <v>35 - 39</v>
      </c>
      <c r="B43" s="154">
        <f t="shared" si="10"/>
        <v>0.86099999999999999</v>
      </c>
      <c r="C43" s="320">
        <f>ROUND('Distribution by Risk Class'!C16*RiskAdj,3)</f>
        <v>0.13900000000000001</v>
      </c>
      <c r="D43" s="97">
        <f t="shared" si="11"/>
        <v>9245</v>
      </c>
      <c r="E43" s="98">
        <f t="shared" si="12"/>
        <v>8765</v>
      </c>
      <c r="F43" s="250">
        <f>ROUND('ACF Costs'!C19*LOB1Pop/Pop0to69,0)</f>
        <v>604</v>
      </c>
      <c r="G43" s="98">
        <f t="shared" si="13"/>
        <v>1584</v>
      </c>
      <c r="H43" s="171">
        <f t="shared" si="14"/>
        <v>390</v>
      </c>
      <c r="I43" s="97">
        <f t="shared" si="15"/>
        <v>1492</v>
      </c>
      <c r="J43" s="98">
        <f t="shared" si="15"/>
        <v>1415</v>
      </c>
      <c r="K43" s="35">
        <f t="shared" si="16"/>
        <v>85</v>
      </c>
      <c r="L43" s="396">
        <f t="shared" si="17"/>
        <v>44</v>
      </c>
    </row>
    <row r="44" spans="1:12">
      <c r="A44" s="78" t="str">
        <f t="shared" si="9"/>
        <v>40 - 44</v>
      </c>
      <c r="B44" s="154">
        <f t="shared" si="10"/>
        <v>0.86099999999999999</v>
      </c>
      <c r="C44" s="320">
        <f>ROUND('Distribution by Risk Class'!C17*RiskAdj,3)</f>
        <v>0.13900000000000001</v>
      </c>
      <c r="D44" s="97">
        <f t="shared" si="11"/>
        <v>10759</v>
      </c>
      <c r="E44" s="98">
        <f t="shared" si="12"/>
        <v>9580</v>
      </c>
      <c r="F44" s="250">
        <f>ROUND('ACF Costs'!C20*LOB1Pop/Pop0to69,0)</f>
        <v>400</v>
      </c>
      <c r="G44" s="98">
        <f t="shared" si="13"/>
        <v>1259</v>
      </c>
      <c r="H44" s="171">
        <f t="shared" si="14"/>
        <v>347</v>
      </c>
      <c r="I44" s="97">
        <f t="shared" si="15"/>
        <v>1737</v>
      </c>
      <c r="J44" s="98">
        <f t="shared" si="15"/>
        <v>1547</v>
      </c>
      <c r="K44" s="35">
        <f t="shared" si="16"/>
        <v>65</v>
      </c>
      <c r="L44" s="396">
        <f t="shared" si="17"/>
        <v>39</v>
      </c>
    </row>
    <row r="45" spans="1:12">
      <c r="A45" s="78" t="str">
        <f t="shared" si="9"/>
        <v>45 - 49</v>
      </c>
      <c r="B45" s="154">
        <f t="shared" si="10"/>
        <v>0.81499999999999995</v>
      </c>
      <c r="C45" s="320">
        <f>ROUND('Distribution by Risk Class'!C18*RiskAdj,3)</f>
        <v>0.185</v>
      </c>
      <c r="D45" s="97">
        <f t="shared" si="11"/>
        <v>10248</v>
      </c>
      <c r="E45" s="98">
        <f t="shared" si="12"/>
        <v>8787</v>
      </c>
      <c r="F45" s="250">
        <f>ROUND('ACF Costs'!C21*LOB1Pop/Pop0to69,0)</f>
        <v>172</v>
      </c>
      <c r="G45" s="98">
        <f t="shared" si="13"/>
        <v>971</v>
      </c>
      <c r="H45" s="171">
        <f t="shared" si="14"/>
        <v>251</v>
      </c>
      <c r="I45" s="97">
        <f t="shared" si="15"/>
        <v>2326</v>
      </c>
      <c r="J45" s="98">
        <f t="shared" si="15"/>
        <v>1994</v>
      </c>
      <c r="K45" s="35">
        <f t="shared" si="16"/>
        <v>60</v>
      </c>
      <c r="L45" s="396">
        <f t="shared" si="17"/>
        <v>39</v>
      </c>
    </row>
    <row r="46" spans="1:12">
      <c r="A46" s="78" t="str">
        <f t="shared" si="9"/>
        <v>50 - 54</v>
      </c>
      <c r="B46" s="154">
        <f t="shared" si="10"/>
        <v>0.76900000000000002</v>
      </c>
      <c r="C46" s="320">
        <f>ROUND('Distribution by Risk Class'!C19*RiskAdj,3)</f>
        <v>0.23100000000000001</v>
      </c>
      <c r="D46" s="97">
        <f t="shared" si="11"/>
        <v>8789</v>
      </c>
      <c r="E46" s="98">
        <f t="shared" si="12"/>
        <v>7321</v>
      </c>
      <c r="F46" s="250">
        <f>ROUND('ACF Costs'!C22*LOB1Pop/Pop0to69,0)</f>
        <v>76</v>
      </c>
      <c r="G46" s="98">
        <f t="shared" si="13"/>
        <v>615</v>
      </c>
      <c r="H46" s="171">
        <f t="shared" si="14"/>
        <v>151</v>
      </c>
      <c r="I46" s="97">
        <f t="shared" si="15"/>
        <v>2640</v>
      </c>
      <c r="J46" s="98">
        <f t="shared" si="15"/>
        <v>2199</v>
      </c>
      <c r="K46" s="35">
        <f t="shared" si="16"/>
        <v>46</v>
      </c>
      <c r="L46" s="396">
        <f t="shared" si="17"/>
        <v>31</v>
      </c>
    </row>
    <row r="47" spans="1:12">
      <c r="A47" s="78" t="str">
        <f t="shared" si="9"/>
        <v>55 - 59</v>
      </c>
      <c r="B47" s="154">
        <f t="shared" si="10"/>
        <v>0.67599999999999993</v>
      </c>
      <c r="C47" s="320">
        <f>ROUND('Distribution by Risk Class'!C20*RiskAdj,3)</f>
        <v>0.32400000000000001</v>
      </c>
      <c r="D47" s="97">
        <f t="shared" si="11"/>
        <v>7921</v>
      </c>
      <c r="E47" s="98">
        <f t="shared" si="12"/>
        <v>4254</v>
      </c>
      <c r="F47" s="250">
        <f>ROUND('ACF Costs'!C23*LOB1Pop/Pop0to69,0)</f>
        <v>22</v>
      </c>
      <c r="G47" s="98">
        <f t="shared" si="13"/>
        <v>382</v>
      </c>
      <c r="H47" s="171">
        <f t="shared" si="14"/>
        <v>95</v>
      </c>
      <c r="I47" s="97">
        <f t="shared" si="15"/>
        <v>3797</v>
      </c>
      <c r="J47" s="98">
        <f t="shared" si="15"/>
        <v>2039</v>
      </c>
      <c r="K47" s="35">
        <f t="shared" si="16"/>
        <v>39</v>
      </c>
      <c r="L47" s="396">
        <f t="shared" si="17"/>
        <v>29</v>
      </c>
    </row>
    <row r="48" spans="1:12">
      <c r="A48" s="78" t="str">
        <f t="shared" si="9"/>
        <v>60 - 64</v>
      </c>
      <c r="B48" s="154">
        <f t="shared" si="10"/>
        <v>0.63</v>
      </c>
      <c r="C48" s="320">
        <f>ROUND('Distribution by Risk Class'!C21*RiskAdj,3)</f>
        <v>0.37</v>
      </c>
      <c r="D48" s="97">
        <f t="shared" si="11"/>
        <v>6544</v>
      </c>
      <c r="E48" s="98">
        <f t="shared" si="12"/>
        <v>2155</v>
      </c>
      <c r="F48" s="250">
        <f>ROUND('ACF Costs'!C24*LOB1Pop/Pop0to69,0)</f>
        <v>6</v>
      </c>
      <c r="G48" s="98">
        <f t="shared" si="13"/>
        <v>183</v>
      </c>
      <c r="H48" s="171">
        <f t="shared" si="14"/>
        <v>52</v>
      </c>
      <c r="I48" s="97">
        <f t="shared" si="15"/>
        <v>3843</v>
      </c>
      <c r="J48" s="98">
        <f t="shared" si="15"/>
        <v>1265</v>
      </c>
      <c r="K48" s="35">
        <f t="shared" si="16"/>
        <v>21</v>
      </c>
      <c r="L48" s="396">
        <f t="shared" si="17"/>
        <v>19</v>
      </c>
    </row>
    <row r="49" spans="1:12">
      <c r="A49" s="78" t="str">
        <f t="shared" si="9"/>
        <v>65 - 69</v>
      </c>
      <c r="B49" s="154">
        <f t="shared" si="10"/>
        <v>0.58400000000000007</v>
      </c>
      <c r="C49" s="320">
        <f>ROUND('Distribution by Risk Class'!C22*RiskAdj,3)</f>
        <v>0.41599999999999998</v>
      </c>
      <c r="D49" s="97">
        <f t="shared" si="11"/>
        <v>5450</v>
      </c>
      <c r="E49" s="98">
        <f t="shared" si="12"/>
        <v>943</v>
      </c>
      <c r="F49" s="250">
        <f>ROUND('ACF Costs'!C25*LOB1Pop/Pop0to69,0)</f>
        <v>3</v>
      </c>
      <c r="G49" s="98">
        <f t="shared" si="13"/>
        <v>96</v>
      </c>
      <c r="H49" s="171">
        <f t="shared" si="14"/>
        <v>26</v>
      </c>
      <c r="I49" s="97">
        <f t="shared" si="15"/>
        <v>3882</v>
      </c>
      <c r="J49" s="98">
        <f t="shared" si="15"/>
        <v>671</v>
      </c>
      <c r="K49" s="35">
        <f t="shared" si="16"/>
        <v>12</v>
      </c>
      <c r="L49" s="396">
        <f t="shared" si="17"/>
        <v>11</v>
      </c>
    </row>
    <row r="50" spans="1:12">
      <c r="A50" s="78" t="str">
        <f t="shared" si="9"/>
        <v>70 - 74</v>
      </c>
      <c r="B50" s="154">
        <f t="shared" si="10"/>
        <v>0.53699999999999992</v>
      </c>
      <c r="C50" s="320">
        <f>ROUND('Distribution by Risk Class'!C23*RiskAdj,3)</f>
        <v>0.46300000000000002</v>
      </c>
      <c r="D50" s="97">
        <f t="shared" si="11"/>
        <v>0</v>
      </c>
      <c r="E50" s="98">
        <f t="shared" si="12"/>
        <v>0</v>
      </c>
      <c r="F50" s="250">
        <f>ROUND('ACF Costs'!C26*LOB1Pop/Pop0to69,0)</f>
        <v>0</v>
      </c>
      <c r="G50" s="98">
        <f t="shared" si="13"/>
        <v>0</v>
      </c>
      <c r="H50" s="171">
        <f t="shared" si="14"/>
        <v>0</v>
      </c>
      <c r="I50" s="97">
        <f t="shared" si="15"/>
        <v>0</v>
      </c>
      <c r="J50" s="98">
        <f t="shared" si="15"/>
        <v>0</v>
      </c>
      <c r="K50" s="35">
        <f t="shared" si="16"/>
        <v>0</v>
      </c>
      <c r="L50" s="396">
        <f t="shared" si="17"/>
        <v>0</v>
      </c>
    </row>
    <row r="51" spans="1:12">
      <c r="A51" s="78" t="str">
        <f t="shared" si="9"/>
        <v>75 - 79</v>
      </c>
      <c r="B51" s="154">
        <f t="shared" si="10"/>
        <v>0.49099999999999999</v>
      </c>
      <c r="C51" s="320">
        <f>ROUND('Distribution by Risk Class'!C24*RiskAdj,3)</f>
        <v>0.50900000000000001</v>
      </c>
      <c r="D51" s="97">
        <f t="shared" si="11"/>
        <v>0</v>
      </c>
      <c r="E51" s="98">
        <f t="shared" si="12"/>
        <v>0</v>
      </c>
      <c r="F51" s="250">
        <f>ROUND('ACF Costs'!C27*LOB1Pop/Pop0to69,0)</f>
        <v>0</v>
      </c>
      <c r="G51" s="98">
        <f t="shared" si="13"/>
        <v>0</v>
      </c>
      <c r="H51" s="171">
        <f t="shared" si="14"/>
        <v>0</v>
      </c>
      <c r="I51" s="97">
        <f t="shared" si="15"/>
        <v>0</v>
      </c>
      <c r="J51" s="98">
        <f t="shared" si="15"/>
        <v>0</v>
      </c>
      <c r="K51" s="35">
        <f t="shared" si="16"/>
        <v>0</v>
      </c>
      <c r="L51" s="396">
        <f t="shared" si="17"/>
        <v>0</v>
      </c>
    </row>
    <row r="52" spans="1:12">
      <c r="A52" s="78" t="str">
        <f t="shared" si="9"/>
        <v>80 - 84</v>
      </c>
      <c r="B52" s="154">
        <f t="shared" si="10"/>
        <v>0.49099999999999999</v>
      </c>
      <c r="C52" s="320">
        <f>ROUND('Distribution by Risk Class'!C25*RiskAdj,3)</f>
        <v>0.50900000000000001</v>
      </c>
      <c r="D52" s="97">
        <f t="shared" si="11"/>
        <v>0</v>
      </c>
      <c r="E52" s="98">
        <f t="shared" si="12"/>
        <v>0</v>
      </c>
      <c r="F52" s="250">
        <f>ROUND('ACF Costs'!C28*LOB1Pop/Pop0to69,0)</f>
        <v>0</v>
      </c>
      <c r="G52" s="98">
        <f t="shared" si="13"/>
        <v>0</v>
      </c>
      <c r="H52" s="171">
        <f t="shared" si="14"/>
        <v>0</v>
      </c>
      <c r="I52" s="97">
        <f t="shared" si="15"/>
        <v>0</v>
      </c>
      <c r="J52" s="98">
        <f t="shared" si="15"/>
        <v>0</v>
      </c>
      <c r="K52" s="35">
        <f t="shared" si="16"/>
        <v>0</v>
      </c>
      <c r="L52" s="396">
        <f t="shared" si="17"/>
        <v>0</v>
      </c>
    </row>
    <row r="53" spans="1:12">
      <c r="A53" s="78" t="str">
        <f t="shared" si="9"/>
        <v>85+</v>
      </c>
      <c r="B53" s="155">
        <f t="shared" si="10"/>
        <v>0.49099999999999999</v>
      </c>
      <c r="C53" s="321">
        <f>ROUND('Distribution by Risk Class'!C26*RiskAdj,3)</f>
        <v>0.50900000000000001</v>
      </c>
      <c r="D53" s="100">
        <f t="shared" si="11"/>
        <v>0</v>
      </c>
      <c r="E53" s="32">
        <f t="shared" si="12"/>
        <v>0</v>
      </c>
      <c r="F53" s="272">
        <f>ROUND('ACF Costs'!C29*LOB1Pop/Pop0to69,0)</f>
        <v>0</v>
      </c>
      <c r="G53" s="32">
        <f t="shared" si="13"/>
        <v>0</v>
      </c>
      <c r="H53" s="272">
        <f t="shared" si="14"/>
        <v>0</v>
      </c>
      <c r="I53" s="100">
        <f t="shared" si="15"/>
        <v>0</v>
      </c>
      <c r="J53" s="32">
        <f t="shared" si="15"/>
        <v>0</v>
      </c>
      <c r="K53" s="397">
        <f t="shared" si="16"/>
        <v>0</v>
      </c>
      <c r="L53" s="398">
        <f t="shared" si="17"/>
        <v>0</v>
      </c>
    </row>
    <row r="54" spans="1:12">
      <c r="A54" s="78" t="s">
        <v>1</v>
      </c>
      <c r="B54" s="3"/>
      <c r="C54" s="3"/>
      <c r="D54" s="7">
        <f t="shared" ref="D54:L54" si="18">SUM(D36:D53)</f>
        <v>125846</v>
      </c>
      <c r="E54" s="7">
        <f t="shared" si="18"/>
        <v>102135</v>
      </c>
      <c r="F54" s="7">
        <f t="shared" si="18"/>
        <v>3180</v>
      </c>
      <c r="G54" s="7">
        <f t="shared" si="18"/>
        <v>16815</v>
      </c>
      <c r="H54" s="7">
        <f t="shared" si="18"/>
        <v>4126</v>
      </c>
      <c r="I54" s="7">
        <f t="shared" si="18"/>
        <v>27705</v>
      </c>
      <c r="J54" s="7">
        <f t="shared" si="18"/>
        <v>18183</v>
      </c>
      <c r="K54" s="399">
        <f t="shared" si="18"/>
        <v>737</v>
      </c>
      <c r="L54" s="399">
        <f t="shared" si="18"/>
        <v>465</v>
      </c>
    </row>
    <row r="55" spans="1:12">
      <c r="K55" s="278"/>
    </row>
    <row r="56" spans="1:12">
      <c r="B56" s="45" t="s">
        <v>9</v>
      </c>
      <c r="G56" s="278"/>
    </row>
    <row r="57" spans="1:12">
      <c r="A57" s="384">
        <v>-1</v>
      </c>
      <c r="B57" s="404" t="str">
        <f>LOB_1&amp;" Population"</f>
        <v>LOB_1 Population</v>
      </c>
      <c r="E57" s="383">
        <f>+A66-1</f>
        <v>-11</v>
      </c>
      <c r="F57" s="274" t="str">
        <f>"(" &amp;'Morbidity Distribution'!M1 &amp; ": Column (1))" &amp; " * (8) - (9)"</f>
        <v>(Tab:: Morbidity Distribution: Column (1)) * (8) - (9)</v>
      </c>
      <c r="I57" s="383">
        <f>E65-1</f>
        <v>-20</v>
      </c>
      <c r="J57" s="274" t="s">
        <v>326</v>
      </c>
    </row>
    <row r="58" spans="1:12">
      <c r="A58" s="383">
        <f t="shared" ref="A58:A65" si="19">+A57-1</f>
        <v>-2</v>
      </c>
      <c r="B58" s="274" t="str">
        <f>'Mortality Distribution'!$M$1 &amp; ": Column (3)"</f>
        <v>Tab:: Mortality Distribution: Column (3)</v>
      </c>
      <c r="E58" s="383">
        <f t="shared" ref="E58:E64" si="20">+E57-1</f>
        <v>-12</v>
      </c>
      <c r="F58" s="274" t="s">
        <v>337</v>
      </c>
      <c r="I58" s="383">
        <f>I57-1</f>
        <v>-21</v>
      </c>
      <c r="J58" s="274" t="s">
        <v>327</v>
      </c>
    </row>
    <row r="59" spans="1:12">
      <c r="A59" s="383">
        <f t="shared" si="19"/>
        <v>-3</v>
      </c>
      <c r="B59" s="274" t="str">
        <f>'Morbidity Distribution'!$M$1 &amp; ": Column (4)"</f>
        <v>Tab:: Morbidity Distribution: Column (4)</v>
      </c>
      <c r="E59" s="383">
        <f t="shared" si="20"/>
        <v>-13</v>
      </c>
      <c r="F59" s="274" t="str">
        <f>"(3) * " &amp; 'Distribution by Provider'!$K$1 &amp; ": Column (4)"</f>
        <v>(3) * Tab:: Distribution by Provider: Column (4)</v>
      </c>
      <c r="I59" s="383">
        <f>I58-1</f>
        <v>-22</v>
      </c>
      <c r="J59" s="404" t="str">
        <f>'Morbidity Distribution'!$M$1&amp;": Column (2))"&amp;" /"</f>
        <v>Tab:: Morbidity Distribution: Column (2)) /</v>
      </c>
    </row>
    <row r="60" spans="1:12">
      <c r="A60" s="383">
        <f t="shared" si="19"/>
        <v>-4</v>
      </c>
      <c r="B60" s="274" t="str">
        <f>'Morbidity Distribution'!$M$1 &amp; ": Column (3)"</f>
        <v>Tab:: Morbidity Distribution: Column (3)</v>
      </c>
      <c r="E60" s="383">
        <f t="shared" si="20"/>
        <v>-14</v>
      </c>
      <c r="F60" s="274" t="str">
        <f>"(3) * " &amp; 'Distribution by Provider'!$K$1 &amp; ": Column (5)"</f>
        <v>(3) * Tab:: Distribution by Provider: Column (5)</v>
      </c>
      <c r="J60" s="274" t="str">
        <f>"   (1) * Population 0 to 69"</f>
        <v xml:space="preserve">   (1) * Population 0 to 69</v>
      </c>
    </row>
    <row r="61" spans="1:12">
      <c r="A61" s="383">
        <f t="shared" si="19"/>
        <v>-5</v>
      </c>
      <c r="B61" s="404" t="s">
        <v>338</v>
      </c>
      <c r="E61" s="383">
        <f t="shared" si="20"/>
        <v>-15</v>
      </c>
      <c r="F61" s="274" t="s">
        <v>322</v>
      </c>
      <c r="I61" s="383">
        <f>I59-1</f>
        <v>-23</v>
      </c>
      <c r="J61" s="274" t="s">
        <v>328</v>
      </c>
    </row>
    <row r="62" spans="1:12">
      <c r="A62" s="383">
        <f t="shared" si="19"/>
        <v>-6</v>
      </c>
      <c r="B62" s="274" t="str">
        <f>'Provider Scenario'!J1&amp; ": Column (23)"</f>
        <v>Tab:: Provider Scenario: Column (23)</v>
      </c>
      <c r="E62" s="383">
        <f t="shared" si="20"/>
        <v>-16</v>
      </c>
      <c r="F62" s="274" t="s">
        <v>323</v>
      </c>
      <c r="I62" s="383">
        <f>I61-1</f>
        <v>-24</v>
      </c>
      <c r="J62" s="274" t="s">
        <v>329</v>
      </c>
    </row>
    <row r="63" spans="1:12">
      <c r="A63" s="383">
        <f t="shared" si="19"/>
        <v>-7</v>
      </c>
      <c r="B63" s="274" t="str">
        <f>"Based on " &amp; 'Mortality Distribution'!M1 &amp; ": Column (4)"</f>
        <v>Based on Tab:: Mortality Distribution: Column (4)</v>
      </c>
      <c r="E63" s="383">
        <f t="shared" si="20"/>
        <v>-17</v>
      </c>
      <c r="F63" s="274" t="s">
        <v>324</v>
      </c>
      <c r="I63" s="383">
        <f>I62-1</f>
        <v>-25</v>
      </c>
      <c r="J63" s="274" t="s">
        <v>330</v>
      </c>
    </row>
    <row r="64" spans="1:12">
      <c r="A64" s="383">
        <f t="shared" si="19"/>
        <v>-8</v>
      </c>
      <c r="B64" s="404" t="str">
        <f>"(7) * (1)"</f>
        <v>(7) * (1)</v>
      </c>
      <c r="E64" s="383">
        <f t="shared" si="20"/>
        <v>-18</v>
      </c>
      <c r="F64" s="274" t="s">
        <v>325</v>
      </c>
      <c r="I64" s="383">
        <f>I63-1</f>
        <v>-26</v>
      </c>
      <c r="J64" s="274" t="s">
        <v>331</v>
      </c>
    </row>
    <row r="65" spans="1:10">
      <c r="A65" s="383">
        <f t="shared" si="19"/>
        <v>-9</v>
      </c>
      <c r="B65" s="274" t="str">
        <f>"(2) * (" &amp; 'Mortality Distribution'!$M$1 &amp; ": Column (13))"</f>
        <v>(2) * (Tab:: Mortality Distribution: Column (13))</v>
      </c>
      <c r="E65" s="383">
        <f>E64-1</f>
        <v>-19</v>
      </c>
      <c r="F65" s="274" t="str">
        <f>"(4) * " &amp; 'Distribution by Risk Class'!M1 &amp; ": Column (2)"</f>
        <v>(4) * Tab:: Distribution by Risk Class: Column (2)</v>
      </c>
      <c r="I65" s="383">
        <f>I64-1</f>
        <v>-27</v>
      </c>
      <c r="J65" s="274" t="s">
        <v>332</v>
      </c>
    </row>
    <row r="66" spans="1:10">
      <c r="A66" s="383">
        <f>+A65-1</f>
        <v>-10</v>
      </c>
      <c r="B66" s="274" t="s">
        <v>321</v>
      </c>
      <c r="I66" s="383">
        <f>I65-1</f>
        <v>-28</v>
      </c>
      <c r="J66" s="274" t="s">
        <v>333</v>
      </c>
    </row>
  </sheetData>
  <printOptions horizontalCentered="1"/>
  <pageMargins left="0.5" right="0.5" top="0.5" bottom="0.75" header="0.5" footer="0.35"/>
  <pageSetup scale="64" orientation="landscape" r:id="rId1"/>
  <headerFooter alignWithMargins="0">
    <oddFooter>&amp;L&amp;8&amp;F 
&amp;A&amp;C&amp;8MBA Actuaries, Inc.&amp;R&amp;8&amp;D 
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7"/>
  <sheetViews>
    <sheetView zoomScaleNormal="100" workbookViewId="0">
      <selection activeCell="B54" sqref="B54"/>
    </sheetView>
  </sheetViews>
  <sheetFormatPr defaultRowHeight="12.75"/>
  <cols>
    <col min="1" max="1" width="9.140625" style="33"/>
    <col min="2" max="2" width="9.7109375" style="140" customWidth="1"/>
    <col min="3" max="3" width="8.7109375" style="33" customWidth="1"/>
    <col min="4" max="4" width="12" style="33" customWidth="1"/>
    <col min="5" max="5" width="7.7109375" style="33" customWidth="1"/>
    <col min="6" max="6" width="9" style="33" customWidth="1"/>
    <col min="7" max="7" width="13" style="98" customWidth="1"/>
    <col min="8" max="8" width="8.140625" style="98" customWidth="1"/>
    <col min="9" max="9" width="9.140625" style="33" customWidth="1"/>
    <col min="10" max="10" width="12.7109375" style="33" customWidth="1"/>
    <col min="11" max="11" width="1" style="33" customWidth="1"/>
    <col min="12" max="12" width="9.140625" style="3"/>
    <col min="13" max="13" width="12.7109375" style="3" customWidth="1"/>
    <col min="14" max="14" width="10.7109375" style="3" customWidth="1"/>
    <col min="15" max="15" width="1.7109375" style="3" customWidth="1"/>
    <col min="16" max="16" width="12.7109375" style="3" customWidth="1"/>
    <col min="17" max="17" width="10.7109375" style="3" customWidth="1"/>
    <col min="18" max="18" width="1.42578125" style="3" customWidth="1"/>
    <col min="19" max="19" width="12.7109375" style="3" customWidth="1"/>
    <col min="20" max="20" width="10.7109375" style="3" customWidth="1"/>
    <col min="21" max="16384" width="9.140625" style="3"/>
  </cols>
  <sheetData>
    <row r="1" spans="1:20" s="16" customFormat="1">
      <c r="A1" s="446" t="str">
        <f>scenario</f>
        <v>Severe Scenario, V\ Curve</v>
      </c>
      <c r="I1" s="33"/>
      <c r="K1" s="164" t="s">
        <v>396</v>
      </c>
    </row>
    <row r="2" spans="1:20" s="16" customFormat="1">
      <c r="I2" s="33"/>
      <c r="K2" s="169"/>
    </row>
    <row r="3" spans="1:20" s="16" customFormat="1" ht="15.75">
      <c r="A3" s="52" t="str">
        <f>LOB_1&amp;" Costs by Provider and Risk Class"</f>
        <v>LOB_1 Costs by Provider and Risk Class</v>
      </c>
      <c r="B3" s="18"/>
      <c r="C3" s="18"/>
      <c r="D3" s="18"/>
      <c r="E3" s="18"/>
      <c r="F3" s="18"/>
      <c r="G3" s="18"/>
      <c r="H3" s="18"/>
      <c r="I3" s="18"/>
      <c r="J3" s="138"/>
      <c r="N3" s="20"/>
    </row>
    <row r="4" spans="1:20" s="16" customFormat="1">
      <c r="B4" s="18"/>
      <c r="C4" s="18"/>
      <c r="D4" s="18"/>
      <c r="E4" s="18"/>
      <c r="F4" s="18"/>
      <c r="G4" s="18"/>
      <c r="H4" s="18"/>
      <c r="I4" s="18"/>
      <c r="J4" s="18"/>
      <c r="K4" s="20"/>
      <c r="M4" s="271" t="s">
        <v>341</v>
      </c>
      <c r="N4" s="271"/>
      <c r="O4" s="205"/>
      <c r="P4" s="271" t="s">
        <v>342</v>
      </c>
      <c r="Q4" s="271"/>
      <c r="R4" s="205"/>
      <c r="S4" s="271" t="s">
        <v>343</v>
      </c>
      <c r="T4" s="271"/>
    </row>
    <row r="5" spans="1:20" s="33" customFormat="1">
      <c r="A5" s="37" t="s">
        <v>36</v>
      </c>
      <c r="B5" s="138" t="s">
        <v>54</v>
      </c>
      <c r="C5" s="138"/>
      <c r="D5" s="138"/>
      <c r="E5" s="138" t="s">
        <v>60</v>
      </c>
      <c r="F5" s="141"/>
      <c r="G5" s="141"/>
      <c r="H5" s="82" t="s">
        <v>55</v>
      </c>
      <c r="I5" s="82"/>
      <c r="J5" s="82"/>
      <c r="L5" s="37" t="s">
        <v>36</v>
      </c>
      <c r="M5" s="142" t="s">
        <v>1</v>
      </c>
      <c r="N5" s="143" t="s">
        <v>52</v>
      </c>
      <c r="O5" s="135"/>
      <c r="P5" s="142" t="s">
        <v>1</v>
      </c>
      <c r="Q5" s="143" t="s">
        <v>52</v>
      </c>
      <c r="R5" s="98"/>
      <c r="S5" s="142" t="s">
        <v>1</v>
      </c>
      <c r="T5" s="143" t="s">
        <v>52</v>
      </c>
    </row>
    <row r="6" spans="1:20" s="33" customFormat="1">
      <c r="A6" s="37" t="s">
        <v>37</v>
      </c>
      <c r="B6" s="142" t="s">
        <v>34</v>
      </c>
      <c r="C6" s="229" t="s">
        <v>141</v>
      </c>
      <c r="D6" s="229" t="s">
        <v>164</v>
      </c>
      <c r="E6" s="37" t="s">
        <v>34</v>
      </c>
      <c r="F6" s="229" t="s">
        <v>141</v>
      </c>
      <c r="G6" s="229" t="s">
        <v>164</v>
      </c>
      <c r="H6" s="224" t="s">
        <v>38</v>
      </c>
      <c r="I6" s="229" t="s">
        <v>141</v>
      </c>
      <c r="J6" s="229" t="s">
        <v>164</v>
      </c>
      <c r="L6" s="37" t="s">
        <v>37</v>
      </c>
      <c r="M6" s="142" t="s">
        <v>34</v>
      </c>
      <c r="N6" s="37" t="s">
        <v>61</v>
      </c>
      <c r="O6" s="136"/>
      <c r="P6" s="142" t="s">
        <v>34</v>
      </c>
      <c r="Q6" s="37" t="s">
        <v>61</v>
      </c>
      <c r="R6" s="98"/>
      <c r="S6" s="142" t="s">
        <v>34</v>
      </c>
      <c r="T6" s="37" t="s">
        <v>61</v>
      </c>
    </row>
    <row r="7" spans="1:20" s="33" customFormat="1">
      <c r="A7" s="37"/>
      <c r="B7" s="401">
        <v>-1</v>
      </c>
      <c r="C7" s="401">
        <f>B7-1</f>
        <v>-2</v>
      </c>
      <c r="D7" s="401">
        <f>C7-1</f>
        <v>-3</v>
      </c>
      <c r="E7" s="401">
        <f>D7-1</f>
        <v>-4</v>
      </c>
      <c r="F7" s="401">
        <f t="shared" ref="F7:G7" si="0">E7-1</f>
        <v>-5</v>
      </c>
      <c r="G7" s="401">
        <f t="shared" si="0"/>
        <v>-6</v>
      </c>
      <c r="H7" s="401">
        <f>G7-1</f>
        <v>-7</v>
      </c>
      <c r="I7" s="401">
        <f t="shared" ref="I7:J7" si="1">H7-1</f>
        <v>-8</v>
      </c>
      <c r="J7" s="401">
        <f t="shared" si="1"/>
        <v>-9</v>
      </c>
      <c r="K7" s="401">
        <f>J7-1</f>
        <v>-10</v>
      </c>
      <c r="L7" s="401"/>
      <c r="N7" s="37"/>
      <c r="O7" s="69"/>
      <c r="P7" s="98"/>
      <c r="Q7" s="98"/>
      <c r="R7" s="98"/>
      <c r="S7" s="98"/>
      <c r="T7" s="98"/>
    </row>
    <row r="8" spans="1:20" s="33" customFormat="1" ht="5.0999999999999996" customHeight="1">
      <c r="A8" s="37"/>
      <c r="B8" s="142"/>
      <c r="C8" s="37"/>
      <c r="D8" s="37"/>
      <c r="E8" s="37"/>
      <c r="F8" s="143"/>
      <c r="G8" s="143"/>
      <c r="H8" s="224"/>
      <c r="I8" s="224"/>
      <c r="J8" s="224"/>
    </row>
    <row r="9" spans="1:20" s="33" customFormat="1">
      <c r="A9" s="41" t="str">
        <f>+'Morbidity Distribution'!A23</f>
        <v>0 - 4</v>
      </c>
      <c r="B9" s="98">
        <f>+'LOB1 Dist'!E36</f>
        <v>11168</v>
      </c>
      <c r="C9" s="202">
        <f>+'Provider Charges'!B10</f>
        <v>180</v>
      </c>
      <c r="D9" s="171">
        <f t="shared" ref="D9:D26" si="2">+C9*B9</f>
        <v>2010240</v>
      </c>
      <c r="E9" s="171">
        <f>+'LOB1 Dist'!G36</f>
        <v>3149</v>
      </c>
      <c r="F9" s="171">
        <f>+'Provider Charges'!F10</f>
        <v>9900</v>
      </c>
      <c r="G9" s="171">
        <f t="shared" ref="G9:G26" si="3">+F9*E9</f>
        <v>31175100</v>
      </c>
      <c r="H9" s="282">
        <f>+'LOB1 Dist'!H36</f>
        <v>542</v>
      </c>
      <c r="I9" s="282">
        <f>+'Provider Charges'!J10</f>
        <v>31500</v>
      </c>
      <c r="J9" s="35">
        <f t="shared" ref="J9:J26" si="4">+I9*H9</f>
        <v>17073000</v>
      </c>
      <c r="L9" s="41" t="str">
        <f t="shared" ref="L9:L20" si="5">+A33</f>
        <v>0 - 4</v>
      </c>
      <c r="M9" s="98">
        <f t="shared" ref="M9:M26" si="6">+B9+B33</f>
        <v>11706</v>
      </c>
      <c r="N9" s="451">
        <f t="shared" ref="N9:N26" si="7">(D9+D33)/1000000</f>
        <v>2.3464900000000002</v>
      </c>
      <c r="O9" s="69"/>
      <c r="P9" s="98">
        <f t="shared" ref="P9:P26" si="8">+E9+E33</f>
        <v>3189</v>
      </c>
      <c r="Q9" s="451">
        <f t="shared" ref="Q9:Q26" si="9">(G9+G33)/1000000</f>
        <v>33.9651</v>
      </c>
      <c r="R9" s="98"/>
      <c r="S9" s="98">
        <f t="shared" ref="S9:S26" si="10">+H9+H33</f>
        <v>561</v>
      </c>
      <c r="T9" s="451">
        <f t="shared" ref="T9:T26" si="11">(J9+J33)/1000000</f>
        <v>21.347999999999999</v>
      </c>
    </row>
    <row r="10" spans="1:20" s="33" customFormat="1">
      <c r="A10" s="41" t="str">
        <f>+'Morbidity Distribution'!A24</f>
        <v>5 - 9</v>
      </c>
      <c r="B10" s="98">
        <f>+'LOB1 Dist'!E37</f>
        <v>7701</v>
      </c>
      <c r="C10" s="202">
        <f>+'Provider Charges'!B11</f>
        <v>150</v>
      </c>
      <c r="D10" s="171">
        <f t="shared" si="2"/>
        <v>1155150</v>
      </c>
      <c r="E10" s="171">
        <f>+'LOB1 Dist'!G37</f>
        <v>721</v>
      </c>
      <c r="F10" s="171">
        <f>+'Provider Charges'!F11</f>
        <v>13050</v>
      </c>
      <c r="G10" s="171">
        <f t="shared" si="3"/>
        <v>9409050</v>
      </c>
      <c r="H10" s="282">
        <f>+'LOB1 Dist'!H37</f>
        <v>103</v>
      </c>
      <c r="I10" s="282">
        <f>+'Provider Charges'!J11</f>
        <v>22500</v>
      </c>
      <c r="J10" s="35">
        <f t="shared" si="4"/>
        <v>2317500</v>
      </c>
      <c r="L10" s="41" t="str">
        <f t="shared" si="5"/>
        <v>5 - 9</v>
      </c>
      <c r="M10" s="98">
        <f t="shared" si="6"/>
        <v>8491</v>
      </c>
      <c r="N10" s="451">
        <f t="shared" si="7"/>
        <v>1.6489</v>
      </c>
      <c r="O10" s="69"/>
      <c r="P10" s="98">
        <f t="shared" si="8"/>
        <v>740</v>
      </c>
      <c r="Q10" s="451">
        <f t="shared" si="9"/>
        <v>10.09305</v>
      </c>
      <c r="R10" s="98"/>
      <c r="S10" s="98">
        <f t="shared" si="10"/>
        <v>110</v>
      </c>
      <c r="T10" s="451">
        <f t="shared" si="11"/>
        <v>3.2625000000000002</v>
      </c>
    </row>
    <row r="11" spans="1:20" s="33" customFormat="1">
      <c r="A11" s="41" t="str">
        <f>+'Morbidity Distribution'!A25</f>
        <v>10 - 14</v>
      </c>
      <c r="B11" s="98">
        <f>+'LOB1 Dist'!E38</f>
        <v>8334</v>
      </c>
      <c r="C11" s="202">
        <f>+'Provider Charges'!B12</f>
        <v>150</v>
      </c>
      <c r="D11" s="171">
        <f t="shared" si="2"/>
        <v>1250100</v>
      </c>
      <c r="E11" s="171">
        <f>+'LOB1 Dist'!G38</f>
        <v>781</v>
      </c>
      <c r="F11" s="171">
        <f>+'Provider Charges'!F12</f>
        <v>13050</v>
      </c>
      <c r="G11" s="171">
        <f t="shared" si="3"/>
        <v>10192050</v>
      </c>
      <c r="H11" s="282">
        <f>+'LOB1 Dist'!H38</f>
        <v>110</v>
      </c>
      <c r="I11" s="282">
        <f>+'Provider Charges'!J12</f>
        <v>22500</v>
      </c>
      <c r="J11" s="35">
        <f t="shared" si="4"/>
        <v>2475000</v>
      </c>
      <c r="L11" s="41" t="str">
        <f t="shared" si="5"/>
        <v>10 - 14</v>
      </c>
      <c r="M11" s="98">
        <f t="shared" si="6"/>
        <v>9189</v>
      </c>
      <c r="N11" s="451">
        <f t="shared" si="7"/>
        <v>1.784475</v>
      </c>
      <c r="O11" s="69"/>
      <c r="P11" s="98">
        <f t="shared" si="8"/>
        <v>801</v>
      </c>
      <c r="Q11" s="451">
        <f t="shared" si="9"/>
        <v>10.912050000000001</v>
      </c>
      <c r="R11" s="98"/>
      <c r="S11" s="98">
        <f t="shared" si="10"/>
        <v>118</v>
      </c>
      <c r="T11" s="451">
        <f t="shared" si="11"/>
        <v>3.5550000000000002</v>
      </c>
    </row>
    <row r="12" spans="1:20" s="33" customFormat="1">
      <c r="A12" s="41" t="str">
        <f>+'Morbidity Distribution'!A26</f>
        <v>15 - 19</v>
      </c>
      <c r="B12" s="98">
        <f>+'LOB1 Dist'!E39</f>
        <v>8131</v>
      </c>
      <c r="C12" s="202">
        <f>+'Provider Charges'!B13</f>
        <v>150</v>
      </c>
      <c r="D12" s="171">
        <f t="shared" si="2"/>
        <v>1219650</v>
      </c>
      <c r="E12" s="171">
        <f>+'LOB1 Dist'!G39</f>
        <v>1333</v>
      </c>
      <c r="F12" s="171">
        <f>+'Provider Charges'!F13</f>
        <v>13050</v>
      </c>
      <c r="G12" s="171">
        <f t="shared" si="3"/>
        <v>17395650</v>
      </c>
      <c r="H12" s="282">
        <f>+'LOB1 Dist'!H39</f>
        <v>326</v>
      </c>
      <c r="I12" s="282">
        <f>+'Provider Charges'!J13</f>
        <v>22500</v>
      </c>
      <c r="J12" s="35">
        <f t="shared" si="4"/>
        <v>7335000</v>
      </c>
      <c r="L12" s="41" t="str">
        <f t="shared" si="5"/>
        <v>15 - 19</v>
      </c>
      <c r="M12" s="98">
        <f t="shared" si="6"/>
        <v>8965</v>
      </c>
      <c r="N12" s="451">
        <f t="shared" si="7"/>
        <v>1.7408999999999999</v>
      </c>
      <c r="O12" s="69"/>
      <c r="P12" s="98">
        <f t="shared" si="8"/>
        <v>1372</v>
      </c>
      <c r="Q12" s="451">
        <f t="shared" si="9"/>
        <v>18.79965</v>
      </c>
      <c r="R12" s="98"/>
      <c r="S12" s="98">
        <f t="shared" si="10"/>
        <v>350</v>
      </c>
      <c r="T12" s="451">
        <f t="shared" si="11"/>
        <v>10.574999999999999</v>
      </c>
    </row>
    <row r="13" spans="1:20" s="33" customFormat="1">
      <c r="A13" s="41" t="str">
        <f>+'Morbidity Distribution'!A27</f>
        <v>20 - 24</v>
      </c>
      <c r="B13" s="98">
        <f>+'LOB1 Dist'!E40</f>
        <v>8619</v>
      </c>
      <c r="C13" s="202">
        <f>+'Provider Charges'!B14</f>
        <v>180</v>
      </c>
      <c r="D13" s="171">
        <f t="shared" si="2"/>
        <v>1551420</v>
      </c>
      <c r="E13" s="171">
        <f>+'LOB1 Dist'!G40</f>
        <v>1808</v>
      </c>
      <c r="F13" s="171">
        <f>+'Provider Charges'!F14</f>
        <v>16650</v>
      </c>
      <c r="G13" s="171">
        <f t="shared" si="3"/>
        <v>30103200</v>
      </c>
      <c r="H13" s="282">
        <f>+'LOB1 Dist'!H40</f>
        <v>455</v>
      </c>
      <c r="I13" s="282">
        <f>+'Provider Charges'!J14</f>
        <v>67500</v>
      </c>
      <c r="J13" s="35">
        <f t="shared" si="4"/>
        <v>30712500</v>
      </c>
      <c r="L13" s="41" t="str">
        <f t="shared" si="5"/>
        <v>20 - 24</v>
      </c>
      <c r="M13" s="98">
        <f t="shared" si="6"/>
        <v>10011</v>
      </c>
      <c r="N13" s="451">
        <f t="shared" si="7"/>
        <v>2.6650200000000002</v>
      </c>
      <c r="O13" s="69"/>
      <c r="P13" s="98">
        <f t="shared" si="8"/>
        <v>1892</v>
      </c>
      <c r="Q13" s="451">
        <f t="shared" si="9"/>
        <v>33.505200000000002</v>
      </c>
      <c r="R13" s="98"/>
      <c r="S13" s="98">
        <f t="shared" si="10"/>
        <v>506</v>
      </c>
      <c r="T13" s="451">
        <f t="shared" si="11"/>
        <v>34.155000000000001</v>
      </c>
    </row>
    <row r="14" spans="1:20" s="33" customFormat="1">
      <c r="A14" s="41" t="str">
        <f>+'Morbidity Distribution'!A28</f>
        <v>25 - 29</v>
      </c>
      <c r="B14" s="98">
        <f>+'LOB1 Dist'!E41</f>
        <v>7970</v>
      </c>
      <c r="C14" s="202">
        <f>+'Provider Charges'!B15</f>
        <v>180</v>
      </c>
      <c r="D14" s="171">
        <f t="shared" si="2"/>
        <v>1434600</v>
      </c>
      <c r="E14" s="171">
        <f>+'LOB1 Dist'!G41</f>
        <v>1964</v>
      </c>
      <c r="F14" s="171">
        <f>+'Provider Charges'!F15</f>
        <v>16650</v>
      </c>
      <c r="G14" s="171">
        <f t="shared" si="3"/>
        <v>32700600</v>
      </c>
      <c r="H14" s="171">
        <f>+'LOB1 Dist'!H41</f>
        <v>622</v>
      </c>
      <c r="I14" s="171">
        <f>+'Provider Charges'!J15</f>
        <v>67500</v>
      </c>
      <c r="J14" s="98">
        <f t="shared" si="4"/>
        <v>41985000</v>
      </c>
      <c r="L14" s="41" t="str">
        <f t="shared" si="5"/>
        <v>25 - 29</v>
      </c>
      <c r="M14" s="98">
        <f t="shared" si="6"/>
        <v>9257</v>
      </c>
      <c r="N14" s="451">
        <f t="shared" si="7"/>
        <v>2.4641999999999999</v>
      </c>
      <c r="O14" s="69"/>
      <c r="P14" s="98">
        <f t="shared" si="8"/>
        <v>2065</v>
      </c>
      <c r="Q14" s="451">
        <f t="shared" si="9"/>
        <v>36.7911</v>
      </c>
      <c r="R14" s="98"/>
      <c r="S14" s="98">
        <f t="shared" si="10"/>
        <v>692</v>
      </c>
      <c r="T14" s="451">
        <f t="shared" si="11"/>
        <v>46.71</v>
      </c>
    </row>
    <row r="15" spans="1:20" s="33" customFormat="1">
      <c r="A15" s="41" t="str">
        <f>+'Morbidity Distribution'!A29</f>
        <v>30 - 34</v>
      </c>
      <c r="B15" s="98">
        <f>+'LOB1 Dist'!E42</f>
        <v>8407</v>
      </c>
      <c r="C15" s="202">
        <f>+'Provider Charges'!B16</f>
        <v>180</v>
      </c>
      <c r="D15" s="171">
        <f t="shared" si="2"/>
        <v>1513260</v>
      </c>
      <c r="E15" s="171">
        <f>+'LOB1 Dist'!G42</f>
        <v>1969</v>
      </c>
      <c r="F15" s="171">
        <f>+'Provider Charges'!F16</f>
        <v>16650</v>
      </c>
      <c r="G15" s="171">
        <f t="shared" si="3"/>
        <v>32783850</v>
      </c>
      <c r="H15" s="171">
        <f>+'LOB1 Dist'!H42</f>
        <v>656</v>
      </c>
      <c r="I15" s="171">
        <f>+'Provider Charges'!J16</f>
        <v>67500</v>
      </c>
      <c r="J15" s="98">
        <f t="shared" si="4"/>
        <v>44280000</v>
      </c>
      <c r="L15" s="41" t="str">
        <f t="shared" si="5"/>
        <v>30 - 34</v>
      </c>
      <c r="M15" s="98">
        <f t="shared" si="6"/>
        <v>9764</v>
      </c>
      <c r="N15" s="451">
        <f t="shared" si="7"/>
        <v>2.5988600000000002</v>
      </c>
      <c r="O15" s="69"/>
      <c r="P15" s="98">
        <f t="shared" si="8"/>
        <v>2075</v>
      </c>
      <c r="Q15" s="451">
        <f t="shared" si="9"/>
        <v>37.07685</v>
      </c>
      <c r="R15" s="98"/>
      <c r="S15" s="98">
        <f t="shared" si="10"/>
        <v>730</v>
      </c>
      <c r="T15" s="451">
        <f t="shared" si="11"/>
        <v>49.274999999999999</v>
      </c>
    </row>
    <row r="16" spans="1:20" s="33" customFormat="1">
      <c r="A16" s="41" t="str">
        <f>+'Morbidity Distribution'!A30</f>
        <v>35 - 39</v>
      </c>
      <c r="B16" s="98">
        <f>+'LOB1 Dist'!E43</f>
        <v>8765</v>
      </c>
      <c r="C16" s="202">
        <f>+'Provider Charges'!B17</f>
        <v>180</v>
      </c>
      <c r="D16" s="171">
        <f t="shared" si="2"/>
        <v>1577700</v>
      </c>
      <c r="E16" s="171">
        <f>+'LOB1 Dist'!G43</f>
        <v>1584</v>
      </c>
      <c r="F16" s="171">
        <f>+'Provider Charges'!F17</f>
        <v>16650</v>
      </c>
      <c r="G16" s="171">
        <f t="shared" si="3"/>
        <v>26373600</v>
      </c>
      <c r="H16" s="171">
        <f>+'LOB1 Dist'!H43</f>
        <v>390</v>
      </c>
      <c r="I16" s="171">
        <f>+'Provider Charges'!J17</f>
        <v>67500</v>
      </c>
      <c r="J16" s="98">
        <f t="shared" si="4"/>
        <v>26325000</v>
      </c>
      <c r="L16" s="41" t="str">
        <f t="shared" si="5"/>
        <v>35 - 39</v>
      </c>
      <c r="M16" s="98">
        <f t="shared" si="6"/>
        <v>10180</v>
      </c>
      <c r="N16" s="451">
        <f t="shared" si="7"/>
        <v>2.7097000000000002</v>
      </c>
      <c r="O16" s="69"/>
      <c r="P16" s="98">
        <f t="shared" si="8"/>
        <v>1669</v>
      </c>
      <c r="Q16" s="451">
        <f t="shared" si="9"/>
        <v>29.816099999999999</v>
      </c>
      <c r="R16" s="98"/>
      <c r="S16" s="98">
        <f t="shared" si="10"/>
        <v>434</v>
      </c>
      <c r="T16" s="451">
        <f t="shared" si="11"/>
        <v>29.295000000000002</v>
      </c>
    </row>
    <row r="17" spans="1:20" s="33" customFormat="1">
      <c r="A17" s="41" t="str">
        <f>+'Morbidity Distribution'!A31</f>
        <v>40 - 44</v>
      </c>
      <c r="B17" s="98">
        <f>+'LOB1 Dist'!E44</f>
        <v>9580</v>
      </c>
      <c r="C17" s="202">
        <f>+'Provider Charges'!B18</f>
        <v>180</v>
      </c>
      <c r="D17" s="171">
        <f t="shared" si="2"/>
        <v>1724400</v>
      </c>
      <c r="E17" s="171">
        <f>+'LOB1 Dist'!G44</f>
        <v>1259</v>
      </c>
      <c r="F17" s="171">
        <f>+'Provider Charges'!F18</f>
        <v>16650</v>
      </c>
      <c r="G17" s="171">
        <f t="shared" si="3"/>
        <v>20962350</v>
      </c>
      <c r="H17" s="171">
        <f>+'LOB1 Dist'!H44</f>
        <v>347</v>
      </c>
      <c r="I17" s="171">
        <f>+'Provider Charges'!J18</f>
        <v>67500</v>
      </c>
      <c r="J17" s="98">
        <f t="shared" si="4"/>
        <v>23422500</v>
      </c>
      <c r="L17" s="41" t="str">
        <f t="shared" si="5"/>
        <v>40 - 44</v>
      </c>
      <c r="M17" s="98">
        <f t="shared" si="6"/>
        <v>11127</v>
      </c>
      <c r="N17" s="451">
        <f t="shared" si="7"/>
        <v>2.9620000000000002</v>
      </c>
      <c r="O17" s="69"/>
      <c r="P17" s="98">
        <f t="shared" si="8"/>
        <v>1324</v>
      </c>
      <c r="Q17" s="451">
        <f t="shared" si="9"/>
        <v>23.594850000000001</v>
      </c>
      <c r="R17" s="98"/>
      <c r="S17" s="98">
        <f t="shared" si="10"/>
        <v>386</v>
      </c>
      <c r="T17" s="451">
        <f t="shared" si="11"/>
        <v>26.055</v>
      </c>
    </row>
    <row r="18" spans="1:20" s="33" customFormat="1">
      <c r="A18" s="41" t="str">
        <f>+'Morbidity Distribution'!A32</f>
        <v>45 - 49</v>
      </c>
      <c r="B18" s="98">
        <f>+'LOB1 Dist'!E45</f>
        <v>8787</v>
      </c>
      <c r="C18" s="202">
        <f>+'Provider Charges'!B19</f>
        <v>180</v>
      </c>
      <c r="D18" s="171">
        <f t="shared" si="2"/>
        <v>1581660</v>
      </c>
      <c r="E18" s="171">
        <f>+'LOB1 Dist'!G45</f>
        <v>971</v>
      </c>
      <c r="F18" s="171">
        <f>+'Provider Charges'!F19</f>
        <v>16650</v>
      </c>
      <c r="G18" s="171">
        <f t="shared" si="3"/>
        <v>16167150</v>
      </c>
      <c r="H18" s="171">
        <f>+'LOB1 Dist'!H45</f>
        <v>251</v>
      </c>
      <c r="I18" s="171">
        <f>+'Provider Charges'!J19</f>
        <v>81000</v>
      </c>
      <c r="J18" s="98">
        <f t="shared" si="4"/>
        <v>20331000</v>
      </c>
      <c r="L18" s="41" t="str">
        <f t="shared" si="5"/>
        <v>45 - 49</v>
      </c>
      <c r="M18" s="98">
        <f t="shared" si="6"/>
        <v>10781</v>
      </c>
      <c r="N18" s="451">
        <f t="shared" si="7"/>
        <v>3.17686</v>
      </c>
      <c r="O18" s="69"/>
      <c r="P18" s="98">
        <f t="shared" si="8"/>
        <v>1031</v>
      </c>
      <c r="Q18" s="451">
        <f t="shared" si="9"/>
        <v>18.597149999999999</v>
      </c>
      <c r="R18" s="98"/>
      <c r="S18" s="98">
        <f t="shared" si="10"/>
        <v>290</v>
      </c>
      <c r="T18" s="451">
        <f t="shared" si="11"/>
        <v>23.49</v>
      </c>
    </row>
    <row r="19" spans="1:20" s="33" customFormat="1">
      <c r="A19" s="41" t="str">
        <f>+'Morbidity Distribution'!A33</f>
        <v>50 - 54</v>
      </c>
      <c r="B19" s="98">
        <f>+'LOB1 Dist'!E46</f>
        <v>7321</v>
      </c>
      <c r="C19" s="202">
        <f>+'Provider Charges'!B20</f>
        <v>250</v>
      </c>
      <c r="D19" s="171">
        <f t="shared" si="2"/>
        <v>1830250</v>
      </c>
      <c r="E19" s="171">
        <f>+'LOB1 Dist'!G46</f>
        <v>615</v>
      </c>
      <c r="F19" s="171">
        <f>+'Provider Charges'!F20</f>
        <v>20250</v>
      </c>
      <c r="G19" s="171">
        <f t="shared" si="3"/>
        <v>12453750</v>
      </c>
      <c r="H19" s="171">
        <f>+'LOB1 Dist'!H46</f>
        <v>151</v>
      </c>
      <c r="I19" s="171">
        <f>+'Provider Charges'!J20</f>
        <v>108000</v>
      </c>
      <c r="J19" s="98">
        <f t="shared" si="4"/>
        <v>16308000</v>
      </c>
      <c r="L19" s="41" t="str">
        <f t="shared" si="5"/>
        <v>50 - 54</v>
      </c>
      <c r="M19" s="98">
        <f t="shared" si="6"/>
        <v>9520</v>
      </c>
      <c r="N19" s="451">
        <f t="shared" si="7"/>
        <v>3.5894499999999998</v>
      </c>
      <c r="O19" s="69"/>
      <c r="P19" s="98">
        <f t="shared" si="8"/>
        <v>661</v>
      </c>
      <c r="Q19" s="451">
        <f t="shared" si="9"/>
        <v>14.10975</v>
      </c>
      <c r="R19" s="98"/>
      <c r="S19" s="98">
        <f t="shared" si="10"/>
        <v>182</v>
      </c>
      <c r="T19" s="451">
        <f t="shared" si="11"/>
        <v>19.655999999999999</v>
      </c>
    </row>
    <row r="20" spans="1:20" s="33" customFormat="1">
      <c r="A20" s="41" t="str">
        <f>+'Morbidity Distribution'!A34</f>
        <v>55 - 59</v>
      </c>
      <c r="B20" s="98">
        <f>+'LOB1 Dist'!E47</f>
        <v>4254</v>
      </c>
      <c r="C20" s="202">
        <f>+'Provider Charges'!B21</f>
        <v>250</v>
      </c>
      <c r="D20" s="171">
        <f t="shared" si="2"/>
        <v>1063500</v>
      </c>
      <c r="E20" s="171">
        <f>+'LOB1 Dist'!G47</f>
        <v>382</v>
      </c>
      <c r="F20" s="171">
        <f>+'Provider Charges'!F21</f>
        <v>20250</v>
      </c>
      <c r="G20" s="171">
        <f t="shared" si="3"/>
        <v>7735500</v>
      </c>
      <c r="H20" s="171">
        <f>+'LOB1 Dist'!H47</f>
        <v>95</v>
      </c>
      <c r="I20" s="171">
        <f>+'Provider Charges'!J21</f>
        <v>108000</v>
      </c>
      <c r="J20" s="98">
        <f t="shared" si="4"/>
        <v>10260000</v>
      </c>
      <c r="L20" s="41" t="str">
        <f t="shared" si="5"/>
        <v>55 - 59</v>
      </c>
      <c r="M20" s="98">
        <f t="shared" si="6"/>
        <v>6293</v>
      </c>
      <c r="N20" s="451">
        <f t="shared" si="7"/>
        <v>2.6947000000000001</v>
      </c>
      <c r="O20" s="69"/>
      <c r="P20" s="98">
        <f t="shared" si="8"/>
        <v>421</v>
      </c>
      <c r="Q20" s="451">
        <f t="shared" si="9"/>
        <v>9.1395</v>
      </c>
      <c r="R20" s="98"/>
      <c r="S20" s="98">
        <f t="shared" si="10"/>
        <v>124</v>
      </c>
      <c r="T20" s="451">
        <f t="shared" si="11"/>
        <v>13.391999999999999</v>
      </c>
    </row>
    <row r="21" spans="1:20" s="33" customFormat="1">
      <c r="A21" s="41" t="str">
        <f>+'Morbidity Distribution'!A35</f>
        <v>60 - 64</v>
      </c>
      <c r="B21" s="98">
        <f>+'LOB1 Dist'!E48</f>
        <v>2155</v>
      </c>
      <c r="C21" s="202">
        <f>+'Provider Charges'!B22</f>
        <v>250</v>
      </c>
      <c r="D21" s="171">
        <f t="shared" si="2"/>
        <v>538750</v>
      </c>
      <c r="E21" s="171">
        <f>+'LOB1 Dist'!G48</f>
        <v>183</v>
      </c>
      <c r="F21" s="171">
        <f>+'Provider Charges'!F22</f>
        <v>20250</v>
      </c>
      <c r="G21" s="171">
        <f t="shared" si="3"/>
        <v>3705750</v>
      </c>
      <c r="H21" s="171">
        <f>+'LOB1 Dist'!H48</f>
        <v>52</v>
      </c>
      <c r="I21" s="171">
        <f>+'Provider Charges'!J22</f>
        <v>108000</v>
      </c>
      <c r="J21" s="98">
        <f t="shared" si="4"/>
        <v>5616000</v>
      </c>
      <c r="L21" s="41" t="str">
        <f t="shared" ref="L21:L26" si="12">+A45</f>
        <v>60 - 64</v>
      </c>
      <c r="M21" s="98">
        <f t="shared" si="6"/>
        <v>3420</v>
      </c>
      <c r="N21" s="451">
        <f t="shared" si="7"/>
        <v>1.5507500000000001</v>
      </c>
      <c r="O21" s="69"/>
      <c r="P21" s="98">
        <f t="shared" si="8"/>
        <v>204</v>
      </c>
      <c r="Q21" s="451">
        <f t="shared" si="9"/>
        <v>4.4617500000000003</v>
      </c>
      <c r="R21" s="98"/>
      <c r="S21" s="98">
        <f t="shared" si="10"/>
        <v>71</v>
      </c>
      <c r="T21" s="451">
        <f t="shared" si="11"/>
        <v>7.6680000000000001</v>
      </c>
    </row>
    <row r="22" spans="1:20" s="33" customFormat="1">
      <c r="A22" s="41" t="str">
        <f>+'Morbidity Distribution'!A36</f>
        <v>65 - 69</v>
      </c>
      <c r="B22" s="98">
        <f>+'LOB1 Dist'!E49</f>
        <v>943</v>
      </c>
      <c r="C22" s="202">
        <f>+'Provider Charges'!B23</f>
        <v>225</v>
      </c>
      <c r="D22" s="171">
        <f t="shared" si="2"/>
        <v>212175</v>
      </c>
      <c r="E22" s="171">
        <f>+'LOB1 Dist'!G49</f>
        <v>96</v>
      </c>
      <c r="F22" s="171">
        <f>+'Provider Charges'!F23</f>
        <v>11250</v>
      </c>
      <c r="G22" s="171">
        <f t="shared" si="3"/>
        <v>1080000</v>
      </c>
      <c r="H22" s="171">
        <f>+'LOB1 Dist'!H49</f>
        <v>26</v>
      </c>
      <c r="I22" s="171">
        <f>+'Provider Charges'!J23</f>
        <v>54000</v>
      </c>
      <c r="J22" s="98">
        <f t="shared" si="4"/>
        <v>1404000</v>
      </c>
      <c r="L22" s="41" t="str">
        <f t="shared" si="12"/>
        <v>65 - 69</v>
      </c>
      <c r="M22" s="98">
        <f t="shared" si="6"/>
        <v>1614</v>
      </c>
      <c r="N22" s="451">
        <f t="shared" si="7"/>
        <v>0.64832500000000004</v>
      </c>
      <c r="O22" s="69"/>
      <c r="P22" s="98">
        <f t="shared" si="8"/>
        <v>108</v>
      </c>
      <c r="Q22" s="451">
        <f t="shared" si="9"/>
        <v>1.35</v>
      </c>
      <c r="R22" s="98"/>
      <c r="S22" s="98">
        <f t="shared" si="10"/>
        <v>37</v>
      </c>
      <c r="T22" s="451">
        <f t="shared" si="11"/>
        <v>1.998</v>
      </c>
    </row>
    <row r="23" spans="1:20" s="33" customFormat="1">
      <c r="A23" s="41" t="str">
        <f>+'Morbidity Distribution'!A37</f>
        <v>70 - 74</v>
      </c>
      <c r="B23" s="98">
        <f>+'LOB1 Dist'!E50</f>
        <v>0</v>
      </c>
      <c r="C23" s="202">
        <f>+'Provider Charges'!B24</f>
        <v>225</v>
      </c>
      <c r="D23" s="171">
        <f t="shared" si="2"/>
        <v>0</v>
      </c>
      <c r="E23" s="171">
        <f>+'LOB1 Dist'!G50</f>
        <v>0</v>
      </c>
      <c r="F23" s="171">
        <f>+'Provider Charges'!F24</f>
        <v>10350</v>
      </c>
      <c r="G23" s="171">
        <f t="shared" si="3"/>
        <v>0</v>
      </c>
      <c r="H23" s="171">
        <f>+'LOB1 Dist'!H50</f>
        <v>0</v>
      </c>
      <c r="I23" s="171">
        <f>+'Provider Charges'!J24</f>
        <v>31950</v>
      </c>
      <c r="J23" s="98">
        <f t="shared" si="4"/>
        <v>0</v>
      </c>
      <c r="L23" s="41" t="str">
        <f t="shared" si="12"/>
        <v>70 - 74</v>
      </c>
      <c r="M23" s="98">
        <f t="shared" si="6"/>
        <v>0</v>
      </c>
      <c r="N23" s="451">
        <f t="shared" si="7"/>
        <v>0</v>
      </c>
      <c r="O23" s="69"/>
      <c r="P23" s="98">
        <f t="shared" si="8"/>
        <v>0</v>
      </c>
      <c r="Q23" s="451">
        <f t="shared" si="9"/>
        <v>0</v>
      </c>
      <c r="R23" s="98"/>
      <c r="S23" s="98">
        <f t="shared" si="10"/>
        <v>0</v>
      </c>
      <c r="T23" s="451">
        <f t="shared" si="11"/>
        <v>0</v>
      </c>
    </row>
    <row r="24" spans="1:20" s="33" customFormat="1">
      <c r="A24" s="41" t="str">
        <f>+'Morbidity Distribution'!A38</f>
        <v>75 - 79</v>
      </c>
      <c r="B24" s="98">
        <f>+'LOB1 Dist'!E51</f>
        <v>0</v>
      </c>
      <c r="C24" s="202">
        <f>+'Provider Charges'!B25</f>
        <v>225</v>
      </c>
      <c r="D24" s="171">
        <f t="shared" si="2"/>
        <v>0</v>
      </c>
      <c r="E24" s="171">
        <f>+'LOB1 Dist'!G51</f>
        <v>0</v>
      </c>
      <c r="F24" s="171">
        <f>+'Provider Charges'!F25</f>
        <v>10350</v>
      </c>
      <c r="G24" s="171">
        <f t="shared" si="3"/>
        <v>0</v>
      </c>
      <c r="H24" s="171">
        <f>+'LOB1 Dist'!H51</f>
        <v>0</v>
      </c>
      <c r="I24" s="171">
        <f>+'Provider Charges'!J25</f>
        <v>31950</v>
      </c>
      <c r="J24" s="98">
        <f t="shared" si="4"/>
        <v>0</v>
      </c>
      <c r="L24" s="41" t="str">
        <f t="shared" si="12"/>
        <v>75 - 79</v>
      </c>
      <c r="M24" s="98">
        <f t="shared" si="6"/>
        <v>0</v>
      </c>
      <c r="N24" s="451">
        <f t="shared" si="7"/>
        <v>0</v>
      </c>
      <c r="O24" s="69"/>
      <c r="P24" s="98">
        <f t="shared" si="8"/>
        <v>0</v>
      </c>
      <c r="Q24" s="451">
        <f t="shared" si="9"/>
        <v>0</v>
      </c>
      <c r="R24" s="98"/>
      <c r="S24" s="98">
        <f t="shared" si="10"/>
        <v>0</v>
      </c>
      <c r="T24" s="451">
        <f t="shared" si="11"/>
        <v>0</v>
      </c>
    </row>
    <row r="25" spans="1:20" s="33" customFormat="1">
      <c r="A25" s="41" t="str">
        <f>+'Morbidity Distribution'!A39</f>
        <v>80 - 84</v>
      </c>
      <c r="B25" s="98">
        <f>+'LOB1 Dist'!E52</f>
        <v>0</v>
      </c>
      <c r="C25" s="202">
        <f>+'Provider Charges'!B26</f>
        <v>225</v>
      </c>
      <c r="D25" s="171">
        <f t="shared" si="2"/>
        <v>0</v>
      </c>
      <c r="E25" s="171">
        <f>+'LOB1 Dist'!G52</f>
        <v>0</v>
      </c>
      <c r="F25" s="171">
        <f>+'Provider Charges'!F26</f>
        <v>10350</v>
      </c>
      <c r="G25" s="171">
        <f t="shared" si="3"/>
        <v>0</v>
      </c>
      <c r="H25" s="171">
        <f>+'LOB1 Dist'!H52</f>
        <v>0</v>
      </c>
      <c r="I25" s="171">
        <f>+'Provider Charges'!J26</f>
        <v>31950</v>
      </c>
      <c r="J25" s="98">
        <f t="shared" si="4"/>
        <v>0</v>
      </c>
      <c r="L25" s="41" t="str">
        <f t="shared" si="12"/>
        <v>80 - 84</v>
      </c>
      <c r="M25" s="98">
        <f t="shared" si="6"/>
        <v>0</v>
      </c>
      <c r="N25" s="451">
        <f t="shared" si="7"/>
        <v>0</v>
      </c>
      <c r="O25" s="69"/>
      <c r="P25" s="98">
        <f t="shared" si="8"/>
        <v>0</v>
      </c>
      <c r="Q25" s="451">
        <f t="shared" si="9"/>
        <v>0</v>
      </c>
      <c r="R25" s="98"/>
      <c r="S25" s="98">
        <f t="shared" si="10"/>
        <v>0</v>
      </c>
      <c r="T25" s="451">
        <f t="shared" si="11"/>
        <v>0</v>
      </c>
    </row>
    <row r="26" spans="1:20" s="33" customFormat="1">
      <c r="A26" s="41" t="str">
        <f>+'Morbidity Distribution'!A40</f>
        <v>85+</v>
      </c>
      <c r="B26" s="98">
        <f>+'LOB1 Dist'!E53</f>
        <v>0</v>
      </c>
      <c r="C26" s="202">
        <f>+'Provider Charges'!B27</f>
        <v>225</v>
      </c>
      <c r="D26" s="171">
        <f t="shared" si="2"/>
        <v>0</v>
      </c>
      <c r="E26" s="171">
        <f>+'LOB1 Dist'!G53</f>
        <v>0</v>
      </c>
      <c r="F26" s="171">
        <f>+'Provider Charges'!F27</f>
        <v>10350</v>
      </c>
      <c r="G26" s="171">
        <f t="shared" si="3"/>
        <v>0</v>
      </c>
      <c r="H26" s="171">
        <f>+'LOB1 Dist'!H53</f>
        <v>0</v>
      </c>
      <c r="I26" s="171">
        <f>+'Provider Charges'!J27</f>
        <v>31950</v>
      </c>
      <c r="J26" s="98">
        <f t="shared" si="4"/>
        <v>0</v>
      </c>
      <c r="L26" s="41" t="str">
        <f t="shared" si="12"/>
        <v>85+</v>
      </c>
      <c r="M26" s="98">
        <f t="shared" si="6"/>
        <v>0</v>
      </c>
      <c r="N26" s="451">
        <f t="shared" si="7"/>
        <v>0</v>
      </c>
      <c r="O26" s="69"/>
      <c r="P26" s="98">
        <f t="shared" si="8"/>
        <v>0</v>
      </c>
      <c r="Q26" s="451">
        <f t="shared" si="9"/>
        <v>0</v>
      </c>
      <c r="R26" s="98"/>
      <c r="S26" s="98">
        <f t="shared" si="10"/>
        <v>0</v>
      </c>
      <c r="T26" s="451">
        <f t="shared" si="11"/>
        <v>0</v>
      </c>
    </row>
    <row r="27" spans="1:20" s="33" customFormat="1">
      <c r="A27" s="79" t="str">
        <f>+'Morbidity Distribution'!A41</f>
        <v>Total</v>
      </c>
      <c r="B27" s="98">
        <f>SUM(B9:B26)</f>
        <v>102135</v>
      </c>
      <c r="C27" s="202"/>
      <c r="D27" s="171">
        <f>SUM(D9:D26)</f>
        <v>18662855</v>
      </c>
      <c r="E27" s="171">
        <f>SUM(E9:E26)</f>
        <v>16815</v>
      </c>
      <c r="F27" s="171"/>
      <c r="G27" s="171">
        <f>SUM(G9:G26)</f>
        <v>252237600</v>
      </c>
      <c r="H27" s="171">
        <f>SUM(H9:H26)</f>
        <v>4126</v>
      </c>
      <c r="I27" s="171"/>
      <c r="J27" s="98">
        <f>SUM(J9:J26)</f>
        <v>249844500</v>
      </c>
      <c r="L27" s="41" t="s">
        <v>1</v>
      </c>
      <c r="M27" s="144">
        <f>SUM(M9:M26)</f>
        <v>120318</v>
      </c>
      <c r="N27" s="451">
        <f>SUM(N9:N26)</f>
        <v>32.580630000000006</v>
      </c>
      <c r="O27" s="69"/>
      <c r="P27" s="144">
        <f>SUM(P9:P26)</f>
        <v>17552</v>
      </c>
      <c r="Q27" s="451">
        <f>SUM(Q9:Q26)</f>
        <v>282.21210000000002</v>
      </c>
      <c r="R27" s="98"/>
      <c r="S27" s="144">
        <f>SUM(S9:S26)</f>
        <v>4591</v>
      </c>
      <c r="T27" s="451">
        <f>SUM(T9:T26)</f>
        <v>290.43450000000001</v>
      </c>
    </row>
    <row r="28" spans="1:20" s="33" customFormat="1">
      <c r="A28" s="79"/>
      <c r="B28" s="98"/>
      <c r="C28" s="202"/>
      <c r="D28" s="171"/>
      <c r="E28" s="171"/>
      <c r="F28" s="171"/>
      <c r="G28" s="171"/>
      <c r="H28" s="171"/>
      <c r="I28" s="171"/>
      <c r="J28" s="98"/>
      <c r="N28" s="140"/>
      <c r="O28" s="144"/>
      <c r="P28" s="144"/>
      <c r="R28" s="98"/>
      <c r="S28" s="144"/>
    </row>
    <row r="29" spans="1:20" s="33" customFormat="1">
      <c r="A29" s="37" t="s">
        <v>36</v>
      </c>
      <c r="B29" s="138" t="s">
        <v>58</v>
      </c>
      <c r="C29" s="172"/>
      <c r="D29" s="172"/>
      <c r="E29" s="172" t="s">
        <v>79</v>
      </c>
      <c r="F29" s="291"/>
      <c r="G29" s="291"/>
      <c r="H29" s="289" t="s">
        <v>59</v>
      </c>
      <c r="I29" s="289"/>
      <c r="J29" s="82"/>
      <c r="T29" s="41"/>
    </row>
    <row r="30" spans="1:20" s="33" customFormat="1">
      <c r="A30" s="37" t="s">
        <v>37</v>
      </c>
      <c r="B30" s="142" t="s">
        <v>34</v>
      </c>
      <c r="C30" s="229" t="s">
        <v>141</v>
      </c>
      <c r="D30" s="229" t="s">
        <v>164</v>
      </c>
      <c r="E30" s="229" t="s">
        <v>34</v>
      </c>
      <c r="F30" s="229" t="s">
        <v>141</v>
      </c>
      <c r="G30" s="229" t="s">
        <v>164</v>
      </c>
      <c r="H30" s="237" t="s">
        <v>38</v>
      </c>
      <c r="I30" s="229" t="s">
        <v>141</v>
      </c>
      <c r="J30" s="229" t="s">
        <v>164</v>
      </c>
      <c r="N30" s="140"/>
      <c r="R30" s="98"/>
      <c r="S30" s="98"/>
    </row>
    <row r="31" spans="1:20" s="33" customFormat="1">
      <c r="A31" s="37"/>
      <c r="B31" s="401">
        <f>J7-1</f>
        <v>-10</v>
      </c>
      <c r="C31" s="401">
        <f>B31-1</f>
        <v>-11</v>
      </c>
      <c r="D31" s="401">
        <f>C31-1</f>
        <v>-12</v>
      </c>
      <c r="E31" s="401">
        <f>D31-1</f>
        <v>-13</v>
      </c>
      <c r="F31" s="401">
        <f t="shared" ref="F31:G31" si="13">E31-1</f>
        <v>-14</v>
      </c>
      <c r="G31" s="401">
        <f t="shared" si="13"/>
        <v>-15</v>
      </c>
      <c r="H31" s="401">
        <f>G31-1</f>
        <v>-16</v>
      </c>
      <c r="I31" s="401">
        <f t="shared" ref="I31:J31" si="14">H31-1</f>
        <v>-17</v>
      </c>
      <c r="J31" s="401">
        <f t="shared" si="14"/>
        <v>-18</v>
      </c>
      <c r="K31" s="401">
        <f>J31-1</f>
        <v>-19</v>
      </c>
      <c r="L31" s="401"/>
      <c r="R31" s="98"/>
      <c r="S31" s="98"/>
      <c r="T31" s="98"/>
    </row>
    <row r="32" spans="1:20" s="33" customFormat="1" ht="5.0999999999999996" customHeight="1">
      <c r="A32" s="37"/>
      <c r="B32" s="142"/>
      <c r="C32" s="229"/>
      <c r="D32" s="229"/>
      <c r="E32" s="229"/>
      <c r="F32" s="290"/>
      <c r="G32" s="290"/>
      <c r="H32" s="237"/>
      <c r="I32" s="237"/>
      <c r="J32" s="224"/>
      <c r="P32" s="138"/>
      <c r="Q32" s="138"/>
    </row>
    <row r="33" spans="1:14" s="33" customFormat="1">
      <c r="A33" s="41" t="str">
        <f t="shared" ref="A33:A45" si="15">+A9</f>
        <v>0 - 4</v>
      </c>
      <c r="B33" s="98">
        <f>+'LOB1 Dist'!J36</f>
        <v>538</v>
      </c>
      <c r="C33" s="202">
        <f>+'Provider Charges'!B33</f>
        <v>625</v>
      </c>
      <c r="D33" s="171">
        <f t="shared" ref="D33:D50" si="16">+C33*B33</f>
        <v>336250</v>
      </c>
      <c r="E33" s="171">
        <f>+'LOB1 Dist'!K36</f>
        <v>40</v>
      </c>
      <c r="F33" s="171">
        <f>+'Provider Charges'!F33</f>
        <v>69750</v>
      </c>
      <c r="G33" s="171">
        <f t="shared" ref="G33:G50" si="17">+F33*E33</f>
        <v>2790000</v>
      </c>
      <c r="H33" s="282">
        <f>+'LOB1 Dist'!L36</f>
        <v>19</v>
      </c>
      <c r="I33" s="282">
        <f>+'Provider Charges'!J33</f>
        <v>225000</v>
      </c>
      <c r="J33" s="35">
        <f t="shared" ref="J33:J50" si="18">+I33*H33</f>
        <v>4275000</v>
      </c>
    </row>
    <row r="34" spans="1:14" s="33" customFormat="1">
      <c r="A34" s="41" t="str">
        <f t="shared" si="15"/>
        <v>5 - 9</v>
      </c>
      <c r="B34" s="98">
        <f>+'LOB1 Dist'!J37</f>
        <v>790</v>
      </c>
      <c r="C34" s="202">
        <f>+'Provider Charges'!B34</f>
        <v>625</v>
      </c>
      <c r="D34" s="171">
        <f t="shared" si="16"/>
        <v>493750</v>
      </c>
      <c r="E34" s="171">
        <f>+'LOB1 Dist'!K37</f>
        <v>19</v>
      </c>
      <c r="F34" s="171">
        <f>+'Provider Charges'!F34</f>
        <v>36000</v>
      </c>
      <c r="G34" s="171">
        <f t="shared" si="17"/>
        <v>684000</v>
      </c>
      <c r="H34" s="282">
        <f>+'LOB1 Dist'!L37</f>
        <v>7</v>
      </c>
      <c r="I34" s="282">
        <f>+'Provider Charges'!J34</f>
        <v>135000</v>
      </c>
      <c r="J34" s="35">
        <f t="shared" si="18"/>
        <v>945000</v>
      </c>
      <c r="M34" s="144"/>
    </row>
    <row r="35" spans="1:14">
      <c r="A35" s="41" t="str">
        <f t="shared" si="15"/>
        <v>10 - 14</v>
      </c>
      <c r="B35" s="98">
        <f>+'LOB1 Dist'!J38</f>
        <v>855</v>
      </c>
      <c r="C35" s="202">
        <f>+'Provider Charges'!B35</f>
        <v>625</v>
      </c>
      <c r="D35" s="171">
        <f t="shared" si="16"/>
        <v>534375</v>
      </c>
      <c r="E35" s="171">
        <f>+'LOB1 Dist'!K38</f>
        <v>20</v>
      </c>
      <c r="F35" s="171">
        <f>+'Provider Charges'!F35</f>
        <v>36000</v>
      </c>
      <c r="G35" s="171">
        <f t="shared" si="17"/>
        <v>720000</v>
      </c>
      <c r="H35" s="282">
        <f>+'LOB1 Dist'!L38</f>
        <v>8</v>
      </c>
      <c r="I35" s="282">
        <f>+'Provider Charges'!J35</f>
        <v>135000</v>
      </c>
      <c r="J35" s="35">
        <f t="shared" si="18"/>
        <v>1080000</v>
      </c>
      <c r="M35" s="7"/>
      <c r="N35" s="33"/>
    </row>
    <row r="36" spans="1:14">
      <c r="A36" s="41" t="str">
        <f t="shared" si="15"/>
        <v>15 - 19</v>
      </c>
      <c r="B36" s="98">
        <f>+'LOB1 Dist'!J39</f>
        <v>834</v>
      </c>
      <c r="C36" s="202">
        <f>+'Provider Charges'!B36</f>
        <v>625</v>
      </c>
      <c r="D36" s="171">
        <f t="shared" si="16"/>
        <v>521250</v>
      </c>
      <c r="E36" s="171">
        <f>+'LOB1 Dist'!K39</f>
        <v>39</v>
      </c>
      <c r="F36" s="171">
        <f>+'Provider Charges'!F36</f>
        <v>36000</v>
      </c>
      <c r="G36" s="171">
        <f t="shared" si="17"/>
        <v>1404000</v>
      </c>
      <c r="H36" s="282">
        <f>+'LOB1 Dist'!L39</f>
        <v>24</v>
      </c>
      <c r="I36" s="282">
        <f>+'Provider Charges'!J36</f>
        <v>135000</v>
      </c>
      <c r="J36" s="35">
        <f t="shared" si="18"/>
        <v>3240000</v>
      </c>
      <c r="N36" s="33"/>
    </row>
    <row r="37" spans="1:14">
      <c r="A37" s="41" t="str">
        <f t="shared" si="15"/>
        <v>20 - 24</v>
      </c>
      <c r="B37" s="98">
        <f>+'LOB1 Dist'!J40</f>
        <v>1392</v>
      </c>
      <c r="C37" s="202">
        <f>+'Provider Charges'!B37</f>
        <v>800</v>
      </c>
      <c r="D37" s="171">
        <f t="shared" si="16"/>
        <v>1113600</v>
      </c>
      <c r="E37" s="171">
        <f>+'LOB1 Dist'!K40</f>
        <v>84</v>
      </c>
      <c r="F37" s="171">
        <f>+'Provider Charges'!F37</f>
        <v>40500</v>
      </c>
      <c r="G37" s="171">
        <f t="shared" si="17"/>
        <v>3402000</v>
      </c>
      <c r="H37" s="171">
        <f>+'LOB1 Dist'!L40</f>
        <v>51</v>
      </c>
      <c r="I37" s="171">
        <f>+'Provider Charges'!J37</f>
        <v>67500</v>
      </c>
      <c r="J37" s="98">
        <f t="shared" si="18"/>
        <v>3442500</v>
      </c>
      <c r="N37" s="33"/>
    </row>
    <row r="38" spans="1:14">
      <c r="A38" s="41" t="str">
        <f t="shared" si="15"/>
        <v>25 - 29</v>
      </c>
      <c r="B38" s="98">
        <f>+'LOB1 Dist'!J41</f>
        <v>1287</v>
      </c>
      <c r="C38" s="202">
        <f>+'Provider Charges'!B38</f>
        <v>800</v>
      </c>
      <c r="D38" s="171">
        <f t="shared" si="16"/>
        <v>1029600</v>
      </c>
      <c r="E38" s="171">
        <f>+'LOB1 Dist'!K41</f>
        <v>101</v>
      </c>
      <c r="F38" s="171">
        <f>+'Provider Charges'!F38</f>
        <v>40500</v>
      </c>
      <c r="G38" s="171">
        <f t="shared" si="17"/>
        <v>4090500</v>
      </c>
      <c r="H38" s="171">
        <f>+'LOB1 Dist'!L41</f>
        <v>70</v>
      </c>
      <c r="I38" s="171">
        <f>+'Provider Charges'!J38</f>
        <v>67500</v>
      </c>
      <c r="J38" s="98">
        <f t="shared" si="18"/>
        <v>4725000</v>
      </c>
      <c r="N38" s="33"/>
    </row>
    <row r="39" spans="1:14">
      <c r="A39" s="41" t="str">
        <f t="shared" si="15"/>
        <v>30 - 34</v>
      </c>
      <c r="B39" s="98">
        <f>+'LOB1 Dist'!J42</f>
        <v>1357</v>
      </c>
      <c r="C39" s="202">
        <f>+'Provider Charges'!B39</f>
        <v>800</v>
      </c>
      <c r="D39" s="171">
        <f t="shared" si="16"/>
        <v>1085600</v>
      </c>
      <c r="E39" s="171">
        <f>+'LOB1 Dist'!K42</f>
        <v>106</v>
      </c>
      <c r="F39" s="171">
        <f>+'Provider Charges'!F39</f>
        <v>40500</v>
      </c>
      <c r="G39" s="171">
        <f t="shared" si="17"/>
        <v>4293000</v>
      </c>
      <c r="H39" s="171">
        <f>+'LOB1 Dist'!L42</f>
        <v>74</v>
      </c>
      <c r="I39" s="171">
        <f>+'Provider Charges'!J39</f>
        <v>67500</v>
      </c>
      <c r="J39" s="98">
        <f t="shared" si="18"/>
        <v>4995000</v>
      </c>
      <c r="N39" s="33"/>
    </row>
    <row r="40" spans="1:14">
      <c r="A40" s="41" t="str">
        <f t="shared" si="15"/>
        <v>35 - 39</v>
      </c>
      <c r="B40" s="98">
        <f>+'LOB1 Dist'!J43</f>
        <v>1415</v>
      </c>
      <c r="C40" s="202">
        <f>+'Provider Charges'!B40</f>
        <v>800</v>
      </c>
      <c r="D40" s="171">
        <f t="shared" si="16"/>
        <v>1132000</v>
      </c>
      <c r="E40" s="171">
        <f>+'LOB1 Dist'!K43</f>
        <v>85</v>
      </c>
      <c r="F40" s="171">
        <f>+'Provider Charges'!F40</f>
        <v>40500</v>
      </c>
      <c r="G40" s="171">
        <f t="shared" si="17"/>
        <v>3442500</v>
      </c>
      <c r="H40" s="171">
        <f>+'LOB1 Dist'!L43</f>
        <v>44</v>
      </c>
      <c r="I40" s="171">
        <f>+'Provider Charges'!J40</f>
        <v>67500</v>
      </c>
      <c r="J40" s="98">
        <f t="shared" si="18"/>
        <v>2970000</v>
      </c>
      <c r="N40" s="33"/>
    </row>
    <row r="41" spans="1:14">
      <c r="A41" s="41" t="str">
        <f t="shared" si="15"/>
        <v>40 - 44</v>
      </c>
      <c r="B41" s="98">
        <f>+'LOB1 Dist'!J44</f>
        <v>1547</v>
      </c>
      <c r="C41" s="202">
        <f>+'Provider Charges'!B41</f>
        <v>800</v>
      </c>
      <c r="D41" s="171">
        <f t="shared" si="16"/>
        <v>1237600</v>
      </c>
      <c r="E41" s="171">
        <f>+'LOB1 Dist'!K44</f>
        <v>65</v>
      </c>
      <c r="F41" s="171">
        <f>+'Provider Charges'!F41</f>
        <v>40500</v>
      </c>
      <c r="G41" s="171">
        <f t="shared" si="17"/>
        <v>2632500</v>
      </c>
      <c r="H41" s="171">
        <f>+'LOB1 Dist'!L44</f>
        <v>39</v>
      </c>
      <c r="I41" s="171">
        <f>+'Provider Charges'!J41</f>
        <v>67500</v>
      </c>
      <c r="J41" s="98">
        <f t="shared" si="18"/>
        <v>2632500</v>
      </c>
      <c r="N41" s="33"/>
    </row>
    <row r="42" spans="1:14">
      <c r="A42" s="41" t="str">
        <f t="shared" si="15"/>
        <v>45 - 49</v>
      </c>
      <c r="B42" s="98">
        <f>+'LOB1 Dist'!J45</f>
        <v>1994</v>
      </c>
      <c r="C42" s="202">
        <f>+'Provider Charges'!B42</f>
        <v>800</v>
      </c>
      <c r="D42" s="171">
        <f t="shared" si="16"/>
        <v>1595200</v>
      </c>
      <c r="E42" s="171">
        <f>+'LOB1 Dist'!K45</f>
        <v>60</v>
      </c>
      <c r="F42" s="171">
        <f>+'Provider Charges'!F42</f>
        <v>40500</v>
      </c>
      <c r="G42" s="171">
        <f t="shared" si="17"/>
        <v>2430000</v>
      </c>
      <c r="H42" s="171">
        <f>+'LOB1 Dist'!L45</f>
        <v>39</v>
      </c>
      <c r="I42" s="171">
        <f>+'Provider Charges'!J42</f>
        <v>81000</v>
      </c>
      <c r="J42" s="98">
        <f t="shared" si="18"/>
        <v>3159000</v>
      </c>
      <c r="N42" s="33"/>
    </row>
    <row r="43" spans="1:14">
      <c r="A43" s="41" t="str">
        <f t="shared" si="15"/>
        <v>50 - 54</v>
      </c>
      <c r="B43" s="98">
        <f>+'LOB1 Dist'!J46</f>
        <v>2199</v>
      </c>
      <c r="C43" s="202">
        <f>+'Provider Charges'!B43</f>
        <v>800</v>
      </c>
      <c r="D43" s="171">
        <f t="shared" si="16"/>
        <v>1759200</v>
      </c>
      <c r="E43" s="171">
        <f>+'LOB1 Dist'!K46</f>
        <v>46</v>
      </c>
      <c r="F43" s="171">
        <f>+'Provider Charges'!F43</f>
        <v>36000</v>
      </c>
      <c r="G43" s="171">
        <f t="shared" si="17"/>
        <v>1656000</v>
      </c>
      <c r="H43" s="171">
        <f>+'LOB1 Dist'!L46</f>
        <v>31</v>
      </c>
      <c r="I43" s="171">
        <f>+'Provider Charges'!J43</f>
        <v>108000</v>
      </c>
      <c r="J43" s="98">
        <f t="shared" si="18"/>
        <v>3348000</v>
      </c>
      <c r="N43" s="33"/>
    </row>
    <row r="44" spans="1:14">
      <c r="A44" s="41" t="str">
        <f t="shared" si="15"/>
        <v>55 - 59</v>
      </c>
      <c r="B44" s="98">
        <f>+'LOB1 Dist'!J47</f>
        <v>2039</v>
      </c>
      <c r="C44" s="202">
        <f>+'Provider Charges'!B44</f>
        <v>800</v>
      </c>
      <c r="D44" s="171">
        <f t="shared" si="16"/>
        <v>1631200</v>
      </c>
      <c r="E44" s="171">
        <f>+'LOB1 Dist'!K47</f>
        <v>39</v>
      </c>
      <c r="F44" s="171">
        <f>+'Provider Charges'!F44</f>
        <v>36000</v>
      </c>
      <c r="G44" s="171">
        <f t="shared" si="17"/>
        <v>1404000</v>
      </c>
      <c r="H44" s="171">
        <f>+'LOB1 Dist'!L47</f>
        <v>29</v>
      </c>
      <c r="I44" s="171">
        <f>+'Provider Charges'!J44</f>
        <v>108000</v>
      </c>
      <c r="J44" s="98">
        <f t="shared" si="18"/>
        <v>3132000</v>
      </c>
      <c r="N44" s="33"/>
    </row>
    <row r="45" spans="1:14">
      <c r="A45" s="41" t="str">
        <f t="shared" si="15"/>
        <v>60 - 64</v>
      </c>
      <c r="B45" s="98">
        <f>+'LOB1 Dist'!J48</f>
        <v>1265</v>
      </c>
      <c r="C45" s="202">
        <f>+'Provider Charges'!B45</f>
        <v>800</v>
      </c>
      <c r="D45" s="171">
        <f t="shared" si="16"/>
        <v>1012000</v>
      </c>
      <c r="E45" s="171">
        <f>+'LOB1 Dist'!K48</f>
        <v>21</v>
      </c>
      <c r="F45" s="171">
        <f>+'Provider Charges'!F45</f>
        <v>36000</v>
      </c>
      <c r="G45" s="171">
        <f t="shared" si="17"/>
        <v>756000</v>
      </c>
      <c r="H45" s="171">
        <f>+'LOB1 Dist'!L48</f>
        <v>19</v>
      </c>
      <c r="I45" s="171">
        <f>+'Provider Charges'!J45</f>
        <v>108000</v>
      </c>
      <c r="J45" s="98">
        <f t="shared" si="18"/>
        <v>2052000</v>
      </c>
      <c r="N45" s="33"/>
    </row>
    <row r="46" spans="1:14">
      <c r="A46" s="41" t="str">
        <f t="shared" ref="A46:A51" si="19">+A22</f>
        <v>65 - 69</v>
      </c>
      <c r="B46" s="98">
        <f>+'LOB1 Dist'!J49</f>
        <v>671</v>
      </c>
      <c r="C46" s="202">
        <f>+'Provider Charges'!B46</f>
        <v>650</v>
      </c>
      <c r="D46" s="171">
        <f t="shared" si="16"/>
        <v>436150</v>
      </c>
      <c r="E46" s="171">
        <f>+'LOB1 Dist'!K49</f>
        <v>12</v>
      </c>
      <c r="F46" s="171">
        <f>+'Provider Charges'!F46</f>
        <v>22500</v>
      </c>
      <c r="G46" s="171">
        <f t="shared" si="17"/>
        <v>270000</v>
      </c>
      <c r="H46" s="171">
        <f>+'LOB1 Dist'!L49</f>
        <v>11</v>
      </c>
      <c r="I46" s="171">
        <f>+'Provider Charges'!J46</f>
        <v>54000</v>
      </c>
      <c r="J46" s="98">
        <f t="shared" si="18"/>
        <v>594000</v>
      </c>
      <c r="N46" s="33"/>
    </row>
    <row r="47" spans="1:14">
      <c r="A47" s="41" t="str">
        <f t="shared" si="19"/>
        <v>70 - 74</v>
      </c>
      <c r="B47" s="98">
        <f>+'LOB1 Dist'!J50</f>
        <v>0</v>
      </c>
      <c r="C47" s="202">
        <f>+'Provider Charges'!B47</f>
        <v>500</v>
      </c>
      <c r="D47" s="171">
        <f t="shared" si="16"/>
        <v>0</v>
      </c>
      <c r="E47" s="171">
        <f>+'LOB1 Dist'!K50</f>
        <v>0</v>
      </c>
      <c r="F47" s="171">
        <f>+'Provider Charges'!F47</f>
        <v>13500</v>
      </c>
      <c r="G47" s="171">
        <f t="shared" si="17"/>
        <v>0</v>
      </c>
      <c r="H47" s="171">
        <f>+'LOB1 Dist'!L50</f>
        <v>0</v>
      </c>
      <c r="I47" s="171">
        <f>+'Provider Charges'!J47</f>
        <v>31950</v>
      </c>
      <c r="J47" s="98">
        <f t="shared" si="18"/>
        <v>0</v>
      </c>
      <c r="N47" s="33"/>
    </row>
    <row r="48" spans="1:14">
      <c r="A48" s="41" t="str">
        <f t="shared" si="19"/>
        <v>75 - 79</v>
      </c>
      <c r="B48" s="98">
        <f>+'LOB1 Dist'!J51</f>
        <v>0</v>
      </c>
      <c r="C48" s="202">
        <f>+'Provider Charges'!B48</f>
        <v>500</v>
      </c>
      <c r="D48" s="171">
        <f t="shared" si="16"/>
        <v>0</v>
      </c>
      <c r="E48" s="171">
        <f>+'LOB1 Dist'!K51</f>
        <v>0</v>
      </c>
      <c r="F48" s="171">
        <f>+'Provider Charges'!F48</f>
        <v>13500</v>
      </c>
      <c r="G48" s="171">
        <f t="shared" si="17"/>
        <v>0</v>
      </c>
      <c r="H48" s="171">
        <f>+'LOB1 Dist'!L51</f>
        <v>0</v>
      </c>
      <c r="I48" s="171">
        <f>+'Provider Charges'!J48</f>
        <v>31950</v>
      </c>
      <c r="J48" s="98">
        <f t="shared" si="18"/>
        <v>0</v>
      </c>
      <c r="N48" s="33"/>
    </row>
    <row r="49" spans="1:14">
      <c r="A49" s="41" t="str">
        <f t="shared" si="19"/>
        <v>80 - 84</v>
      </c>
      <c r="B49" s="98">
        <f>+'LOB1 Dist'!J52</f>
        <v>0</v>
      </c>
      <c r="C49" s="202">
        <f>+'Provider Charges'!B49</f>
        <v>500</v>
      </c>
      <c r="D49" s="171">
        <f t="shared" si="16"/>
        <v>0</v>
      </c>
      <c r="E49" s="171">
        <f>+'LOB1 Dist'!K52</f>
        <v>0</v>
      </c>
      <c r="F49" s="171">
        <f>+'Provider Charges'!F49</f>
        <v>13500</v>
      </c>
      <c r="G49" s="171">
        <f t="shared" si="17"/>
        <v>0</v>
      </c>
      <c r="H49" s="171">
        <f>+'LOB1 Dist'!L52</f>
        <v>0</v>
      </c>
      <c r="I49" s="171">
        <f>+'Provider Charges'!J49</f>
        <v>31950</v>
      </c>
      <c r="J49" s="98">
        <f t="shared" si="18"/>
        <v>0</v>
      </c>
      <c r="N49" s="33"/>
    </row>
    <row r="50" spans="1:14">
      <c r="A50" s="41" t="str">
        <f t="shared" si="19"/>
        <v>85+</v>
      </c>
      <c r="B50" s="98">
        <f>+'LOB1 Dist'!J53</f>
        <v>0</v>
      </c>
      <c r="C50" s="202">
        <f>+'Provider Charges'!B50</f>
        <v>500</v>
      </c>
      <c r="D50" s="171">
        <f t="shared" si="16"/>
        <v>0</v>
      </c>
      <c r="E50" s="171">
        <f>+'LOB1 Dist'!K53</f>
        <v>0</v>
      </c>
      <c r="F50" s="171">
        <f>+'Provider Charges'!F50</f>
        <v>13500</v>
      </c>
      <c r="G50" s="171">
        <f t="shared" si="17"/>
        <v>0</v>
      </c>
      <c r="H50" s="171">
        <f>+'LOB1 Dist'!L53</f>
        <v>0</v>
      </c>
      <c r="I50" s="171">
        <f>+'Provider Charges'!J50</f>
        <v>31950</v>
      </c>
      <c r="J50" s="98">
        <f t="shared" si="18"/>
        <v>0</v>
      </c>
      <c r="N50" s="33"/>
    </row>
    <row r="51" spans="1:14" s="33" customFormat="1">
      <c r="A51" s="79" t="str">
        <f t="shared" si="19"/>
        <v>Total</v>
      </c>
      <c r="B51" s="98">
        <f>SUM(B33:B50)</f>
        <v>18183</v>
      </c>
      <c r="C51" s="20"/>
      <c r="D51" s="98">
        <f>SUM(D33:D50)</f>
        <v>13917775</v>
      </c>
      <c r="E51" s="98">
        <f>SUM(E33:E50)</f>
        <v>737</v>
      </c>
      <c r="F51" s="56"/>
      <c r="G51" s="98">
        <f>SUM(G33:G50)</f>
        <v>29974500</v>
      </c>
      <c r="H51" s="98">
        <f>SUM(H33:H50)</f>
        <v>465</v>
      </c>
      <c r="I51" s="56"/>
      <c r="J51" s="98">
        <f>SUM(J33:J50)</f>
        <v>40590000</v>
      </c>
    </row>
    <row r="52" spans="1:14" s="33" customFormat="1">
      <c r="A52" s="79"/>
      <c r="B52" s="98"/>
      <c r="C52" s="20"/>
      <c r="D52" s="98"/>
      <c r="E52" s="98"/>
      <c r="F52" s="56"/>
      <c r="G52" s="98"/>
      <c r="H52" s="98"/>
      <c r="I52" s="56"/>
      <c r="J52" s="98"/>
    </row>
    <row r="53" spans="1:14">
      <c r="A53" s="79"/>
      <c r="B53" s="45" t="s">
        <v>9</v>
      </c>
      <c r="C53" s="20"/>
      <c r="D53" s="162"/>
      <c r="E53" s="98"/>
      <c r="G53" s="56"/>
      <c r="I53" s="98"/>
      <c r="J53" s="56"/>
      <c r="K53" s="98"/>
      <c r="N53" s="33"/>
    </row>
    <row r="54" spans="1:14">
      <c r="A54" s="384">
        <v>-1</v>
      </c>
      <c r="B54" s="33" t="str">
        <f>'LOB1 Dist'!$M$1 &amp;": Column "&amp; TEXT(-'LOB1 Dist'!$E$34,"(0)")</f>
        <v>Tab:: LOB1 Dist: Column (21)</v>
      </c>
      <c r="D54" s="144"/>
      <c r="E54" s="383">
        <f>+A59-1</f>
        <v>-7</v>
      </c>
      <c r="F54" s="33" t="str">
        <f>'LOB1 Dist'!$M$1 &amp;": Column "&amp; TEXT(-'LOB1 Dist'!$H$34,"(0)")</f>
        <v>Tab:: LOB1 Dist: Column (24)</v>
      </c>
      <c r="H54" s="383">
        <f>+E59-1</f>
        <v>-13</v>
      </c>
      <c r="I54" s="33" t="str">
        <f>'LOB1 Dist'!$M$1 &amp;": Column "&amp; TEXT(-'LOB1 Dist'!$K$34,"(0)")</f>
        <v>Tab:: LOB1 Dist: Column (27)</v>
      </c>
      <c r="N54" s="33"/>
    </row>
    <row r="55" spans="1:14">
      <c r="A55" s="383">
        <f t="shared" ref="A55:A59" si="20">+A54-1</f>
        <v>-2</v>
      </c>
      <c r="B55" s="403" t="str">
        <f>'Provider Charges'!$N$1 &amp; ": Column (1)"</f>
        <v>Tab:: Provider Charges: Column (1)</v>
      </c>
      <c r="E55" s="383">
        <f>+E54-1</f>
        <v>-8</v>
      </c>
      <c r="F55" s="403" t="str">
        <f>'Provider Charges'!$N$1 &amp; ": Column (9)"</f>
        <v>Tab:: Provider Charges: Column (9)</v>
      </c>
      <c r="H55" s="383">
        <f>+H54-1</f>
        <v>-14</v>
      </c>
      <c r="I55" s="403" t="str">
        <f>'Provider Charges'!$N$1 &amp; ": Column (17)"</f>
        <v>Tab:: Provider Charges: Column (17)</v>
      </c>
      <c r="N55" s="33"/>
    </row>
    <row r="56" spans="1:14">
      <c r="A56" s="383">
        <f t="shared" si="20"/>
        <v>-3</v>
      </c>
      <c r="B56" s="202" t="s">
        <v>317</v>
      </c>
      <c r="E56" s="383">
        <f>+E55-1</f>
        <v>-9</v>
      </c>
      <c r="F56" s="202" t="s">
        <v>308</v>
      </c>
      <c r="H56" s="383">
        <f>+H55-1</f>
        <v>-15</v>
      </c>
      <c r="I56" s="202" t="s">
        <v>319</v>
      </c>
    </row>
    <row r="57" spans="1:14">
      <c r="A57" s="383">
        <f t="shared" si="20"/>
        <v>-4</v>
      </c>
      <c r="B57" s="33" t="str">
        <f>'LOB1 Dist'!$M$1 &amp;": Column "&amp; TEXT(-'LOB1 Dist'!$G$34,"(0)")</f>
        <v>Tab:: LOB1 Dist: Column (23)</v>
      </c>
      <c r="E57" s="384">
        <v>-10</v>
      </c>
      <c r="F57" s="33" t="str">
        <f>'LOB1 Dist'!$M$1 &amp;": Column "&amp; TEXT(-'LOB1 Dist'!J34,"(0)")</f>
        <v>Tab:: LOB1 Dist: Column (26)</v>
      </c>
      <c r="H57" s="383">
        <f>+H56-1</f>
        <v>-16</v>
      </c>
      <c r="I57" s="33" t="str">
        <f>'LOB1 Dist'!$M$1 &amp;": Column "&amp; TEXT(-'LOB1 Dist'!$L$34,"(0)")</f>
        <v>Tab:: LOB1 Dist: Column (28)</v>
      </c>
    </row>
    <row r="58" spans="1:14">
      <c r="A58" s="383">
        <f t="shared" si="20"/>
        <v>-5</v>
      </c>
      <c r="B58" s="403" t="str">
        <f>'Provider Charges'!$N$1 &amp; ": Column (5)"</f>
        <v>Tab:: Provider Charges: Column (5)</v>
      </c>
      <c r="E58" s="383">
        <f>+E57-1</f>
        <v>-11</v>
      </c>
      <c r="F58" s="403" t="str">
        <f>'Provider Charges'!$N$1 &amp; ": Column (13)"</f>
        <v>Tab:: Provider Charges: Column (13)</v>
      </c>
      <c r="H58" s="383">
        <f>+H57-1</f>
        <v>-17</v>
      </c>
      <c r="I58" s="403" t="str">
        <f>'Provider Charges'!$N$1 &amp; ": Column (21)"</f>
        <v>Tab:: Provider Charges: Column (21)</v>
      </c>
    </row>
    <row r="59" spans="1:14">
      <c r="A59" s="383">
        <f t="shared" si="20"/>
        <v>-6</v>
      </c>
      <c r="B59" s="202" t="s">
        <v>318</v>
      </c>
      <c r="E59" s="383">
        <f>+E58-1</f>
        <v>-12</v>
      </c>
      <c r="F59" s="202" t="s">
        <v>316</v>
      </c>
      <c r="H59" s="383">
        <f>+H58-1</f>
        <v>-18</v>
      </c>
      <c r="I59" s="202" t="s">
        <v>320</v>
      </c>
    </row>
    <row r="63" spans="1:14">
      <c r="A63" s="383"/>
    </row>
    <row r="75" spans="1:11">
      <c r="A75" s="41"/>
    </row>
    <row r="76" spans="1:11">
      <c r="A76" s="41"/>
    </row>
    <row r="77" spans="1:11">
      <c r="K77" s="144"/>
    </row>
  </sheetData>
  <printOptions horizontalCentered="1"/>
  <pageMargins left="0.5" right="0.5" top="0.5" bottom="0.75" header="0.5" footer="0.35"/>
  <pageSetup scale="72" orientation="landscape" r:id="rId1"/>
  <headerFooter alignWithMargins="0">
    <oddFooter>&amp;L&amp;8&amp;F 
&amp;A&amp;C&amp;8MBA Actuaries, Inc.&amp;R&amp;8&amp;D 
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zoomScaleNormal="100" workbookViewId="0">
      <selection activeCell="C26" sqref="C26"/>
    </sheetView>
  </sheetViews>
  <sheetFormatPr defaultRowHeight="12.75"/>
  <cols>
    <col min="1" max="1" width="4.42578125" style="274" customWidth="1"/>
    <col min="2" max="2" width="1.140625" style="274" customWidth="1"/>
    <col min="3" max="3" width="19.42578125" style="404" customWidth="1"/>
    <col min="4" max="4" width="0.28515625" style="404" customWidth="1"/>
    <col min="5" max="9" width="12.7109375" style="404" customWidth="1"/>
    <col min="10" max="10" width="1.42578125" style="274" customWidth="1"/>
    <col min="11" max="11" width="9.140625" style="274"/>
    <col min="12" max="12" width="11.28515625" style="274" bestFit="1" customWidth="1"/>
    <col min="13" max="13" width="9" style="274" bestFit="1" customWidth="1"/>
    <col min="14" max="14" width="13.5703125" style="274" bestFit="1" customWidth="1"/>
    <col min="15" max="16384" width="9.140625" style="274"/>
  </cols>
  <sheetData>
    <row r="1" spans="1:14">
      <c r="A1" s="446" t="str">
        <f>scenario</f>
        <v>Severe Scenario, V\ Curve</v>
      </c>
      <c r="J1" s="164" t="s">
        <v>386</v>
      </c>
    </row>
    <row r="2" spans="1:14">
      <c r="J2" s="276"/>
    </row>
    <row r="3" spans="1:14" s="16" customFormat="1" ht="15.75">
      <c r="A3" s="52" t="str">
        <f>LOB_1&amp;" Estimated Net Payer Costs as of 2010"</f>
        <v>LOB_1 Estimated Net Payer Costs as of 2010</v>
      </c>
      <c r="B3" s="52"/>
      <c r="C3" s="456"/>
      <c r="D3" s="456"/>
      <c r="E3" s="456"/>
      <c r="F3" s="456"/>
      <c r="G3" s="456"/>
      <c r="H3" s="456"/>
      <c r="I3" s="456"/>
      <c r="M3" s="20"/>
    </row>
    <row r="4" spans="1:14" s="16" customFormat="1" ht="6" customHeight="1">
      <c r="B4" s="128"/>
      <c r="C4" s="456"/>
      <c r="D4" s="456"/>
      <c r="E4" s="456"/>
      <c r="F4" s="456"/>
      <c r="G4" s="456"/>
      <c r="H4" s="456"/>
      <c r="I4" s="456"/>
      <c r="J4" s="20"/>
    </row>
    <row r="5" spans="1:14">
      <c r="C5" s="403"/>
      <c r="D5" s="457" t="s">
        <v>194</v>
      </c>
      <c r="E5" s="458"/>
      <c r="F5" s="459"/>
      <c r="G5" s="459"/>
      <c r="H5" s="459"/>
      <c r="I5" s="403"/>
    </row>
    <row r="6" spans="1:14">
      <c r="C6" s="403"/>
      <c r="D6" s="403"/>
      <c r="E6" s="460" t="str">
        <f>+'Total Summary'!E6</f>
        <v>Severe</v>
      </c>
      <c r="F6" s="237" t="s">
        <v>56</v>
      </c>
      <c r="G6" s="237" t="s">
        <v>6</v>
      </c>
      <c r="H6" s="237" t="s">
        <v>5</v>
      </c>
      <c r="I6" s="403"/>
      <c r="K6" s="276"/>
      <c r="L6" s="408"/>
      <c r="M6" s="337"/>
      <c r="N6" s="270"/>
    </row>
    <row r="7" spans="1:14">
      <c r="C7" s="403"/>
      <c r="D7" s="403"/>
      <c r="E7" s="512" t="str">
        <f>Curve&amp; " Curve"</f>
        <v>V\ Curve</v>
      </c>
      <c r="F7" s="237"/>
      <c r="G7" s="237"/>
      <c r="H7" s="237"/>
      <c r="I7" s="403"/>
      <c r="K7" s="276"/>
      <c r="L7" s="408"/>
      <c r="M7" s="337"/>
      <c r="N7" s="270"/>
    </row>
    <row r="8" spans="1:14" ht="5.0999999999999996" customHeight="1">
      <c r="C8" s="403"/>
      <c r="D8" s="403"/>
      <c r="E8" s="237"/>
      <c r="F8" s="237"/>
      <c r="G8" s="237"/>
      <c r="H8" s="237"/>
      <c r="I8" s="403"/>
    </row>
    <row r="9" spans="1:14">
      <c r="A9" s="181">
        <v>-1</v>
      </c>
      <c r="B9" s="181"/>
      <c r="C9" s="210" t="s">
        <v>43</v>
      </c>
      <c r="E9" s="455">
        <f>+'LOB1 Costs'!N27</f>
        <v>32.580630000000006</v>
      </c>
      <c r="F9" s="455"/>
      <c r="G9" s="455"/>
      <c r="H9" s="455"/>
      <c r="I9" s="403"/>
    </row>
    <row r="10" spans="1:14">
      <c r="A10" s="400">
        <f t="shared" ref="A10:A12" si="0">+A9-1</f>
        <v>-2</v>
      </c>
      <c r="B10" s="400"/>
      <c r="C10" s="210" t="s">
        <v>41</v>
      </c>
      <c r="E10" s="123">
        <f>+'LOB1 Costs'!Q27</f>
        <v>282.21210000000002</v>
      </c>
      <c r="F10" s="123"/>
      <c r="G10" s="123"/>
      <c r="H10" s="123"/>
      <c r="I10" s="403"/>
    </row>
    <row r="11" spans="1:14">
      <c r="A11" s="400">
        <f t="shared" si="0"/>
        <v>-3</v>
      </c>
      <c r="B11" s="400"/>
      <c r="C11" s="461" t="s">
        <v>148</v>
      </c>
      <c r="D11" s="462"/>
      <c r="E11" s="463">
        <f>+'LOB1 Costs'!T27</f>
        <v>290.43450000000001</v>
      </c>
      <c r="F11" s="463"/>
      <c r="G11" s="463"/>
      <c r="H11" s="463"/>
      <c r="I11" s="403"/>
      <c r="L11" s="250"/>
    </row>
    <row r="12" spans="1:14">
      <c r="A12" s="400">
        <f t="shared" si="0"/>
        <v>-4</v>
      </c>
      <c r="B12" s="400"/>
      <c r="C12" s="210" t="s">
        <v>159</v>
      </c>
      <c r="E12" s="464">
        <f>SUM(E9:E11)</f>
        <v>605.22722999999996</v>
      </c>
      <c r="F12" s="464"/>
      <c r="G12" s="464"/>
      <c r="H12" s="464"/>
      <c r="I12" s="403"/>
    </row>
    <row r="13" spans="1:14">
      <c r="C13" s="403"/>
      <c r="D13" s="210"/>
      <c r="E13" s="465"/>
      <c r="F13" s="465"/>
      <c r="G13" s="465"/>
      <c r="H13" s="465"/>
      <c r="I13" s="403"/>
    </row>
    <row r="14" spans="1:14" s="404" customFormat="1">
      <c r="A14" s="454">
        <f>+A12-1</f>
        <v>-5</v>
      </c>
      <c r="B14" s="454"/>
      <c r="C14" s="210" t="s">
        <v>188</v>
      </c>
      <c r="E14" s="455">
        <f>(LOB1Pop/Pop0to69)*ACFCosts/1000000</f>
        <v>7.9543381770087462</v>
      </c>
      <c r="F14" s="455"/>
      <c r="G14" s="455"/>
      <c r="H14" s="455"/>
      <c r="I14" s="403"/>
    </row>
    <row r="15" spans="1:14" ht="5.0999999999999996" customHeight="1">
      <c r="C15" s="210"/>
      <c r="E15" s="466"/>
      <c r="F15" s="466"/>
      <c r="G15" s="466"/>
      <c r="H15" s="466"/>
      <c r="I15" s="403"/>
    </row>
    <row r="16" spans="1:14">
      <c r="C16" s="210" t="s">
        <v>184</v>
      </c>
      <c r="E16" s="466"/>
      <c r="F16" s="466"/>
      <c r="G16" s="466"/>
      <c r="H16" s="466"/>
      <c r="I16" s="403"/>
    </row>
    <row r="17" spans="1:9" s="404" customFormat="1">
      <c r="A17" s="454">
        <f>+A14-1</f>
        <v>-6</v>
      </c>
      <c r="B17" s="454"/>
      <c r="C17" s="210" t="s">
        <v>185</v>
      </c>
      <c r="E17" s="455">
        <f>(LOB1Pop/TotPI)*'Deferred Care'!C28/1000000</f>
        <v>189.85518058727118</v>
      </c>
      <c r="F17" s="455"/>
      <c r="G17" s="455"/>
      <c r="H17" s="455"/>
      <c r="I17" s="245"/>
    </row>
    <row r="18" spans="1:9" ht="5.0999999999999996" customHeight="1">
      <c r="C18" s="210"/>
      <c r="E18" s="466"/>
      <c r="F18" s="466"/>
      <c r="G18" s="466"/>
      <c r="H18" s="466"/>
      <c r="I18" s="245"/>
    </row>
    <row r="19" spans="1:9">
      <c r="A19" s="400">
        <f>+A17-1</f>
        <v>-7</v>
      </c>
      <c r="B19" s="400"/>
      <c r="C19" s="210" t="s">
        <v>195</v>
      </c>
      <c r="E19" s="455">
        <f>+E12+E14-E17</f>
        <v>423.32638758973746</v>
      </c>
      <c r="F19" s="455"/>
      <c r="G19" s="455"/>
      <c r="H19" s="455"/>
      <c r="I19" s="245"/>
    </row>
    <row r="20" spans="1:9" ht="5.0999999999999996" customHeight="1">
      <c r="C20" s="210"/>
      <c r="E20" s="466"/>
      <c r="F20" s="466"/>
      <c r="G20" s="466"/>
      <c r="H20" s="466"/>
      <c r="I20" s="245"/>
    </row>
    <row r="21" spans="1:9">
      <c r="A21" s="400">
        <f>+A19-1</f>
        <v>-8</v>
      </c>
      <c r="B21" s="400"/>
      <c r="C21" s="210" t="s">
        <v>183</v>
      </c>
      <c r="E21" s="467">
        <f>inflation</f>
        <v>0.60578147647843017</v>
      </c>
      <c r="F21" s="467"/>
      <c r="G21" s="467"/>
      <c r="H21" s="467"/>
      <c r="I21" s="245"/>
    </row>
    <row r="22" spans="1:9" ht="5.0999999999999996" customHeight="1">
      <c r="C22" s="210"/>
      <c r="E22" s="468"/>
      <c r="F22" s="468"/>
      <c r="G22" s="468"/>
      <c r="H22" s="468"/>
      <c r="I22" s="245"/>
    </row>
    <row r="23" spans="1:9">
      <c r="A23" s="400">
        <f>+A21-1</f>
        <v>-9</v>
      </c>
      <c r="B23" s="400"/>
      <c r="C23" s="338" t="s">
        <v>303</v>
      </c>
      <c r="E23" s="455">
        <f>+E19*(E21+1)</f>
        <v>679.76967169612885</v>
      </c>
      <c r="F23" s="455"/>
      <c r="G23" s="455"/>
      <c r="H23" s="455"/>
      <c r="I23" s="245"/>
    </row>
    <row r="24" spans="1:9" ht="7.5" customHeight="1">
      <c r="C24" s="338"/>
      <c r="E24" s="455"/>
      <c r="F24" s="455"/>
      <c r="G24" s="455"/>
      <c r="H24" s="455"/>
      <c r="I24" s="245"/>
    </row>
    <row r="25" spans="1:9">
      <c r="C25" s="457" t="s">
        <v>407</v>
      </c>
      <c r="D25" s="458"/>
      <c r="E25" s="469"/>
      <c r="F25" s="469"/>
      <c r="G25" s="469"/>
      <c r="H25" s="469"/>
      <c r="I25" s="470"/>
    </row>
    <row r="26" spans="1:9" ht="12" customHeight="1">
      <c r="C26" s="210"/>
      <c r="E26" s="464"/>
      <c r="F26" s="464"/>
      <c r="G26" s="464"/>
      <c r="H26" s="464"/>
      <c r="I26" s="403"/>
    </row>
    <row r="27" spans="1:9">
      <c r="C27" s="210"/>
      <c r="D27" s="471" t="s">
        <v>186</v>
      </c>
      <c r="E27" s="472"/>
      <c r="F27" s="472"/>
      <c r="G27" s="472"/>
      <c r="H27" s="472"/>
      <c r="I27" s="513" t="s">
        <v>187</v>
      </c>
    </row>
    <row r="28" spans="1:9">
      <c r="C28" s="210"/>
      <c r="D28" s="516"/>
      <c r="E28" s="473" t="str">
        <f>+E6</f>
        <v>Severe</v>
      </c>
      <c r="F28" s="473" t="s">
        <v>56</v>
      </c>
      <c r="G28" s="473" t="s">
        <v>6</v>
      </c>
      <c r="H28" s="473" t="s">
        <v>5</v>
      </c>
      <c r="I28" s="514" t="s">
        <v>190</v>
      </c>
    </row>
    <row r="29" spans="1:9">
      <c r="C29" s="403"/>
      <c r="D29" s="517"/>
      <c r="E29" s="518" t="str">
        <f>Curve&amp; " Curve"</f>
        <v>V\ Curve</v>
      </c>
      <c r="F29" s="518"/>
      <c r="G29" s="518"/>
      <c r="H29" s="518"/>
      <c r="I29" s="515"/>
    </row>
    <row r="30" spans="1:9" ht="5.0999999999999996" customHeight="1">
      <c r="C30" s="210"/>
      <c r="D30" s="210"/>
      <c r="E30" s="473"/>
      <c r="F30" s="473"/>
      <c r="G30" s="473"/>
      <c r="H30" s="473"/>
      <c r="I30" s="403"/>
    </row>
    <row r="31" spans="1:9">
      <c r="A31" s="400">
        <f t="shared" ref="A31" si="1">+A23-1</f>
        <v>-10</v>
      </c>
      <c r="B31" s="400"/>
      <c r="C31" s="210" t="s">
        <v>43</v>
      </c>
      <c r="E31" s="157">
        <f>+'LOB1 Costs'!M27</f>
        <v>120318</v>
      </c>
      <c r="F31" s="157"/>
      <c r="G31" s="157"/>
      <c r="H31" s="157"/>
      <c r="I31" s="496">
        <v>50</v>
      </c>
    </row>
    <row r="32" spans="1:9">
      <c r="A32" s="400">
        <f t="shared" ref="A32:A33" si="2">+A31-1</f>
        <v>-11</v>
      </c>
      <c r="B32" s="400"/>
      <c r="C32" s="210" t="s">
        <v>41</v>
      </c>
      <c r="E32" s="157">
        <f>+'LOB1 Costs'!P27</f>
        <v>17552</v>
      </c>
      <c r="F32" s="157"/>
      <c r="G32" s="157"/>
      <c r="H32" s="157"/>
      <c r="I32" s="497">
        <v>4000</v>
      </c>
    </row>
    <row r="33" spans="1:9">
      <c r="A33" s="400">
        <f t="shared" si="2"/>
        <v>-12</v>
      </c>
      <c r="B33" s="400"/>
      <c r="C33" s="461" t="s">
        <v>297</v>
      </c>
      <c r="D33" s="462"/>
      <c r="E33" s="397">
        <f>+'LOB1 Costs'!S27</f>
        <v>4591</v>
      </c>
      <c r="F33" s="397"/>
      <c r="G33" s="397"/>
      <c r="H33" s="397"/>
      <c r="I33" s="498">
        <v>4000</v>
      </c>
    </row>
    <row r="34" spans="1:9">
      <c r="E34" s="474"/>
      <c r="F34" s="474"/>
      <c r="G34" s="474"/>
      <c r="H34" s="474"/>
    </row>
    <row r="35" spans="1:9">
      <c r="A35" s="400">
        <f t="shared" ref="A35" si="3">+A33-1</f>
        <v>-13</v>
      </c>
      <c r="B35" s="400"/>
      <c r="C35" s="338" t="s">
        <v>189</v>
      </c>
      <c r="D35" s="210"/>
      <c r="E35" s="455">
        <f>SUMPRODUCT(E31:E33,I31:I33)/1000000</f>
        <v>94.587900000000005</v>
      </c>
      <c r="F35" s="455"/>
      <c r="G35" s="455"/>
      <c r="H35" s="455"/>
      <c r="I35" s="475" t="s">
        <v>191</v>
      </c>
    </row>
    <row r="36" spans="1:9">
      <c r="A36" s="400">
        <f>+A35-1</f>
        <v>-14</v>
      </c>
      <c r="B36" s="400"/>
      <c r="C36" s="476" t="s">
        <v>193</v>
      </c>
      <c r="D36" s="210"/>
      <c r="E36" s="477">
        <f>+E35/E23</f>
        <v>0.13914698454255658</v>
      </c>
      <c r="F36" s="477"/>
      <c r="G36" s="477"/>
      <c r="H36" s="477"/>
      <c r="I36" s="475"/>
    </row>
    <row r="37" spans="1:9" ht="5.0999999999999996" customHeight="1">
      <c r="C37" s="476"/>
      <c r="D37" s="210"/>
      <c r="E37" s="478"/>
      <c r="F37" s="478"/>
      <c r="G37" s="478"/>
      <c r="H37" s="478"/>
      <c r="I37" s="475"/>
    </row>
    <row r="38" spans="1:9">
      <c r="A38" s="400">
        <f>+A36-1</f>
        <v>-15</v>
      </c>
      <c r="B38" s="400"/>
      <c r="C38" s="338" t="s">
        <v>304</v>
      </c>
      <c r="E38" s="479">
        <f>+E23-E35</f>
        <v>585.18177169612886</v>
      </c>
      <c r="F38" s="479"/>
      <c r="G38" s="479"/>
      <c r="H38" s="479"/>
      <c r="I38" s="245"/>
    </row>
    <row r="39" spans="1:9">
      <c r="C39" s="210" t="s">
        <v>61</v>
      </c>
      <c r="D39" s="210"/>
      <c r="E39" s="466"/>
      <c r="F39" s="466"/>
      <c r="G39" s="466"/>
      <c r="H39" s="466"/>
      <c r="I39" s="245"/>
    </row>
    <row r="40" spans="1:9" ht="5.0999999999999996" customHeight="1">
      <c r="C40" s="210"/>
      <c r="D40" s="210"/>
      <c r="E40" s="466"/>
      <c r="F40" s="466"/>
      <c r="G40" s="466"/>
      <c r="H40" s="466"/>
      <c r="I40" s="245"/>
    </row>
    <row r="41" spans="1:9">
      <c r="A41" s="400">
        <f>+A38-1</f>
        <v>-16</v>
      </c>
      <c r="B41" s="400"/>
      <c r="C41" s="338" t="s">
        <v>305</v>
      </c>
      <c r="D41" s="480"/>
      <c r="E41" s="481">
        <f>+E38*(1-TaxRate)</f>
        <v>380.36815160248375</v>
      </c>
      <c r="F41" s="481"/>
      <c r="G41" s="481"/>
      <c r="H41" s="526"/>
      <c r="I41" s="245"/>
    </row>
    <row r="42" spans="1:9">
      <c r="C42" s="338"/>
      <c r="D42" s="210"/>
      <c r="E42" s="35"/>
      <c r="F42" s="102"/>
      <c r="G42" s="102"/>
      <c r="H42" s="102"/>
      <c r="I42" s="245"/>
    </row>
    <row r="43" spans="1:9">
      <c r="C43" s="338"/>
      <c r="D43" s="210"/>
      <c r="E43" s="35"/>
      <c r="F43" s="102"/>
      <c r="G43" s="102"/>
      <c r="H43" s="102"/>
      <c r="I43" s="245"/>
    </row>
    <row r="44" spans="1:9">
      <c r="C44" s="45" t="s">
        <v>335</v>
      </c>
    </row>
    <row r="45" spans="1:9">
      <c r="A45" s="384">
        <v>-1</v>
      </c>
      <c r="B45" s="384"/>
      <c r="C45" s="404" t="str">
        <f>'LOB1 Costs'!$K$1&amp; ": Column "&amp; TEXT(-'LOB1 Costs'!$D$7,"(0)") &amp;" + Column " &amp; TEXT(- 'LOB1 Costs'!$D$31,"(0)")</f>
        <v>Tab:: LOB1 Costs: Column (3) + Column (12)</v>
      </c>
    </row>
    <row r="46" spans="1:9">
      <c r="A46" s="383">
        <f t="shared" ref="A46:A51" si="4">+A45-1</f>
        <v>-2</v>
      </c>
      <c r="B46" s="383"/>
      <c r="C46" s="404" t="str">
        <f>'LOB1 Costs'!$K$1&amp; ": Column "&amp; TEXT(-'LOB1 Costs'!$G$7,"(0)") &amp;" + Column " &amp; TEXT(- 'LOB1 Costs'!$G$31,"(0)")</f>
        <v>Tab:: LOB1 Costs: Column (6) + Column (15)</v>
      </c>
    </row>
    <row r="47" spans="1:9">
      <c r="A47" s="383">
        <f t="shared" si="4"/>
        <v>-3</v>
      </c>
      <c r="B47" s="383"/>
      <c r="C47" s="404" t="str">
        <f>'LOB1 Costs'!$K$1&amp; ": Column "&amp; TEXT(-'LOB1 Costs'!$J$7,"(0)") &amp;" + Column " &amp; TEXT(- 'LOB1 Costs'!$J$31,"(0)")</f>
        <v>Tab:: LOB1 Costs: Column (9) + Column (18)</v>
      </c>
    </row>
    <row r="48" spans="1:9">
      <c r="A48" s="383">
        <f t="shared" si="4"/>
        <v>-4</v>
      </c>
      <c r="B48" s="383"/>
      <c r="C48" s="404" t="s">
        <v>306</v>
      </c>
    </row>
    <row r="49" spans="1:9">
      <c r="A49" s="383">
        <f t="shared" si="4"/>
        <v>-5</v>
      </c>
      <c r="B49" s="383"/>
      <c r="C49" s="404" t="str">
        <f>'ACF Costs'!H1&amp;": Column "&amp; TEXT(-'ACF Costs'!G10, "(0)")&amp;" * Fully Insured Population / Population 0 to 69"</f>
        <v>Tab:: ACF Costs: Column (6) * Fully Insured Population / Population 0 to 69</v>
      </c>
    </row>
    <row r="50" spans="1:9">
      <c r="A50" s="383">
        <f t="shared" si="4"/>
        <v>-6</v>
      </c>
      <c r="B50" s="383"/>
      <c r="C50" s="405" t="str">
        <f>'Deferred Care'!F1&amp;": Column " &amp; TEXT(-'Deferred Care'!A28, "(0)")&amp;" * Fully Insured Population / Total Private Insurance"</f>
        <v>Tab:: Deferred Care: Column (10) * Fully Insured Population / Total Private Insurance</v>
      </c>
    </row>
    <row r="51" spans="1:9">
      <c r="A51" s="383">
        <f t="shared" si="4"/>
        <v>-7</v>
      </c>
      <c r="B51" s="383"/>
      <c r="C51" s="404" t="s">
        <v>307</v>
      </c>
    </row>
    <row r="52" spans="1:9">
      <c r="A52" s="383">
        <f>+A51-1</f>
        <v>-8</v>
      </c>
      <c r="B52" s="383"/>
      <c r="C52" s="404" t="str">
        <f>"Inflation rate based on annual "&amp;InfRate*100&amp;"% increase"</f>
        <v>Inflation rate based on annual 7% increase</v>
      </c>
    </row>
    <row r="53" spans="1:9">
      <c r="A53" s="383">
        <f>+A52-1</f>
        <v>-9</v>
      </c>
      <c r="B53" s="383"/>
      <c r="C53" s="404" t="s">
        <v>308</v>
      </c>
    </row>
    <row r="54" spans="1:9">
      <c r="A54" s="383">
        <f t="shared" ref="A54:A55" si="5">+A53-1</f>
        <v>-10</v>
      </c>
      <c r="B54" s="383"/>
      <c r="C54" s="404" t="str">
        <f>'LOB1 Costs'!$K$1&amp; ": Column " &amp; TEXT(-'LOB1 Costs'!$B$7,"(0)") &amp; " + Column " &amp; TEXT(-'LOB1 Costs'!$B$31, "(0)")</f>
        <v>Tab:: LOB1 Costs: Column (1) + Column (10)</v>
      </c>
    </row>
    <row r="55" spans="1:9">
      <c r="A55" s="383">
        <f t="shared" si="5"/>
        <v>-11</v>
      </c>
      <c r="B55" s="383"/>
      <c r="C55" s="404" t="str">
        <f>'LOB1 Costs'!$K$1&amp; ": Column " &amp; TEXT(-'LOB1 Costs'!$E$7,"(0)") &amp; " + Column " &amp; TEXT(-'LOB1 Costs'!$E$31, "(0)")</f>
        <v>Tab:: LOB1 Costs: Column (4) + Column (13)</v>
      </c>
    </row>
    <row r="56" spans="1:9">
      <c r="A56" s="383">
        <f t="shared" ref="A56:A60" si="6">+A55-1</f>
        <v>-12</v>
      </c>
      <c r="B56" s="383"/>
      <c r="C56" s="404" t="str">
        <f>'LOB1 Costs'!$K$1&amp; ": Column " &amp; TEXT(-'LOB1 Costs'!$H$7,"(0)") &amp; " + Column " &amp; TEXT(-'LOB1 Costs'!$H$31, "(0)")</f>
        <v>Tab:: LOB1 Costs: Column (7) + Column (16)</v>
      </c>
    </row>
    <row r="57" spans="1:9">
      <c r="A57" s="383">
        <f t="shared" si="6"/>
        <v>-13</v>
      </c>
      <c r="B57" s="383"/>
      <c r="C57" s="404" t="s">
        <v>314</v>
      </c>
    </row>
    <row r="58" spans="1:9">
      <c r="A58" s="383">
        <f t="shared" si="6"/>
        <v>-14</v>
      </c>
      <c r="B58" s="383"/>
      <c r="C58" s="404" t="s">
        <v>315</v>
      </c>
    </row>
    <row r="59" spans="1:9">
      <c r="A59" s="383">
        <f t="shared" si="6"/>
        <v>-15</v>
      </c>
      <c r="B59" s="383"/>
      <c r="C59" s="404" t="s">
        <v>334</v>
      </c>
    </row>
    <row r="60" spans="1:9">
      <c r="A60" s="383">
        <f t="shared" si="6"/>
        <v>-16</v>
      </c>
      <c r="B60" s="383"/>
      <c r="C60" s="404" t="str">
        <f>"(15) * (1 - "&amp;TaxRate&amp;" )"</f>
        <v>(15) * (1 - 0.35 )</v>
      </c>
    </row>
    <row r="62" spans="1:9">
      <c r="C62" s="338"/>
      <c r="D62" s="210"/>
      <c r="E62" s="35"/>
      <c r="F62" s="102"/>
      <c r="G62" s="102"/>
      <c r="H62" s="102"/>
      <c r="I62" s="245"/>
    </row>
    <row r="63" spans="1:9">
      <c r="C63" s="403"/>
      <c r="D63" s="403"/>
      <c r="E63" s="403"/>
      <c r="F63" s="403"/>
      <c r="G63" s="403"/>
      <c r="H63" s="482"/>
      <c r="I63" s="403"/>
    </row>
    <row r="64" spans="1:9">
      <c r="C64" s="27"/>
      <c r="D64" s="457" t="s">
        <v>156</v>
      </c>
      <c r="E64" s="459"/>
      <c r="F64" s="459"/>
      <c r="G64" s="459"/>
      <c r="H64" s="459"/>
      <c r="I64" s="403"/>
    </row>
    <row r="65" spans="3:9">
      <c r="C65" s="27"/>
      <c r="D65" s="27"/>
      <c r="E65" s="237" t="str">
        <f>+E$6</f>
        <v>Severe</v>
      </c>
      <c r="F65" s="237" t="s">
        <v>56</v>
      </c>
      <c r="G65" s="237" t="s">
        <v>6</v>
      </c>
      <c r="H65" s="237" t="s">
        <v>5</v>
      </c>
      <c r="I65" s="403"/>
    </row>
    <row r="66" spans="3:9" ht="5.0999999999999996" customHeight="1">
      <c r="C66" s="27"/>
      <c r="D66" s="27"/>
      <c r="E66" s="237"/>
      <c r="F66" s="237"/>
      <c r="G66" s="237"/>
      <c r="H66" s="237"/>
      <c r="I66" s="403"/>
    </row>
    <row r="67" spans="3:9">
      <c r="C67" s="403"/>
      <c r="D67" s="210" t="s">
        <v>153</v>
      </c>
      <c r="E67" s="382">
        <f>1000000*E10/E32</f>
        <v>16078.629216043755</v>
      </c>
      <c r="F67" s="382"/>
      <c r="G67" s="382"/>
      <c r="H67" s="382"/>
      <c r="I67" s="282"/>
    </row>
    <row r="68" spans="3:9">
      <c r="C68" s="483"/>
      <c r="D68" s="461" t="s">
        <v>154</v>
      </c>
      <c r="E68" s="484">
        <f>1000000*E11/E33</f>
        <v>63261.707688956652</v>
      </c>
      <c r="F68" s="484"/>
      <c r="G68" s="484"/>
      <c r="H68" s="484"/>
      <c r="I68" s="35"/>
    </row>
    <row r="69" spans="3:9">
      <c r="C69" s="403"/>
      <c r="D69" s="210" t="s">
        <v>144</v>
      </c>
      <c r="E69" s="35">
        <f>1000000*(E11+E10)/(E32+E33)</f>
        <v>25861.292507790273</v>
      </c>
      <c r="F69" s="35"/>
      <c r="G69" s="35"/>
      <c r="H69" s="35"/>
      <c r="I69" s="403"/>
    </row>
    <row r="70" spans="3:9">
      <c r="C70" s="403"/>
      <c r="D70" s="403"/>
      <c r="E70" s="403"/>
      <c r="F70" s="403"/>
      <c r="G70" s="403"/>
      <c r="H70" s="403"/>
      <c r="I70" s="403"/>
    </row>
    <row r="71" spans="3:9">
      <c r="C71" s="403"/>
      <c r="D71" s="210" t="s">
        <v>155</v>
      </c>
      <c r="E71" s="382">
        <f>1000000*E9/E31</f>
        <v>270.78766269386131</v>
      </c>
      <c r="F71" s="382"/>
      <c r="G71" s="382"/>
      <c r="H71" s="382"/>
      <c r="I71" s="403"/>
    </row>
  </sheetData>
  <printOptions horizontalCentered="1"/>
  <pageMargins left="0.5" right="0.5" top="0.5" bottom="0.8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0.39997558519241921"/>
  </sheetPr>
  <dimension ref="A1:G38"/>
  <sheetViews>
    <sheetView zoomScaleNormal="100" workbookViewId="0">
      <selection activeCell="D6" sqref="D6"/>
    </sheetView>
  </sheetViews>
  <sheetFormatPr defaultRowHeight="12.75"/>
  <cols>
    <col min="1" max="1" width="4.140625" style="3" bestFit="1" customWidth="1"/>
    <col min="2" max="2" width="24.85546875" style="3" customWidth="1"/>
    <col min="3" max="3" width="0.85546875" style="3" customWidth="1"/>
    <col min="4" max="7" width="16.7109375" style="3" customWidth="1"/>
    <col min="8" max="16384" width="9.140625" style="3"/>
  </cols>
  <sheetData>
    <row r="1" spans="1:7">
      <c r="G1" s="164" t="s">
        <v>383</v>
      </c>
    </row>
    <row r="2" spans="1:7" ht="23.25">
      <c r="B2" s="494" t="s">
        <v>370</v>
      </c>
      <c r="C2" s="28"/>
      <c r="D2" s="28"/>
      <c r="E2" s="28"/>
      <c r="F2" s="28"/>
      <c r="G2" s="28"/>
    </row>
    <row r="3" spans="1:7" ht="5.0999999999999996" customHeight="1"/>
    <row r="4" spans="1:7">
      <c r="A4" s="181">
        <v>-1</v>
      </c>
      <c r="B4" s="164" t="s">
        <v>392</v>
      </c>
      <c r="D4" s="492" t="s">
        <v>5</v>
      </c>
      <c r="E4" s="167" t="s">
        <v>360</v>
      </c>
    </row>
    <row r="5" spans="1:7">
      <c r="E5" s="40"/>
    </row>
    <row r="6" spans="1:7">
      <c r="A6" s="400">
        <f>+A4-1</f>
        <v>-2</v>
      </c>
      <c r="B6" s="164" t="s">
        <v>379</v>
      </c>
      <c r="D6" s="406" t="s">
        <v>203</v>
      </c>
      <c r="E6" s="167" t="s">
        <v>360</v>
      </c>
    </row>
    <row r="7" spans="1:7">
      <c r="E7" s="81"/>
    </row>
    <row r="8" spans="1:7">
      <c r="A8" s="400">
        <f>+A6-1</f>
        <v>-3</v>
      </c>
      <c r="B8" s="164" t="s">
        <v>345</v>
      </c>
      <c r="D8" s="509" t="str">
        <f>Severity &amp; " Scenario, " &amp; Curve&amp;" Curve"</f>
        <v>Severe Scenario, V\ Curve</v>
      </c>
      <c r="E8" s="510"/>
    </row>
    <row r="9" spans="1:7">
      <c r="D9" s="450"/>
      <c r="E9" s="450"/>
      <c r="F9" s="450"/>
      <c r="G9" s="450"/>
    </row>
    <row r="10" spans="1:7">
      <c r="A10" s="400">
        <f>+A8-1</f>
        <v>-4</v>
      </c>
      <c r="B10" s="164" t="s">
        <v>382</v>
      </c>
      <c r="D10" s="495" t="s">
        <v>56</v>
      </c>
      <c r="E10" s="444" t="s">
        <v>6</v>
      </c>
      <c r="F10" s="444" t="s">
        <v>5</v>
      </c>
      <c r="G10" s="444"/>
    </row>
    <row r="11" spans="1:7">
      <c r="A11" s="68"/>
      <c r="B11" s="164"/>
      <c r="D11" s="495"/>
      <c r="E11" s="444"/>
      <c r="F11" s="444"/>
      <c r="G11" s="450"/>
    </row>
    <row r="12" spans="1:7">
      <c r="A12" s="400">
        <f>+A10-1</f>
        <v>-5</v>
      </c>
      <c r="B12" s="164" t="s">
        <v>380</v>
      </c>
      <c r="D12" s="444" t="s">
        <v>160</v>
      </c>
      <c r="E12" s="444" t="s">
        <v>162</v>
      </c>
      <c r="F12" s="444" t="s">
        <v>172</v>
      </c>
      <c r="G12" s="444" t="s">
        <v>203</v>
      </c>
    </row>
    <row r="14" spans="1:7">
      <c r="A14" s="400">
        <f>+A12-1</f>
        <v>-6</v>
      </c>
      <c r="B14" s="164" t="s">
        <v>381</v>
      </c>
      <c r="D14" s="495" t="s">
        <v>367</v>
      </c>
      <c r="E14" s="495" t="s">
        <v>368</v>
      </c>
      <c r="F14" s="495" t="s">
        <v>359</v>
      </c>
      <c r="G14" s="495" t="s">
        <v>369</v>
      </c>
    </row>
    <row r="15" spans="1:7">
      <c r="D15" s="119"/>
    </row>
    <row r="16" spans="1:7">
      <c r="A16" s="400">
        <f>+A14-1</f>
        <v>-7</v>
      </c>
      <c r="B16" s="164" t="s">
        <v>344</v>
      </c>
      <c r="D16" s="495" t="s">
        <v>44</v>
      </c>
      <c r="E16" s="495" t="s">
        <v>43</v>
      </c>
      <c r="F16" s="495" t="s">
        <v>41</v>
      </c>
      <c r="G16" s="495" t="s">
        <v>38</v>
      </c>
    </row>
    <row r="17" spans="1:7">
      <c r="B17" s="164"/>
      <c r="D17" s="495"/>
      <c r="E17" s="495"/>
      <c r="F17" s="495"/>
      <c r="G17" s="495"/>
    </row>
    <row r="18" spans="1:7" ht="23.25">
      <c r="B18" s="494" t="s">
        <v>378</v>
      </c>
      <c r="C18" s="28"/>
      <c r="D18" s="28"/>
      <c r="E18" s="28"/>
      <c r="F18" s="28"/>
      <c r="G18" s="28"/>
    </row>
    <row r="19" spans="1:7" ht="5.0999999999999996" customHeight="1">
      <c r="A19" s="8"/>
    </row>
    <row r="20" spans="1:7">
      <c r="A20" s="400">
        <f>+A16-1</f>
        <v>-8</v>
      </c>
      <c r="D20" s="164" t="s">
        <v>346</v>
      </c>
      <c r="E20" s="407">
        <v>7.0000000000000007E-2</v>
      </c>
      <c r="F20" s="274"/>
    </row>
    <row r="21" spans="1:7">
      <c r="A21" s="374">
        <f>+A20-1</f>
        <v>-9</v>
      </c>
      <c r="D21" s="164" t="s">
        <v>376</v>
      </c>
      <c r="E21" s="449">
        <v>2003</v>
      </c>
      <c r="F21" s="274"/>
    </row>
    <row r="22" spans="1:7">
      <c r="A22" s="374">
        <f>+A21-1</f>
        <v>-10</v>
      </c>
      <c r="D22" s="164" t="s">
        <v>377</v>
      </c>
      <c r="E22" s="449">
        <v>2010</v>
      </c>
      <c r="F22" s="274"/>
    </row>
    <row r="23" spans="1:7">
      <c r="A23" s="374">
        <f>+A22-1</f>
        <v>-11</v>
      </c>
      <c r="D23" s="208" t="s">
        <v>347</v>
      </c>
      <c r="E23" s="443">
        <f>(1+E20)^(E22-E21)-1</f>
        <v>0.60578147647843017</v>
      </c>
    </row>
    <row r="24" spans="1:7">
      <c r="D24" s="208"/>
      <c r="E24" s="443"/>
      <c r="F24" s="274"/>
    </row>
    <row r="25" spans="1:7">
      <c r="A25" s="374">
        <f>+A23-1</f>
        <v>-12</v>
      </c>
      <c r="D25" s="164" t="s">
        <v>348</v>
      </c>
      <c r="E25" s="407">
        <v>0.35</v>
      </c>
      <c r="F25" s="274"/>
    </row>
    <row r="26" spans="1:7">
      <c r="D26" s="164"/>
      <c r="E26" s="407"/>
      <c r="F26" s="274"/>
    </row>
    <row r="27" spans="1:7">
      <c r="A27" s="374">
        <f>+A25-1</f>
        <v>-13</v>
      </c>
      <c r="D27" s="164" t="s">
        <v>363</v>
      </c>
      <c r="E27" s="407" t="s">
        <v>365</v>
      </c>
      <c r="F27" s="274"/>
    </row>
    <row r="28" spans="1:7">
      <c r="A28" s="374">
        <f>+A27-1</f>
        <v>-14</v>
      </c>
      <c r="D28" s="164" t="s">
        <v>364</v>
      </c>
      <c r="E28" s="407" t="s">
        <v>366</v>
      </c>
      <c r="F28" s="274"/>
    </row>
    <row r="29" spans="1:7">
      <c r="A29" s="374">
        <f>+A28-1</f>
        <v>-15</v>
      </c>
      <c r="D29" s="164" t="s">
        <v>349</v>
      </c>
      <c r="E29" s="408">
        <v>1000000</v>
      </c>
      <c r="F29" s="274" t="s">
        <v>357</v>
      </c>
    </row>
    <row r="30" spans="1:7">
      <c r="A30" s="374">
        <f>+A29-1</f>
        <v>-16</v>
      </c>
      <c r="D30" s="164" t="s">
        <v>353</v>
      </c>
      <c r="E30" s="408">
        <v>750000</v>
      </c>
      <c r="F30" s="274" t="s">
        <v>357</v>
      </c>
    </row>
    <row r="31" spans="1:7">
      <c r="D31" s="164"/>
      <c r="E31" s="274"/>
      <c r="F31" s="274"/>
    </row>
    <row r="32" spans="1:7">
      <c r="A32" s="374">
        <f>+A30-1</f>
        <v>-17</v>
      </c>
      <c r="D32" s="164" t="s">
        <v>354</v>
      </c>
      <c r="E32" s="250">
        <f>+LOB2Pop+LOB1Pop</f>
        <v>1750000</v>
      </c>
      <c r="F32" s="274"/>
    </row>
    <row r="33" spans="1:6">
      <c r="A33" s="374">
        <f>+A32-1</f>
        <v>-18</v>
      </c>
      <c r="D33" s="164" t="s">
        <v>355</v>
      </c>
      <c r="E33" s="250">
        <v>175000000</v>
      </c>
      <c r="F33" s="274"/>
    </row>
    <row r="34" spans="1:6">
      <c r="A34" s="374">
        <f>+A33-1</f>
        <v>-19</v>
      </c>
      <c r="D34" s="164" t="s">
        <v>350</v>
      </c>
      <c r="E34" s="250">
        <f>SUM('Mortality Distribution'!B19:B32)</f>
        <v>273093444</v>
      </c>
      <c r="F34" s="274"/>
    </row>
    <row r="35" spans="1:6">
      <c r="D35" s="164"/>
      <c r="E35" s="274"/>
      <c r="F35" s="274"/>
    </row>
    <row r="36" spans="1:6">
      <c r="F36" s="274"/>
    </row>
    <row r="37" spans="1:6">
      <c r="B37" s="276"/>
      <c r="D37" s="274"/>
      <c r="E37" s="274"/>
    </row>
    <row r="38" spans="1:6">
      <c r="E38" s="274"/>
    </row>
  </sheetData>
  <phoneticPr fontId="0" type="noConversion"/>
  <dataValidations count="2">
    <dataValidation type="list" allowBlank="1" showInputMessage="1" showErrorMessage="1" sqref="D6">
      <formula1>$D$12:$G$12</formula1>
    </dataValidation>
    <dataValidation type="list" allowBlank="1" showInputMessage="1" showErrorMessage="1" sqref="D4">
      <formula1>Severity_Listing</formula1>
    </dataValidation>
  </dataValidations>
  <pageMargins left="0.5" right="0.5" top="0.75" bottom="0.75" header="0.5" footer="0.35"/>
  <pageSetup scale="98" orientation="portrait" r:id="rId1"/>
  <headerFooter alignWithMargins="0">
    <oddFooter>&amp;L&amp;8&amp;F  &amp;A&amp;C&amp;8MBA Actuaries, Inc.&amp;R&amp;8&amp;D 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0"/>
  <sheetViews>
    <sheetView zoomScaleNormal="100" workbookViewId="0">
      <selection activeCell="B57" sqref="B57"/>
    </sheetView>
  </sheetViews>
  <sheetFormatPr defaultRowHeight="12.75"/>
  <cols>
    <col min="1" max="2" width="10.7109375" style="274" customWidth="1"/>
    <col min="3" max="12" width="12.7109375" style="274" customWidth="1"/>
    <col min="13" max="13" width="1.85546875" style="274" customWidth="1"/>
    <col min="14" max="15" width="11.28515625" style="274" bestFit="1" customWidth="1"/>
    <col min="16" max="16" width="10.28515625" style="274" bestFit="1" customWidth="1"/>
    <col min="17" max="16384" width="9.140625" style="274"/>
  </cols>
  <sheetData>
    <row r="1" spans="1:13">
      <c r="A1" s="446" t="str">
        <f>scenario</f>
        <v>Severe Scenario, V\ Curve</v>
      </c>
      <c r="M1" s="164" t="s">
        <v>395</v>
      </c>
    </row>
    <row r="2" spans="1:13">
      <c r="M2" s="169"/>
    </row>
    <row r="3" spans="1:13" ht="15.75">
      <c r="A3" s="52" t="str">
        <f>LOB_2&amp;" Case Distribution by Provider and Risk Class"</f>
        <v>LOB_2 Case Distribution by Provider and Risk Class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3">
      <c r="C5" s="276" t="s">
        <v>296</v>
      </c>
      <c r="D5" s="250">
        <f>+LOB2Pop</f>
        <v>750000</v>
      </c>
      <c r="F5" s="276" t="s">
        <v>299</v>
      </c>
      <c r="G5" s="280">
        <f>UtilAdj</f>
        <v>0.97499999999999998</v>
      </c>
      <c r="J5" s="276" t="s">
        <v>302</v>
      </c>
      <c r="K5" s="280">
        <f>ICUStepdown</f>
        <v>0.73</v>
      </c>
    </row>
    <row r="6" spans="1:13">
      <c r="C6" s="276" t="s">
        <v>298</v>
      </c>
      <c r="D6" s="280">
        <f>+MortRatio</f>
        <v>0.76900000000000002</v>
      </c>
      <c r="F6" s="276" t="s">
        <v>300</v>
      </c>
      <c r="G6" s="280">
        <f>RiskAdj</f>
        <v>0.92500000000000004</v>
      </c>
      <c r="J6" s="276" t="s">
        <v>301</v>
      </c>
      <c r="K6" s="280">
        <f>DthHospPct</f>
        <v>0.85</v>
      </c>
    </row>
    <row r="7" spans="1:13">
      <c r="E7" s="279"/>
    </row>
    <row r="8" spans="1:13">
      <c r="A8" s="37" t="s">
        <v>36</v>
      </c>
      <c r="B8" s="332" t="s">
        <v>179</v>
      </c>
      <c r="C8" s="333"/>
      <c r="D8" s="325" t="s">
        <v>50</v>
      </c>
      <c r="F8" s="326" t="s">
        <v>181</v>
      </c>
      <c r="G8" s="104" t="s">
        <v>65</v>
      </c>
      <c r="H8" s="105"/>
      <c r="I8" s="106"/>
      <c r="J8" s="104" t="s">
        <v>66</v>
      </c>
      <c r="K8" s="105"/>
      <c r="L8" s="106"/>
    </row>
    <row r="9" spans="1:13">
      <c r="A9" s="37" t="s">
        <v>37</v>
      </c>
      <c r="B9" s="327" t="s">
        <v>178</v>
      </c>
      <c r="C9" s="334" t="s">
        <v>180</v>
      </c>
      <c r="D9" s="327" t="s">
        <v>173</v>
      </c>
      <c r="E9" s="229" t="s">
        <v>38</v>
      </c>
      <c r="F9" s="328" t="s">
        <v>107</v>
      </c>
      <c r="G9" s="88" t="str">
        <f>_PR1</f>
        <v>Not Seeking</v>
      </c>
      <c r="H9" s="152" t="str">
        <f>_PR2</f>
        <v>Outpatient</v>
      </c>
      <c r="I9" s="89" t="str">
        <f>_PR3</f>
        <v>Hospital</v>
      </c>
      <c r="J9" s="88" t="str">
        <f>_PR1</f>
        <v>Not Seeking</v>
      </c>
      <c r="K9" s="152" t="str">
        <f>_PR2</f>
        <v>Outpatient</v>
      </c>
      <c r="L9" s="89" t="str">
        <f>_PR3</f>
        <v>Hospital</v>
      </c>
    </row>
    <row r="10" spans="1:13">
      <c r="A10" s="307"/>
      <c r="B10" s="63">
        <v>-7</v>
      </c>
      <c r="C10" s="150">
        <f>+B10-1</f>
        <v>-8</v>
      </c>
      <c r="D10" s="148">
        <f t="shared" ref="D10:L10" si="0">+C10-1</f>
        <v>-9</v>
      </c>
      <c r="E10" s="149">
        <f t="shared" si="0"/>
        <v>-10</v>
      </c>
      <c r="F10" s="150">
        <f t="shared" si="0"/>
        <v>-11</v>
      </c>
      <c r="G10" s="148">
        <f t="shared" si="0"/>
        <v>-12</v>
      </c>
      <c r="H10" s="149">
        <f t="shared" si="0"/>
        <v>-13</v>
      </c>
      <c r="I10" s="150">
        <f t="shared" si="0"/>
        <v>-14</v>
      </c>
      <c r="J10" s="148">
        <f t="shared" si="0"/>
        <v>-15</v>
      </c>
      <c r="K10" s="149">
        <f t="shared" si="0"/>
        <v>-16</v>
      </c>
      <c r="L10" s="150">
        <f t="shared" si="0"/>
        <v>-17</v>
      </c>
    </row>
    <row r="11" spans="1:13" ht="5.0999999999999996" customHeight="1">
      <c r="B11" s="306"/>
      <c r="C11" s="308"/>
      <c r="D11" s="306"/>
      <c r="E11" s="307"/>
      <c r="F11" s="308"/>
      <c r="G11" s="306"/>
      <c r="H11" s="307"/>
      <c r="I11" s="308"/>
      <c r="J11" s="306"/>
      <c r="K11" s="307"/>
      <c r="L11" s="308"/>
    </row>
    <row r="12" spans="1:13">
      <c r="A12" s="41" t="str">
        <f>+'Total Costs'!A9</f>
        <v>0 - 4</v>
      </c>
      <c r="B12" s="335">
        <f>ROUND('Mortality Distribution'!B19/SUM('Mortality Distribution'!$B$19:$B$32),3)</f>
        <v>7.4999999999999997E-2</v>
      </c>
      <c r="C12" s="322">
        <f t="shared" ref="C12:C29" si="1">+B12*LOB2Pop</f>
        <v>56250</v>
      </c>
      <c r="D12" s="329">
        <f>ROUND(MortRatio*'Mortality Distribution'!K19,3)</f>
        <v>8.8049999999999997</v>
      </c>
      <c r="E12" s="330">
        <f t="shared" ref="E12:E29" si="2">ROUND(C12*D12/1000,0)</f>
        <v>495</v>
      </c>
      <c r="F12" s="322">
        <f t="shared" ref="F12:F29" si="3">ROUND(Morbidity*(C12-E12/Morbidity),0)</f>
        <v>16380</v>
      </c>
      <c r="G12" s="312">
        <f t="shared" ref="G12:G29" si="4">1-H12-I12</f>
        <v>0.31799999999999995</v>
      </c>
      <c r="H12" s="309">
        <f>ROUND(UtilAdj*'Distribution by Provider'!G9,3)</f>
        <v>0.53600000000000003</v>
      </c>
      <c r="I12" s="310">
        <f>ROUND(UtilAdj*'Distribution by Provider'!H9,3)</f>
        <v>0.14599999999999999</v>
      </c>
      <c r="J12" s="314">
        <f t="shared" ref="J12:L29" si="5">ROUND(G12*$F12,0)</f>
        <v>5209</v>
      </c>
      <c r="K12" s="315">
        <f t="shared" si="5"/>
        <v>8780</v>
      </c>
      <c r="L12" s="316">
        <f t="shared" si="5"/>
        <v>2391</v>
      </c>
    </row>
    <row r="13" spans="1:13">
      <c r="A13" s="41" t="str">
        <f>+'Total Costs'!A10</f>
        <v>5 - 9</v>
      </c>
      <c r="B13" s="335">
        <f>ROUND('Mortality Distribution'!B20/SUM('Mortality Distribution'!$B$19:$B$32),3)</f>
        <v>7.2999999999999995E-2</v>
      </c>
      <c r="C13" s="322">
        <f t="shared" si="1"/>
        <v>54750</v>
      </c>
      <c r="D13" s="329">
        <f>ROUND(MortRatio*'Mortality Distribution'!K20,3)</f>
        <v>1.7609999999999999</v>
      </c>
      <c r="E13" s="330">
        <f t="shared" si="2"/>
        <v>96</v>
      </c>
      <c r="F13" s="322">
        <f t="shared" si="3"/>
        <v>16329</v>
      </c>
      <c r="G13" s="312">
        <f t="shared" si="4"/>
        <v>0.57599999999999996</v>
      </c>
      <c r="H13" s="309">
        <f>ROUND(UtilAdj*'Distribution by Provider'!G10,3)</f>
        <v>0.39</v>
      </c>
      <c r="I13" s="310">
        <f>ROUND(UtilAdj*'Distribution by Provider'!H10,3)</f>
        <v>3.4000000000000002E-2</v>
      </c>
      <c r="J13" s="314">
        <f t="shared" si="5"/>
        <v>9406</v>
      </c>
      <c r="K13" s="315">
        <f t="shared" si="5"/>
        <v>6368</v>
      </c>
      <c r="L13" s="316">
        <f t="shared" si="5"/>
        <v>555</v>
      </c>
    </row>
    <row r="14" spans="1:13">
      <c r="A14" s="41" t="str">
        <f>+'Total Costs'!A11</f>
        <v>10 - 14</v>
      </c>
      <c r="B14" s="335">
        <f>ROUND('Mortality Distribution'!B21/SUM('Mortality Distribution'!$B$19:$B$32),3)</f>
        <v>7.9000000000000001E-2</v>
      </c>
      <c r="C14" s="322">
        <f t="shared" si="1"/>
        <v>59250</v>
      </c>
      <c r="D14" s="329">
        <f>ROUND(MortRatio*'Mortality Distribution'!K21,3)</f>
        <v>1.7609999999999999</v>
      </c>
      <c r="E14" s="330">
        <f t="shared" si="2"/>
        <v>104</v>
      </c>
      <c r="F14" s="322">
        <f t="shared" si="3"/>
        <v>17671</v>
      </c>
      <c r="G14" s="312">
        <f t="shared" si="4"/>
        <v>0.57599999999999996</v>
      </c>
      <c r="H14" s="309">
        <f>ROUND(UtilAdj*'Distribution by Provider'!G11,3)</f>
        <v>0.39</v>
      </c>
      <c r="I14" s="310">
        <f>ROUND(UtilAdj*'Distribution by Provider'!H11,3)</f>
        <v>3.4000000000000002E-2</v>
      </c>
      <c r="J14" s="314">
        <f t="shared" si="5"/>
        <v>10178</v>
      </c>
      <c r="K14" s="315">
        <f t="shared" si="5"/>
        <v>6892</v>
      </c>
      <c r="L14" s="316">
        <f t="shared" si="5"/>
        <v>601</v>
      </c>
    </row>
    <row r="15" spans="1:13">
      <c r="A15" s="41" t="str">
        <f>+'Total Costs'!A12</f>
        <v>15 - 19</v>
      </c>
      <c r="B15" s="335">
        <f>ROUND('Mortality Distribution'!B22/SUM('Mortality Distribution'!$B$19:$B$32),3)</f>
        <v>7.8E-2</v>
      </c>
      <c r="C15" s="322">
        <f t="shared" si="1"/>
        <v>58500</v>
      </c>
      <c r="D15" s="329">
        <f>ROUND(MortRatio*'Mortality Distribution'!K22,3)</f>
        <v>5.2830000000000004</v>
      </c>
      <c r="E15" s="330">
        <f t="shared" si="2"/>
        <v>309</v>
      </c>
      <c r="F15" s="322">
        <f t="shared" si="3"/>
        <v>17241</v>
      </c>
      <c r="G15" s="312">
        <f t="shared" si="4"/>
        <v>0.54200000000000004</v>
      </c>
      <c r="H15" s="309">
        <f>ROUND(UtilAdj*'Distribution by Provider'!G12,3)</f>
        <v>0.39</v>
      </c>
      <c r="I15" s="310">
        <f>ROUND(UtilAdj*'Distribution by Provider'!H12,3)</f>
        <v>6.8000000000000005E-2</v>
      </c>
      <c r="J15" s="314">
        <f t="shared" si="5"/>
        <v>9345</v>
      </c>
      <c r="K15" s="315">
        <f t="shared" si="5"/>
        <v>6724</v>
      </c>
      <c r="L15" s="316">
        <f t="shared" si="5"/>
        <v>1172</v>
      </c>
    </row>
    <row r="16" spans="1:13">
      <c r="A16" s="41" t="str">
        <f>+'Total Costs'!A13</f>
        <v>20 - 24</v>
      </c>
      <c r="B16" s="335">
        <f>ROUND('Mortality Distribution'!B23/SUM('Mortality Distribution'!$B$19:$B$32),3)</f>
        <v>7.8E-2</v>
      </c>
      <c r="C16" s="322">
        <f t="shared" si="1"/>
        <v>58500</v>
      </c>
      <c r="D16" s="329">
        <f>ROUND(MortRatio*'Mortality Distribution'!K23,3)</f>
        <v>7.6310000000000002</v>
      </c>
      <c r="E16" s="330">
        <f t="shared" si="2"/>
        <v>446</v>
      </c>
      <c r="F16" s="322">
        <f t="shared" si="3"/>
        <v>17104</v>
      </c>
      <c r="G16" s="312">
        <f t="shared" si="4"/>
        <v>0.46299999999999997</v>
      </c>
      <c r="H16" s="309">
        <f>ROUND(UtilAdj*'Distribution by Provider'!G13,3)</f>
        <v>0.439</v>
      </c>
      <c r="I16" s="310">
        <f>ROUND(UtilAdj*'Distribution by Provider'!H13,3)</f>
        <v>9.8000000000000004E-2</v>
      </c>
      <c r="J16" s="314">
        <f t="shared" si="5"/>
        <v>7919</v>
      </c>
      <c r="K16" s="315">
        <f t="shared" si="5"/>
        <v>7509</v>
      </c>
      <c r="L16" s="316">
        <f t="shared" si="5"/>
        <v>1676</v>
      </c>
    </row>
    <row r="17" spans="1:16">
      <c r="A17" s="41" t="str">
        <f>+'Total Costs'!A14</f>
        <v>25 - 29</v>
      </c>
      <c r="B17" s="335">
        <f>ROUND('Mortality Distribution'!B24/SUM('Mortality Distribution'!$B$19:$B$32),3)</f>
        <v>7.2999999999999995E-2</v>
      </c>
      <c r="C17" s="322">
        <f t="shared" si="1"/>
        <v>54750</v>
      </c>
      <c r="D17" s="329">
        <f>ROUND(MortRatio*'Mortality Distribution'!K24,3)</f>
        <v>11.154</v>
      </c>
      <c r="E17" s="330">
        <f t="shared" si="2"/>
        <v>611</v>
      </c>
      <c r="F17" s="322">
        <f t="shared" si="3"/>
        <v>15814</v>
      </c>
      <c r="G17" s="312">
        <f t="shared" si="4"/>
        <v>0.43399999999999994</v>
      </c>
      <c r="H17" s="309">
        <f>ROUND(UtilAdj*'Distribution by Provider'!G14,3)</f>
        <v>0.439</v>
      </c>
      <c r="I17" s="310">
        <f>ROUND(UtilAdj*'Distribution by Provider'!H14,3)</f>
        <v>0.127</v>
      </c>
      <c r="J17" s="314">
        <f t="shared" si="5"/>
        <v>6863</v>
      </c>
      <c r="K17" s="315">
        <f t="shared" si="5"/>
        <v>6942</v>
      </c>
      <c r="L17" s="316">
        <f t="shared" si="5"/>
        <v>2008</v>
      </c>
    </row>
    <row r="18" spans="1:16">
      <c r="A18" s="41" t="str">
        <f>+'Total Costs'!A15</f>
        <v>30 - 34</v>
      </c>
      <c r="B18" s="335">
        <f>ROUND('Mortality Distribution'!B25/SUM('Mortality Distribution'!$B$19:$B$32),3)</f>
        <v>7.6999999999999999E-2</v>
      </c>
      <c r="C18" s="322">
        <f t="shared" si="1"/>
        <v>57750</v>
      </c>
      <c r="D18" s="329">
        <f>ROUND(MortRatio*'Mortality Distribution'!K25,3)</f>
        <v>11.154</v>
      </c>
      <c r="E18" s="330">
        <f t="shared" si="2"/>
        <v>644</v>
      </c>
      <c r="F18" s="322">
        <f t="shared" si="3"/>
        <v>16681</v>
      </c>
      <c r="G18" s="312">
        <f t="shared" si="4"/>
        <v>0.43399999999999994</v>
      </c>
      <c r="H18" s="309">
        <f>ROUND(UtilAdj*'Distribution by Provider'!G15,3)</f>
        <v>0.439</v>
      </c>
      <c r="I18" s="310">
        <f>ROUND(UtilAdj*'Distribution by Provider'!H15,3)</f>
        <v>0.127</v>
      </c>
      <c r="J18" s="314">
        <f t="shared" si="5"/>
        <v>7240</v>
      </c>
      <c r="K18" s="315">
        <f t="shared" si="5"/>
        <v>7323</v>
      </c>
      <c r="L18" s="316">
        <f t="shared" si="5"/>
        <v>2118</v>
      </c>
    </row>
    <row r="19" spans="1:16">
      <c r="A19" s="41" t="str">
        <f>+'Total Costs'!A16</f>
        <v>35 - 39</v>
      </c>
      <c r="B19" s="335">
        <f>ROUND('Mortality Distribution'!B26/SUM('Mortality Distribution'!$B$19:$B$32),3)</f>
        <v>7.9000000000000001E-2</v>
      </c>
      <c r="C19" s="322">
        <f t="shared" si="1"/>
        <v>59250</v>
      </c>
      <c r="D19" s="329">
        <f>ROUND(MortRatio*'Mortality Distribution'!K26,3)</f>
        <v>6.4569999999999999</v>
      </c>
      <c r="E19" s="330">
        <f t="shared" si="2"/>
        <v>383</v>
      </c>
      <c r="F19" s="322">
        <f t="shared" si="3"/>
        <v>17392</v>
      </c>
      <c r="G19" s="312">
        <f t="shared" si="4"/>
        <v>0.46299999999999997</v>
      </c>
      <c r="H19" s="309">
        <f>ROUND(UtilAdj*'Distribution by Provider'!G16,3)</f>
        <v>0.439</v>
      </c>
      <c r="I19" s="310">
        <f>ROUND(UtilAdj*'Distribution by Provider'!H16,3)</f>
        <v>9.8000000000000004E-2</v>
      </c>
      <c r="J19" s="314">
        <f t="shared" si="5"/>
        <v>8052</v>
      </c>
      <c r="K19" s="315">
        <f t="shared" si="5"/>
        <v>7635</v>
      </c>
      <c r="L19" s="316">
        <f t="shared" si="5"/>
        <v>1704</v>
      </c>
    </row>
    <row r="20" spans="1:16">
      <c r="A20" s="41" t="str">
        <f>+'Total Costs'!A17</f>
        <v>40 - 44</v>
      </c>
      <c r="B20" s="335">
        <f>ROUND('Mortality Distribution'!B27/SUM('Mortality Distribution'!$B$19:$B$32),3)</f>
        <v>8.5999999999999993E-2</v>
      </c>
      <c r="C20" s="322">
        <f t="shared" si="1"/>
        <v>64499.999999999993</v>
      </c>
      <c r="D20" s="329">
        <f>ROUND(MortRatio*'Mortality Distribution'!K27,3)</f>
        <v>5.2830000000000004</v>
      </c>
      <c r="E20" s="330">
        <f t="shared" si="2"/>
        <v>341</v>
      </c>
      <c r="F20" s="322">
        <f t="shared" si="3"/>
        <v>19009</v>
      </c>
      <c r="G20" s="312">
        <f t="shared" si="4"/>
        <v>0.49299999999999994</v>
      </c>
      <c r="H20" s="309">
        <f>ROUND(UtilAdj*'Distribution by Provider'!G17,3)</f>
        <v>0.439</v>
      </c>
      <c r="I20" s="310">
        <f>ROUND(UtilAdj*'Distribution by Provider'!H17,3)</f>
        <v>6.8000000000000005E-2</v>
      </c>
      <c r="J20" s="314">
        <f t="shared" si="5"/>
        <v>9371</v>
      </c>
      <c r="K20" s="315">
        <f t="shared" si="5"/>
        <v>8345</v>
      </c>
      <c r="L20" s="316">
        <f t="shared" si="5"/>
        <v>1293</v>
      </c>
    </row>
    <row r="21" spans="1:16">
      <c r="A21" s="41" t="str">
        <f>+'Total Costs'!A18</f>
        <v>45 - 49</v>
      </c>
      <c r="B21" s="335">
        <f>ROUND('Mortality Distribution'!B28/SUM('Mortality Distribution'!$B$19:$B$32),3)</f>
        <v>8.3000000000000004E-2</v>
      </c>
      <c r="C21" s="322">
        <f t="shared" si="1"/>
        <v>62250</v>
      </c>
      <c r="D21" s="329">
        <f>ROUND(MortRatio*'Mortality Distribution'!K28,3)</f>
        <v>4.109</v>
      </c>
      <c r="E21" s="330">
        <f t="shared" si="2"/>
        <v>256</v>
      </c>
      <c r="F21" s="322">
        <f t="shared" si="3"/>
        <v>18419</v>
      </c>
      <c r="G21" s="312">
        <f t="shared" si="4"/>
        <v>0.5119999999999999</v>
      </c>
      <c r="H21" s="309">
        <f>ROUND(UtilAdj*'Distribution by Provider'!G18,3)</f>
        <v>0.439</v>
      </c>
      <c r="I21" s="310">
        <f>ROUND(UtilAdj*'Distribution by Provider'!H18,3)</f>
        <v>4.9000000000000002E-2</v>
      </c>
      <c r="J21" s="314">
        <f t="shared" si="5"/>
        <v>9431</v>
      </c>
      <c r="K21" s="315">
        <f t="shared" si="5"/>
        <v>8086</v>
      </c>
      <c r="L21" s="316">
        <f t="shared" si="5"/>
        <v>903</v>
      </c>
    </row>
    <row r="22" spans="1:16">
      <c r="A22" s="41" t="str">
        <f>+'Total Costs'!A19</f>
        <v>50 - 54</v>
      </c>
      <c r="B22" s="335">
        <f>ROUND('Mortality Distribution'!B29/SUM('Mortality Distribution'!$B$19:$B$32),3)</f>
        <v>7.2999999999999995E-2</v>
      </c>
      <c r="C22" s="322">
        <f t="shared" si="1"/>
        <v>54750</v>
      </c>
      <c r="D22" s="329">
        <f>ROUND(MortRatio*'Mortality Distribution'!K29,3)</f>
        <v>2.9350000000000001</v>
      </c>
      <c r="E22" s="330">
        <f t="shared" si="2"/>
        <v>161</v>
      </c>
      <c r="F22" s="322">
        <f t="shared" si="3"/>
        <v>16264</v>
      </c>
      <c r="G22" s="312">
        <f t="shared" si="4"/>
        <v>0.52699999999999991</v>
      </c>
      <c r="H22" s="309">
        <f>ROUND(UtilAdj*'Distribution by Provider'!G19,3)</f>
        <v>0.439</v>
      </c>
      <c r="I22" s="310">
        <f>ROUND(UtilAdj*'Distribution by Provider'!H19,3)</f>
        <v>3.4000000000000002E-2</v>
      </c>
      <c r="J22" s="314">
        <f t="shared" si="5"/>
        <v>8571</v>
      </c>
      <c r="K22" s="315">
        <f t="shared" si="5"/>
        <v>7140</v>
      </c>
      <c r="L22" s="316">
        <f t="shared" si="5"/>
        <v>553</v>
      </c>
    </row>
    <row r="23" spans="1:16">
      <c r="A23" s="41" t="str">
        <f>+'Total Costs'!A20</f>
        <v>55 - 59</v>
      </c>
      <c r="B23" s="335">
        <f>ROUND('Mortality Distribution'!B30/SUM('Mortality Distribution'!$B$19:$B$32),3)</f>
        <v>6.2E-2</v>
      </c>
      <c r="C23" s="322">
        <f t="shared" si="1"/>
        <v>46500</v>
      </c>
      <c r="D23" s="329">
        <f>ROUND(MortRatio*'Mortality Distribution'!K30,3)</f>
        <v>2.3479999999999999</v>
      </c>
      <c r="E23" s="330">
        <f t="shared" si="2"/>
        <v>109</v>
      </c>
      <c r="F23" s="322">
        <f t="shared" si="3"/>
        <v>13841</v>
      </c>
      <c r="G23" s="312">
        <f t="shared" si="4"/>
        <v>0.63500000000000001</v>
      </c>
      <c r="H23" s="309">
        <f>ROUND(UtilAdj*'Distribution by Provider'!G20,3)</f>
        <v>0.34100000000000003</v>
      </c>
      <c r="I23" s="310">
        <f>ROUND(UtilAdj*'Distribution by Provider'!H20,3)</f>
        <v>2.4E-2</v>
      </c>
      <c r="J23" s="314">
        <f t="shared" si="5"/>
        <v>8789</v>
      </c>
      <c r="K23" s="315">
        <f t="shared" si="5"/>
        <v>4720</v>
      </c>
      <c r="L23" s="316">
        <f t="shared" si="5"/>
        <v>332</v>
      </c>
    </row>
    <row r="24" spans="1:16">
      <c r="A24" s="41" t="str">
        <f>+'Total Costs'!A21</f>
        <v>60 - 64</v>
      </c>
      <c r="B24" s="335">
        <f>ROUND('Mortality Distribution'!B31/SUM('Mortality Distribution'!$B$19:$B$32),3)</f>
        <v>4.7E-2</v>
      </c>
      <c r="C24" s="322">
        <f t="shared" si="1"/>
        <v>35250</v>
      </c>
      <c r="D24" s="329">
        <f>ROUND(MortRatio*'Mortality Distribution'!K31,3)</f>
        <v>1.7609999999999999</v>
      </c>
      <c r="E24" s="330">
        <f t="shared" si="2"/>
        <v>62</v>
      </c>
      <c r="F24" s="322">
        <f t="shared" si="3"/>
        <v>10513</v>
      </c>
      <c r="G24" s="312">
        <f t="shared" si="4"/>
        <v>0.74099999999999999</v>
      </c>
      <c r="H24" s="309">
        <f>ROUND(UtilAdj*'Distribution by Provider'!G21,3)</f>
        <v>0.24399999999999999</v>
      </c>
      <c r="I24" s="310">
        <f>ROUND(UtilAdj*'Distribution by Provider'!H21,3)</f>
        <v>1.4999999999999999E-2</v>
      </c>
      <c r="J24" s="314">
        <f t="shared" si="5"/>
        <v>7790</v>
      </c>
      <c r="K24" s="315">
        <f t="shared" si="5"/>
        <v>2565</v>
      </c>
      <c r="L24" s="316">
        <f t="shared" si="5"/>
        <v>158</v>
      </c>
    </row>
    <row r="25" spans="1:16">
      <c r="A25" s="41" t="str">
        <f>+'Total Costs'!A22</f>
        <v>65 - 69</v>
      </c>
      <c r="B25" s="335">
        <f>ROUND('Mortality Distribution'!B32/SUM('Mortality Distribution'!$B$19:$B$32),3)</f>
        <v>3.6999999999999998E-2</v>
      </c>
      <c r="C25" s="322">
        <f t="shared" si="1"/>
        <v>27750</v>
      </c>
      <c r="D25" s="329">
        <f>ROUND(MortRatio*'Mortality Distribution'!K32,3)</f>
        <v>1.1739999999999999</v>
      </c>
      <c r="E25" s="330">
        <f t="shared" si="2"/>
        <v>33</v>
      </c>
      <c r="F25" s="322">
        <f t="shared" si="3"/>
        <v>8292</v>
      </c>
      <c r="G25" s="312">
        <f t="shared" si="4"/>
        <v>0.84399999999999997</v>
      </c>
      <c r="H25" s="309">
        <f>ROUND(UtilAdj*'Distribution by Provider'!G22,3)</f>
        <v>0.14599999999999999</v>
      </c>
      <c r="I25" s="310">
        <f>ROUND(UtilAdj*'Distribution by Provider'!H22,3)</f>
        <v>0.01</v>
      </c>
      <c r="J25" s="314">
        <f t="shared" si="5"/>
        <v>6998</v>
      </c>
      <c r="K25" s="315">
        <f t="shared" si="5"/>
        <v>1211</v>
      </c>
      <c r="L25" s="316">
        <f t="shared" si="5"/>
        <v>83</v>
      </c>
    </row>
    <row r="26" spans="1:16">
      <c r="A26" s="41" t="str">
        <f>+'Total Costs'!A23</f>
        <v>70 - 74</v>
      </c>
      <c r="B26" s="335">
        <v>0</v>
      </c>
      <c r="C26" s="322">
        <f t="shared" si="1"/>
        <v>0</v>
      </c>
      <c r="D26" s="329">
        <f>ROUND(MortRatio*'Mortality Distribution'!K33,3)</f>
        <v>1.1739999999999999</v>
      </c>
      <c r="E26" s="330">
        <f t="shared" si="2"/>
        <v>0</v>
      </c>
      <c r="F26" s="322">
        <f t="shared" si="3"/>
        <v>0</v>
      </c>
      <c r="G26" s="312">
        <f t="shared" si="4"/>
        <v>0.84399999999999997</v>
      </c>
      <c r="H26" s="309">
        <f>ROUND(UtilAdj*'Distribution by Provider'!G23,3)</f>
        <v>0.14599999999999999</v>
      </c>
      <c r="I26" s="310">
        <f>ROUND(UtilAdj*'Distribution by Provider'!H23,3)</f>
        <v>0.01</v>
      </c>
      <c r="J26" s="314">
        <f t="shared" si="5"/>
        <v>0</v>
      </c>
      <c r="K26" s="315">
        <f t="shared" si="5"/>
        <v>0</v>
      </c>
      <c r="L26" s="316">
        <f t="shared" si="5"/>
        <v>0</v>
      </c>
    </row>
    <row r="27" spans="1:16">
      <c r="A27" s="79" t="str">
        <f>+'Total Costs'!A24</f>
        <v>75 - 79</v>
      </c>
      <c r="B27" s="335">
        <v>0</v>
      </c>
      <c r="C27" s="322">
        <f t="shared" si="1"/>
        <v>0</v>
      </c>
      <c r="D27" s="329">
        <f>ROUND(MortRatio*'Mortality Distribution'!K34,3)</f>
        <v>0.58699999999999997</v>
      </c>
      <c r="E27" s="330">
        <f t="shared" si="2"/>
        <v>0</v>
      </c>
      <c r="F27" s="322">
        <f t="shared" si="3"/>
        <v>0</v>
      </c>
      <c r="G27" s="312">
        <f t="shared" si="4"/>
        <v>0.84399999999999997</v>
      </c>
      <c r="H27" s="309">
        <f>ROUND(UtilAdj*'Distribution by Provider'!G24,3)</f>
        <v>0.14599999999999999</v>
      </c>
      <c r="I27" s="310">
        <f>ROUND(UtilAdj*'Distribution by Provider'!H24,3)</f>
        <v>0.01</v>
      </c>
      <c r="J27" s="314">
        <f t="shared" si="5"/>
        <v>0</v>
      </c>
      <c r="K27" s="315">
        <f t="shared" si="5"/>
        <v>0</v>
      </c>
      <c r="L27" s="316">
        <f t="shared" si="5"/>
        <v>0</v>
      </c>
    </row>
    <row r="28" spans="1:16">
      <c r="A28" s="79" t="str">
        <f>+'Total Costs'!A25</f>
        <v>80 - 84</v>
      </c>
      <c r="B28" s="335">
        <v>0</v>
      </c>
      <c r="C28" s="322">
        <f t="shared" si="1"/>
        <v>0</v>
      </c>
      <c r="D28" s="329">
        <f>ROUND(MortRatio*'Mortality Distribution'!K35,3)</f>
        <v>0.58699999999999997</v>
      </c>
      <c r="E28" s="330">
        <f t="shared" si="2"/>
        <v>0</v>
      </c>
      <c r="F28" s="322">
        <f t="shared" si="3"/>
        <v>0</v>
      </c>
      <c r="G28" s="312">
        <f t="shared" si="4"/>
        <v>0.84399999999999997</v>
      </c>
      <c r="H28" s="309">
        <f>ROUND(UtilAdj*'Distribution by Provider'!G25,3)</f>
        <v>0.14599999999999999</v>
      </c>
      <c r="I28" s="310">
        <f>ROUND(UtilAdj*'Distribution by Provider'!H25,3)</f>
        <v>0.01</v>
      </c>
      <c r="J28" s="314">
        <f t="shared" si="5"/>
        <v>0</v>
      </c>
      <c r="K28" s="315">
        <f t="shared" si="5"/>
        <v>0</v>
      </c>
      <c r="L28" s="316">
        <f t="shared" si="5"/>
        <v>0</v>
      </c>
    </row>
    <row r="29" spans="1:16">
      <c r="A29" s="79" t="str">
        <f>+'Total Costs'!A26</f>
        <v>85+</v>
      </c>
      <c r="B29" s="336">
        <v>0</v>
      </c>
      <c r="C29" s="323">
        <f t="shared" si="1"/>
        <v>0</v>
      </c>
      <c r="D29" s="331">
        <f>ROUND(MortRatio*'Mortality Distribution'!K36,3)</f>
        <v>0.58699999999999997</v>
      </c>
      <c r="E29" s="305">
        <f t="shared" si="2"/>
        <v>0</v>
      </c>
      <c r="F29" s="323">
        <f t="shared" si="3"/>
        <v>0</v>
      </c>
      <c r="G29" s="313">
        <f t="shared" si="4"/>
        <v>0.84399999999999997</v>
      </c>
      <c r="H29" s="281">
        <f>ROUND(UtilAdj*'Distribution by Provider'!G26,3)</f>
        <v>0.14599999999999999</v>
      </c>
      <c r="I29" s="311">
        <f>ROUND(UtilAdj*'Distribution by Provider'!H26,3)</f>
        <v>0.01</v>
      </c>
      <c r="J29" s="317">
        <f t="shared" si="5"/>
        <v>0</v>
      </c>
      <c r="K29" s="318">
        <f t="shared" si="5"/>
        <v>0</v>
      </c>
      <c r="L29" s="319">
        <f t="shared" si="5"/>
        <v>0</v>
      </c>
    </row>
    <row r="30" spans="1:16">
      <c r="B30" s="280">
        <f>SUM(B12:B29)</f>
        <v>1</v>
      </c>
      <c r="C30" s="278">
        <f>SUM(C12:C29)</f>
        <v>750000</v>
      </c>
      <c r="E30" s="278">
        <f t="shared" ref="E30:L30" si="6">SUM(E12:E29)</f>
        <v>4050</v>
      </c>
      <c r="F30" s="278">
        <f t="shared" si="6"/>
        <v>220950</v>
      </c>
      <c r="G30" s="278"/>
      <c r="H30" s="278"/>
      <c r="I30" s="278"/>
      <c r="J30" s="278">
        <f t="shared" si="6"/>
        <v>115162</v>
      </c>
      <c r="K30" s="278">
        <f t="shared" si="6"/>
        <v>90240</v>
      </c>
      <c r="L30" s="278">
        <f t="shared" si="6"/>
        <v>15547</v>
      </c>
      <c r="N30" s="278"/>
      <c r="O30" s="278"/>
      <c r="P30" s="278"/>
    </row>
    <row r="32" spans="1:16">
      <c r="A32" s="37" t="s">
        <v>36</v>
      </c>
      <c r="B32" s="83" t="s">
        <v>7</v>
      </c>
      <c r="C32" s="84" t="s">
        <v>7</v>
      </c>
      <c r="D32" s="104" t="s">
        <v>69</v>
      </c>
      <c r="E32" s="105"/>
      <c r="F32" s="105"/>
      <c r="G32" s="105"/>
      <c r="H32" s="324"/>
      <c r="I32" s="104" t="s">
        <v>70</v>
      </c>
      <c r="J32" s="105"/>
      <c r="K32" s="105"/>
      <c r="L32" s="324"/>
    </row>
    <row r="33" spans="1:12">
      <c r="A33" s="37" t="s">
        <v>37</v>
      </c>
      <c r="B33" s="153" t="s">
        <v>51</v>
      </c>
      <c r="C33" s="156" t="s">
        <v>53</v>
      </c>
      <c r="D33" s="88" t="str">
        <f>_PR1</f>
        <v>Not Seeking</v>
      </c>
      <c r="E33" s="152" t="str">
        <f>_PR2</f>
        <v>Outpatient</v>
      </c>
      <c r="F33" s="394" t="s">
        <v>198</v>
      </c>
      <c r="G33" s="394" t="s">
        <v>41</v>
      </c>
      <c r="H33" s="390" t="s">
        <v>182</v>
      </c>
      <c r="I33" s="87" t="str">
        <f>_PR1</f>
        <v>Not Seeking</v>
      </c>
      <c r="J33" s="391" t="str">
        <f>_PR2</f>
        <v>Outpatient</v>
      </c>
      <c r="K33" s="392" t="str">
        <f>_PR3</f>
        <v>Hospital</v>
      </c>
      <c r="L33" s="393" t="s">
        <v>182</v>
      </c>
    </row>
    <row r="34" spans="1:12">
      <c r="A34" s="3"/>
      <c r="B34" s="63">
        <f>-1+L10</f>
        <v>-18</v>
      </c>
      <c r="C34" s="150">
        <f>+B34-1</f>
        <v>-19</v>
      </c>
      <c r="D34" s="148">
        <f>C34-1</f>
        <v>-20</v>
      </c>
      <c r="E34" s="149">
        <f t="shared" ref="E34:L34" si="7">D34-1</f>
        <v>-21</v>
      </c>
      <c r="F34" s="149">
        <f t="shared" si="7"/>
        <v>-22</v>
      </c>
      <c r="G34" s="149">
        <f t="shared" si="7"/>
        <v>-23</v>
      </c>
      <c r="H34" s="149">
        <f t="shared" si="7"/>
        <v>-24</v>
      </c>
      <c r="I34" s="148">
        <f t="shared" si="7"/>
        <v>-25</v>
      </c>
      <c r="J34" s="149">
        <f t="shared" si="7"/>
        <v>-26</v>
      </c>
      <c r="K34" s="149">
        <f t="shared" si="7"/>
        <v>-27</v>
      </c>
      <c r="L34" s="150">
        <f t="shared" si="7"/>
        <v>-28</v>
      </c>
    </row>
    <row r="35" spans="1:12" ht="5.0999999999999996" customHeight="1">
      <c r="A35" s="3"/>
      <c r="B35" s="103"/>
      <c r="C35" s="130"/>
      <c r="D35" s="31"/>
      <c r="E35" s="33"/>
      <c r="F35" s="33"/>
      <c r="G35" s="33"/>
      <c r="H35" s="307"/>
      <c r="I35" s="31"/>
      <c r="J35" s="33"/>
      <c r="K35" s="33"/>
      <c r="L35" s="308"/>
    </row>
    <row r="36" spans="1:12">
      <c r="A36" s="78" t="str">
        <f t="shared" ref="A36:A53" si="8">+A12</f>
        <v>0 - 4</v>
      </c>
      <c r="B36" s="154">
        <f t="shared" ref="B36:B53" si="9">1-C36</f>
        <v>0.95399999999999996</v>
      </c>
      <c r="C36" s="320">
        <f>ROUND('Distribution by Risk Class'!C9*RiskAdj,3)</f>
        <v>4.5999999999999999E-2</v>
      </c>
      <c r="D36" s="97">
        <f t="shared" ref="D36:E51" si="10">ROUND($B36*J12,0)</f>
        <v>4969</v>
      </c>
      <c r="E36" s="98">
        <f t="shared" si="10"/>
        <v>8376</v>
      </c>
      <c r="F36" s="250">
        <f>ROUND('ACF Costs'!C12*LOB2Pop/Pop0to69,0)</f>
        <v>0</v>
      </c>
      <c r="G36" s="98">
        <f t="shared" ref="G36:G53" si="11">+L12-K36-F36</f>
        <v>2361</v>
      </c>
      <c r="H36" s="171">
        <f t="shared" ref="H36:H53" si="12">ROUND(E12*DthHospPct,0)-L36</f>
        <v>407</v>
      </c>
      <c r="I36" s="97">
        <f t="shared" ref="I36:J51" si="13">ROUND($C36*J12,0)</f>
        <v>240</v>
      </c>
      <c r="J36" s="98">
        <f t="shared" si="13"/>
        <v>404</v>
      </c>
      <c r="K36" s="35">
        <f t="shared" ref="K36:K53" si="14">ROUND($C36*L12*(1-ICUStepdown),0)</f>
        <v>30</v>
      </c>
      <c r="L36" s="396">
        <f t="shared" ref="L36:L53" si="15">ROUND(E12*C36*DthHospPct*ICUStepdown,0)</f>
        <v>14</v>
      </c>
    </row>
    <row r="37" spans="1:12">
      <c r="A37" s="78" t="str">
        <f t="shared" si="8"/>
        <v>5 - 9</v>
      </c>
      <c r="B37" s="154">
        <f t="shared" si="9"/>
        <v>0.90700000000000003</v>
      </c>
      <c r="C37" s="320">
        <f>ROUND('Distribution by Risk Class'!C10*RiskAdj,3)</f>
        <v>9.2999999999999999E-2</v>
      </c>
      <c r="D37" s="97">
        <f t="shared" si="10"/>
        <v>8531</v>
      </c>
      <c r="E37" s="98">
        <f t="shared" si="10"/>
        <v>5776</v>
      </c>
      <c r="F37" s="250">
        <f>ROUND('ACF Costs'!C13*LOB2Pop/Pop0to69,0)</f>
        <v>0</v>
      </c>
      <c r="G37" s="98">
        <f t="shared" si="11"/>
        <v>541</v>
      </c>
      <c r="H37" s="171">
        <f t="shared" si="12"/>
        <v>76</v>
      </c>
      <c r="I37" s="97">
        <f t="shared" si="13"/>
        <v>875</v>
      </c>
      <c r="J37" s="98">
        <f t="shared" si="13"/>
        <v>592</v>
      </c>
      <c r="K37" s="35">
        <f t="shared" si="14"/>
        <v>14</v>
      </c>
      <c r="L37" s="396">
        <f t="shared" si="15"/>
        <v>6</v>
      </c>
    </row>
    <row r="38" spans="1:12">
      <c r="A38" s="78" t="str">
        <f t="shared" si="8"/>
        <v>10 - 14</v>
      </c>
      <c r="B38" s="154">
        <f t="shared" si="9"/>
        <v>0.90700000000000003</v>
      </c>
      <c r="C38" s="320">
        <f>ROUND('Distribution by Risk Class'!C11*RiskAdj,3)</f>
        <v>9.2999999999999999E-2</v>
      </c>
      <c r="D38" s="97">
        <f t="shared" si="10"/>
        <v>9231</v>
      </c>
      <c r="E38" s="98">
        <f t="shared" si="10"/>
        <v>6251</v>
      </c>
      <c r="F38" s="250">
        <f>ROUND('ACF Costs'!C14*LOB2Pop/Pop0to69,0)</f>
        <v>0</v>
      </c>
      <c r="G38" s="98">
        <f t="shared" si="11"/>
        <v>586</v>
      </c>
      <c r="H38" s="171">
        <f t="shared" si="12"/>
        <v>82</v>
      </c>
      <c r="I38" s="97">
        <f t="shared" si="13"/>
        <v>947</v>
      </c>
      <c r="J38" s="98">
        <f t="shared" si="13"/>
        <v>641</v>
      </c>
      <c r="K38" s="35">
        <f t="shared" si="14"/>
        <v>15</v>
      </c>
      <c r="L38" s="396">
        <f t="shared" si="15"/>
        <v>6</v>
      </c>
    </row>
    <row r="39" spans="1:12">
      <c r="A39" s="78" t="str">
        <f t="shared" si="8"/>
        <v>15 - 19</v>
      </c>
      <c r="B39" s="154">
        <f t="shared" si="9"/>
        <v>0.90700000000000003</v>
      </c>
      <c r="C39" s="320">
        <f>ROUND('Distribution by Risk Class'!C12*RiskAdj,3)</f>
        <v>9.2999999999999999E-2</v>
      </c>
      <c r="D39" s="97">
        <f t="shared" si="10"/>
        <v>8476</v>
      </c>
      <c r="E39" s="98">
        <f t="shared" si="10"/>
        <v>6099</v>
      </c>
      <c r="F39" s="250">
        <f>ROUND('ACF Costs'!C15*LOB2Pop/Pop0to69,0)</f>
        <v>143</v>
      </c>
      <c r="G39" s="98">
        <f t="shared" si="11"/>
        <v>1000</v>
      </c>
      <c r="H39" s="171">
        <f t="shared" si="12"/>
        <v>245</v>
      </c>
      <c r="I39" s="97">
        <f t="shared" si="13"/>
        <v>869</v>
      </c>
      <c r="J39" s="98">
        <f t="shared" si="13"/>
        <v>625</v>
      </c>
      <c r="K39" s="35">
        <f t="shared" si="14"/>
        <v>29</v>
      </c>
      <c r="L39" s="396">
        <f t="shared" si="15"/>
        <v>18</v>
      </c>
    </row>
    <row r="40" spans="1:12">
      <c r="A40" s="78" t="str">
        <f t="shared" si="8"/>
        <v>20 - 24</v>
      </c>
      <c r="B40" s="154">
        <f t="shared" si="9"/>
        <v>0.86099999999999999</v>
      </c>
      <c r="C40" s="320">
        <f>ROUND('Distribution by Risk Class'!C13*RiskAdj,3)</f>
        <v>0.13900000000000001</v>
      </c>
      <c r="D40" s="97">
        <f t="shared" si="10"/>
        <v>6818</v>
      </c>
      <c r="E40" s="98">
        <f t="shared" si="10"/>
        <v>6465</v>
      </c>
      <c r="F40" s="250">
        <f>ROUND('ACF Costs'!C16*LOB2Pop/Pop0to69,0)</f>
        <v>257</v>
      </c>
      <c r="G40" s="98">
        <f t="shared" si="11"/>
        <v>1356</v>
      </c>
      <c r="H40" s="171">
        <f t="shared" si="12"/>
        <v>341</v>
      </c>
      <c r="I40" s="97">
        <f t="shared" si="13"/>
        <v>1101</v>
      </c>
      <c r="J40" s="98">
        <f t="shared" si="13"/>
        <v>1044</v>
      </c>
      <c r="K40" s="35">
        <f t="shared" si="14"/>
        <v>63</v>
      </c>
      <c r="L40" s="396">
        <f t="shared" si="15"/>
        <v>38</v>
      </c>
    </row>
    <row r="41" spans="1:12">
      <c r="A41" s="78" t="str">
        <f t="shared" si="8"/>
        <v>25 - 29</v>
      </c>
      <c r="B41" s="154">
        <f t="shared" si="9"/>
        <v>0.86099999999999999</v>
      </c>
      <c r="C41" s="320">
        <f>ROUND('Distribution by Risk Class'!C14*RiskAdj,3)</f>
        <v>0.13900000000000001</v>
      </c>
      <c r="D41" s="97">
        <f t="shared" si="10"/>
        <v>5909</v>
      </c>
      <c r="E41" s="98">
        <f t="shared" si="10"/>
        <v>5977</v>
      </c>
      <c r="F41" s="250">
        <f>ROUND('ACF Costs'!C17*LOB2Pop/Pop0to69,0)</f>
        <v>460</v>
      </c>
      <c r="G41" s="98">
        <f t="shared" si="11"/>
        <v>1473</v>
      </c>
      <c r="H41" s="171">
        <f t="shared" si="12"/>
        <v>466</v>
      </c>
      <c r="I41" s="97">
        <f t="shared" si="13"/>
        <v>954</v>
      </c>
      <c r="J41" s="98">
        <f t="shared" si="13"/>
        <v>965</v>
      </c>
      <c r="K41" s="35">
        <f t="shared" si="14"/>
        <v>75</v>
      </c>
      <c r="L41" s="396">
        <f t="shared" si="15"/>
        <v>53</v>
      </c>
    </row>
    <row r="42" spans="1:12">
      <c r="A42" s="78" t="str">
        <f t="shared" si="8"/>
        <v>30 - 34</v>
      </c>
      <c r="B42" s="154">
        <f t="shared" si="9"/>
        <v>0.86099999999999999</v>
      </c>
      <c r="C42" s="320">
        <f>ROUND('Distribution by Risk Class'!C15*RiskAdj,3)</f>
        <v>0.13900000000000001</v>
      </c>
      <c r="D42" s="97">
        <f t="shared" si="10"/>
        <v>6234</v>
      </c>
      <c r="E42" s="98">
        <f t="shared" si="10"/>
        <v>6305</v>
      </c>
      <c r="F42" s="250">
        <f>ROUND('ACF Costs'!C18*LOB2Pop/Pop0to69,0)</f>
        <v>563</v>
      </c>
      <c r="G42" s="98">
        <f t="shared" si="11"/>
        <v>1476</v>
      </c>
      <c r="H42" s="171">
        <f t="shared" si="12"/>
        <v>491</v>
      </c>
      <c r="I42" s="97">
        <f t="shared" si="13"/>
        <v>1006</v>
      </c>
      <c r="J42" s="98">
        <f t="shared" si="13"/>
        <v>1018</v>
      </c>
      <c r="K42" s="35">
        <f t="shared" si="14"/>
        <v>79</v>
      </c>
      <c r="L42" s="396">
        <f t="shared" si="15"/>
        <v>56</v>
      </c>
    </row>
    <row r="43" spans="1:12">
      <c r="A43" s="78" t="str">
        <f t="shared" si="8"/>
        <v>35 - 39</v>
      </c>
      <c r="B43" s="154">
        <f t="shared" si="9"/>
        <v>0.86099999999999999</v>
      </c>
      <c r="C43" s="320">
        <f>ROUND('Distribution by Risk Class'!C16*RiskAdj,3)</f>
        <v>0.13900000000000001</v>
      </c>
      <c r="D43" s="97">
        <f t="shared" si="10"/>
        <v>6933</v>
      </c>
      <c r="E43" s="98">
        <f t="shared" si="10"/>
        <v>6574</v>
      </c>
      <c r="F43" s="250">
        <f>ROUND('ACF Costs'!C19*LOB2Pop/Pop0to69,0)</f>
        <v>453</v>
      </c>
      <c r="G43" s="98">
        <f t="shared" si="11"/>
        <v>1187</v>
      </c>
      <c r="H43" s="171">
        <f t="shared" si="12"/>
        <v>293</v>
      </c>
      <c r="I43" s="97">
        <f t="shared" si="13"/>
        <v>1119</v>
      </c>
      <c r="J43" s="98">
        <f t="shared" si="13"/>
        <v>1061</v>
      </c>
      <c r="K43" s="35">
        <f t="shared" si="14"/>
        <v>64</v>
      </c>
      <c r="L43" s="396">
        <f t="shared" si="15"/>
        <v>33</v>
      </c>
    </row>
    <row r="44" spans="1:12">
      <c r="A44" s="78" t="str">
        <f t="shared" si="8"/>
        <v>40 - 44</v>
      </c>
      <c r="B44" s="154">
        <f t="shared" si="9"/>
        <v>0.86099999999999999</v>
      </c>
      <c r="C44" s="320">
        <f>ROUND('Distribution by Risk Class'!C17*RiskAdj,3)</f>
        <v>0.13900000000000001</v>
      </c>
      <c r="D44" s="97">
        <f t="shared" si="10"/>
        <v>8068</v>
      </c>
      <c r="E44" s="98">
        <f t="shared" si="10"/>
        <v>7185</v>
      </c>
      <c r="F44" s="250">
        <f>ROUND('ACF Costs'!C20*LOB2Pop/Pop0to69,0)</f>
        <v>300</v>
      </c>
      <c r="G44" s="98">
        <f t="shared" si="11"/>
        <v>944</v>
      </c>
      <c r="H44" s="171">
        <f t="shared" si="12"/>
        <v>261</v>
      </c>
      <c r="I44" s="97">
        <f t="shared" si="13"/>
        <v>1303</v>
      </c>
      <c r="J44" s="98">
        <f t="shared" si="13"/>
        <v>1160</v>
      </c>
      <c r="K44" s="35">
        <f t="shared" si="14"/>
        <v>49</v>
      </c>
      <c r="L44" s="396">
        <f t="shared" si="15"/>
        <v>29</v>
      </c>
    </row>
    <row r="45" spans="1:12">
      <c r="A45" s="78" t="str">
        <f t="shared" si="8"/>
        <v>45 - 49</v>
      </c>
      <c r="B45" s="154">
        <f t="shared" si="9"/>
        <v>0.81499999999999995</v>
      </c>
      <c r="C45" s="320">
        <f>ROUND('Distribution by Risk Class'!C18*RiskAdj,3)</f>
        <v>0.185</v>
      </c>
      <c r="D45" s="97">
        <f t="shared" si="10"/>
        <v>7686</v>
      </c>
      <c r="E45" s="98">
        <f t="shared" si="10"/>
        <v>6590</v>
      </c>
      <c r="F45" s="250">
        <f>ROUND('ACF Costs'!C21*LOB2Pop/Pop0to69,0)</f>
        <v>129</v>
      </c>
      <c r="G45" s="98">
        <f t="shared" si="11"/>
        <v>729</v>
      </c>
      <c r="H45" s="171">
        <f t="shared" si="12"/>
        <v>189</v>
      </c>
      <c r="I45" s="97">
        <f t="shared" si="13"/>
        <v>1745</v>
      </c>
      <c r="J45" s="98">
        <f t="shared" si="13"/>
        <v>1496</v>
      </c>
      <c r="K45" s="35">
        <f t="shared" si="14"/>
        <v>45</v>
      </c>
      <c r="L45" s="396">
        <f t="shared" si="15"/>
        <v>29</v>
      </c>
    </row>
    <row r="46" spans="1:12">
      <c r="A46" s="78" t="str">
        <f t="shared" si="8"/>
        <v>50 - 54</v>
      </c>
      <c r="B46" s="154">
        <f t="shared" si="9"/>
        <v>0.76900000000000002</v>
      </c>
      <c r="C46" s="320">
        <f>ROUND('Distribution by Risk Class'!C19*RiskAdj,3)</f>
        <v>0.23100000000000001</v>
      </c>
      <c r="D46" s="97">
        <f t="shared" si="10"/>
        <v>6591</v>
      </c>
      <c r="E46" s="98">
        <f t="shared" si="10"/>
        <v>5491</v>
      </c>
      <c r="F46" s="250">
        <f>ROUND('ACF Costs'!C22*LOB2Pop/Pop0to69,0)</f>
        <v>57</v>
      </c>
      <c r="G46" s="98">
        <f t="shared" si="11"/>
        <v>462</v>
      </c>
      <c r="H46" s="171">
        <f t="shared" si="12"/>
        <v>114</v>
      </c>
      <c r="I46" s="97">
        <f t="shared" si="13"/>
        <v>1980</v>
      </c>
      <c r="J46" s="98">
        <f t="shared" si="13"/>
        <v>1649</v>
      </c>
      <c r="K46" s="35">
        <f t="shared" si="14"/>
        <v>34</v>
      </c>
      <c r="L46" s="396">
        <f t="shared" si="15"/>
        <v>23</v>
      </c>
    </row>
    <row r="47" spans="1:12">
      <c r="A47" s="78" t="str">
        <f t="shared" si="8"/>
        <v>55 - 59</v>
      </c>
      <c r="B47" s="154">
        <f t="shared" si="9"/>
        <v>0.67599999999999993</v>
      </c>
      <c r="C47" s="320">
        <f>ROUND('Distribution by Risk Class'!C20*RiskAdj,3)</f>
        <v>0.32400000000000001</v>
      </c>
      <c r="D47" s="97">
        <f t="shared" si="10"/>
        <v>5941</v>
      </c>
      <c r="E47" s="98">
        <f t="shared" si="10"/>
        <v>3191</v>
      </c>
      <c r="F47" s="250">
        <f>ROUND('ACF Costs'!C23*LOB2Pop/Pop0to69,0)</f>
        <v>17</v>
      </c>
      <c r="G47" s="98">
        <f t="shared" si="11"/>
        <v>286</v>
      </c>
      <c r="H47" s="171">
        <f t="shared" si="12"/>
        <v>71</v>
      </c>
      <c r="I47" s="97">
        <f t="shared" si="13"/>
        <v>2848</v>
      </c>
      <c r="J47" s="98">
        <f t="shared" si="13"/>
        <v>1529</v>
      </c>
      <c r="K47" s="35">
        <f t="shared" si="14"/>
        <v>29</v>
      </c>
      <c r="L47" s="396">
        <f t="shared" si="15"/>
        <v>22</v>
      </c>
    </row>
    <row r="48" spans="1:12">
      <c r="A48" s="78" t="str">
        <f t="shared" si="8"/>
        <v>60 - 64</v>
      </c>
      <c r="B48" s="154">
        <f t="shared" si="9"/>
        <v>0.63</v>
      </c>
      <c r="C48" s="320">
        <f>ROUND('Distribution by Risk Class'!C21*RiskAdj,3)</f>
        <v>0.37</v>
      </c>
      <c r="D48" s="97">
        <f t="shared" si="10"/>
        <v>4908</v>
      </c>
      <c r="E48" s="98">
        <f t="shared" si="10"/>
        <v>1616</v>
      </c>
      <c r="F48" s="250">
        <f>ROUND('ACF Costs'!C24*LOB2Pop/Pop0to69,0)</f>
        <v>5</v>
      </c>
      <c r="G48" s="98">
        <f t="shared" si="11"/>
        <v>137</v>
      </c>
      <c r="H48" s="171">
        <f t="shared" si="12"/>
        <v>39</v>
      </c>
      <c r="I48" s="97">
        <f t="shared" si="13"/>
        <v>2882</v>
      </c>
      <c r="J48" s="98">
        <f t="shared" si="13"/>
        <v>949</v>
      </c>
      <c r="K48" s="35">
        <f t="shared" si="14"/>
        <v>16</v>
      </c>
      <c r="L48" s="396">
        <f t="shared" si="15"/>
        <v>14</v>
      </c>
    </row>
    <row r="49" spans="1:12">
      <c r="A49" s="78" t="str">
        <f t="shared" si="8"/>
        <v>65 - 69</v>
      </c>
      <c r="B49" s="154">
        <f t="shared" si="9"/>
        <v>0.58400000000000007</v>
      </c>
      <c r="C49" s="320">
        <f>ROUND('Distribution by Risk Class'!C22*RiskAdj,3)</f>
        <v>0.41599999999999998</v>
      </c>
      <c r="D49" s="97">
        <f t="shared" si="10"/>
        <v>4087</v>
      </c>
      <c r="E49" s="98">
        <f t="shared" si="10"/>
        <v>707</v>
      </c>
      <c r="F49" s="250">
        <f>ROUND('ACF Costs'!C25*LOB2Pop/Pop0to69,0)</f>
        <v>2</v>
      </c>
      <c r="G49" s="98">
        <f t="shared" si="11"/>
        <v>72</v>
      </c>
      <c r="H49" s="171">
        <f t="shared" si="12"/>
        <v>19</v>
      </c>
      <c r="I49" s="97">
        <f t="shared" si="13"/>
        <v>2911</v>
      </c>
      <c r="J49" s="98">
        <f t="shared" si="13"/>
        <v>504</v>
      </c>
      <c r="K49" s="35">
        <f t="shared" si="14"/>
        <v>9</v>
      </c>
      <c r="L49" s="396">
        <f t="shared" si="15"/>
        <v>9</v>
      </c>
    </row>
    <row r="50" spans="1:12">
      <c r="A50" s="78" t="str">
        <f t="shared" si="8"/>
        <v>70 - 74</v>
      </c>
      <c r="B50" s="154">
        <f t="shared" si="9"/>
        <v>0.53699999999999992</v>
      </c>
      <c r="C50" s="320">
        <f>ROUND('Distribution by Risk Class'!C23*RiskAdj,3)</f>
        <v>0.46300000000000002</v>
      </c>
      <c r="D50" s="97">
        <f t="shared" si="10"/>
        <v>0</v>
      </c>
      <c r="E50" s="98">
        <f t="shared" si="10"/>
        <v>0</v>
      </c>
      <c r="F50" s="250">
        <f>ROUND('ACF Costs'!C26*LOB2Pop/Pop0to69,0)</f>
        <v>0</v>
      </c>
      <c r="G50" s="98">
        <f t="shared" si="11"/>
        <v>0</v>
      </c>
      <c r="H50" s="171">
        <f t="shared" si="12"/>
        <v>0</v>
      </c>
      <c r="I50" s="97">
        <f t="shared" si="13"/>
        <v>0</v>
      </c>
      <c r="J50" s="98">
        <f t="shared" si="13"/>
        <v>0</v>
      </c>
      <c r="K50" s="35">
        <f t="shared" si="14"/>
        <v>0</v>
      </c>
      <c r="L50" s="396">
        <f t="shared" si="15"/>
        <v>0</v>
      </c>
    </row>
    <row r="51" spans="1:12">
      <c r="A51" s="78" t="str">
        <f t="shared" si="8"/>
        <v>75 - 79</v>
      </c>
      <c r="B51" s="154">
        <f t="shared" si="9"/>
        <v>0.49099999999999999</v>
      </c>
      <c r="C51" s="320">
        <f>ROUND('Distribution by Risk Class'!C24*RiskAdj,3)</f>
        <v>0.50900000000000001</v>
      </c>
      <c r="D51" s="97">
        <f t="shared" si="10"/>
        <v>0</v>
      </c>
      <c r="E51" s="98">
        <f t="shared" si="10"/>
        <v>0</v>
      </c>
      <c r="F51" s="250">
        <f>ROUND('ACF Costs'!C27*LOB2Pop/Pop0to69,0)</f>
        <v>0</v>
      </c>
      <c r="G51" s="98">
        <f t="shared" si="11"/>
        <v>0</v>
      </c>
      <c r="H51" s="171">
        <f t="shared" si="12"/>
        <v>0</v>
      </c>
      <c r="I51" s="97">
        <f t="shared" si="13"/>
        <v>0</v>
      </c>
      <c r="J51" s="98">
        <f t="shared" si="13"/>
        <v>0</v>
      </c>
      <c r="K51" s="35">
        <f t="shared" si="14"/>
        <v>0</v>
      </c>
      <c r="L51" s="396">
        <f t="shared" si="15"/>
        <v>0</v>
      </c>
    </row>
    <row r="52" spans="1:12">
      <c r="A52" s="78" t="str">
        <f t="shared" si="8"/>
        <v>80 - 84</v>
      </c>
      <c r="B52" s="154">
        <f t="shared" si="9"/>
        <v>0.49099999999999999</v>
      </c>
      <c r="C52" s="320">
        <f>ROUND('Distribution by Risk Class'!C25*RiskAdj,3)</f>
        <v>0.50900000000000001</v>
      </c>
      <c r="D52" s="97">
        <f t="shared" ref="D52:E53" si="16">ROUND($B52*J28,0)</f>
        <v>0</v>
      </c>
      <c r="E52" s="98">
        <f t="shared" si="16"/>
        <v>0</v>
      </c>
      <c r="F52" s="250">
        <f>ROUND('ACF Costs'!C28*LOB2Pop/Pop0to69,0)</f>
        <v>0</v>
      </c>
      <c r="G52" s="98">
        <f t="shared" si="11"/>
        <v>0</v>
      </c>
      <c r="H52" s="171">
        <f t="shared" si="12"/>
        <v>0</v>
      </c>
      <c r="I52" s="97">
        <f t="shared" ref="I52:J53" si="17">ROUND($C52*J28,0)</f>
        <v>0</v>
      </c>
      <c r="J52" s="98">
        <f t="shared" si="17"/>
        <v>0</v>
      </c>
      <c r="K52" s="35">
        <f t="shared" si="14"/>
        <v>0</v>
      </c>
      <c r="L52" s="396">
        <f t="shared" si="15"/>
        <v>0</v>
      </c>
    </row>
    <row r="53" spans="1:12">
      <c r="A53" s="78" t="str">
        <f t="shared" si="8"/>
        <v>85+</v>
      </c>
      <c r="B53" s="155">
        <f t="shared" si="9"/>
        <v>0.49099999999999999</v>
      </c>
      <c r="C53" s="321">
        <f>ROUND('Distribution by Risk Class'!C26*RiskAdj,3)</f>
        <v>0.50900000000000001</v>
      </c>
      <c r="D53" s="100">
        <f t="shared" si="16"/>
        <v>0</v>
      </c>
      <c r="E53" s="32">
        <f t="shared" si="16"/>
        <v>0</v>
      </c>
      <c r="F53" s="272">
        <f>ROUND('ACF Costs'!C29*LOB2Pop/Pop0to69,0)</f>
        <v>0</v>
      </c>
      <c r="G53" s="32">
        <f t="shared" si="11"/>
        <v>0</v>
      </c>
      <c r="H53" s="272">
        <f t="shared" si="12"/>
        <v>0</v>
      </c>
      <c r="I53" s="100">
        <f t="shared" si="17"/>
        <v>0</v>
      </c>
      <c r="J53" s="32">
        <f t="shared" si="17"/>
        <v>0</v>
      </c>
      <c r="K53" s="397">
        <f t="shared" si="14"/>
        <v>0</v>
      </c>
      <c r="L53" s="398">
        <f t="shared" si="15"/>
        <v>0</v>
      </c>
    </row>
    <row r="54" spans="1:12">
      <c r="A54" s="78" t="s">
        <v>1</v>
      </c>
      <c r="B54" s="3"/>
      <c r="C54" s="3"/>
      <c r="D54" s="7">
        <f t="shared" ref="D54:L54" si="18">SUM(D36:D53)</f>
        <v>94382</v>
      </c>
      <c r="E54" s="7">
        <f t="shared" si="18"/>
        <v>76603</v>
      </c>
      <c r="F54" s="7">
        <f t="shared" si="18"/>
        <v>2386</v>
      </c>
      <c r="G54" s="7">
        <f t="shared" si="18"/>
        <v>12610</v>
      </c>
      <c r="H54" s="7">
        <f t="shared" si="18"/>
        <v>3094</v>
      </c>
      <c r="I54" s="7">
        <f t="shared" si="18"/>
        <v>20780</v>
      </c>
      <c r="J54" s="7">
        <f t="shared" si="18"/>
        <v>13637</v>
      </c>
      <c r="K54" s="399">
        <f t="shared" si="18"/>
        <v>551</v>
      </c>
      <c r="L54" s="399">
        <f t="shared" si="18"/>
        <v>350</v>
      </c>
    </row>
    <row r="55" spans="1:12">
      <c r="K55" s="278"/>
    </row>
    <row r="56" spans="1:12">
      <c r="B56" s="45" t="s">
        <v>9</v>
      </c>
      <c r="G56" s="278"/>
    </row>
    <row r="57" spans="1:12">
      <c r="A57" s="384">
        <v>-1</v>
      </c>
      <c r="B57" s="404" t="str">
        <f>LOB_2&amp;" Population"</f>
        <v>LOB_2 Population</v>
      </c>
      <c r="E57" s="383">
        <f>+A66-1</f>
        <v>-11</v>
      </c>
      <c r="F57" s="274" t="str">
        <f>"(" &amp;'Morbidity Distribution'!M1 &amp; ": Column (1))" &amp; " * (8) - (9)"</f>
        <v>(Tab:: Morbidity Distribution: Column (1)) * (8) - (9)</v>
      </c>
      <c r="I57" s="383">
        <f>E65-1</f>
        <v>-20</v>
      </c>
      <c r="J57" s="274" t="s">
        <v>326</v>
      </c>
    </row>
    <row r="58" spans="1:12">
      <c r="A58" s="383">
        <f t="shared" ref="A58:A65" si="19">+A57-1</f>
        <v>-2</v>
      </c>
      <c r="B58" s="274" t="str">
        <f>'Mortality Distribution'!$M$1 &amp; ": Column (3)"</f>
        <v>Tab:: Mortality Distribution: Column (3)</v>
      </c>
      <c r="E58" s="383">
        <f t="shared" ref="E58:E64" si="20">+E57-1</f>
        <v>-12</v>
      </c>
      <c r="F58" s="274" t="s">
        <v>337</v>
      </c>
      <c r="I58" s="383">
        <f>I57-1</f>
        <v>-21</v>
      </c>
      <c r="J58" s="274" t="s">
        <v>327</v>
      </c>
    </row>
    <row r="59" spans="1:12">
      <c r="A59" s="383">
        <f t="shared" si="19"/>
        <v>-3</v>
      </c>
      <c r="B59" s="274" t="str">
        <f>'Morbidity Distribution'!$M$1 &amp; ": Column (4)"</f>
        <v>Tab:: Morbidity Distribution: Column (4)</v>
      </c>
      <c r="E59" s="383">
        <f t="shared" si="20"/>
        <v>-13</v>
      </c>
      <c r="F59" s="274" t="str">
        <f>"(3) * " &amp; 'Distribution by Provider'!$K$1 &amp; ": Column (4)"</f>
        <v>(3) * Tab:: Distribution by Provider: Column (4)</v>
      </c>
      <c r="I59" s="383">
        <f>I58-1</f>
        <v>-22</v>
      </c>
      <c r="J59" s="404" t="str">
        <f>'Morbidity Distribution'!$M$1&amp;": Column (2))"&amp;" /"</f>
        <v>Tab:: Morbidity Distribution: Column (2)) /</v>
      </c>
    </row>
    <row r="60" spans="1:12">
      <c r="A60" s="383">
        <f t="shared" si="19"/>
        <v>-4</v>
      </c>
      <c r="B60" s="274" t="str">
        <f>'Morbidity Distribution'!$M$1 &amp; ": Column (3)"</f>
        <v>Tab:: Morbidity Distribution: Column (3)</v>
      </c>
      <c r="E60" s="383">
        <f t="shared" si="20"/>
        <v>-14</v>
      </c>
      <c r="F60" s="274" t="str">
        <f>"(3) * " &amp; 'Distribution by Provider'!$K$1 &amp; ": Column (5)"</f>
        <v>(3) * Tab:: Distribution by Provider: Column (5)</v>
      </c>
      <c r="J60" s="274" t="str">
        <f>"   (1) * Population 0 to 69"</f>
        <v xml:space="preserve">   (1) * Population 0 to 69</v>
      </c>
    </row>
    <row r="61" spans="1:12">
      <c r="A61" s="383">
        <f t="shared" si="19"/>
        <v>-5</v>
      </c>
      <c r="B61" s="404" t="s">
        <v>338</v>
      </c>
      <c r="E61" s="383">
        <f t="shared" si="20"/>
        <v>-15</v>
      </c>
      <c r="F61" s="274" t="s">
        <v>322</v>
      </c>
      <c r="I61" s="383">
        <f>I59-1</f>
        <v>-23</v>
      </c>
      <c r="J61" s="274" t="s">
        <v>328</v>
      </c>
    </row>
    <row r="62" spans="1:12">
      <c r="A62" s="383">
        <f t="shared" si="19"/>
        <v>-6</v>
      </c>
      <c r="B62" s="274" t="str">
        <f>'Provider Scenario'!J1&amp; ": Column (23)"</f>
        <v>Tab:: Provider Scenario: Column (23)</v>
      </c>
      <c r="E62" s="383">
        <f t="shared" si="20"/>
        <v>-16</v>
      </c>
      <c r="F62" s="274" t="s">
        <v>323</v>
      </c>
      <c r="I62" s="383">
        <f>I61-1</f>
        <v>-24</v>
      </c>
      <c r="J62" s="274" t="s">
        <v>329</v>
      </c>
    </row>
    <row r="63" spans="1:12">
      <c r="A63" s="383">
        <f t="shared" si="19"/>
        <v>-7</v>
      </c>
      <c r="B63" s="274" t="str">
        <f>"Based on " &amp; 'Mortality Distribution'!M1 &amp; ": Column (4)"</f>
        <v>Based on Tab:: Mortality Distribution: Column (4)</v>
      </c>
      <c r="E63" s="383">
        <f t="shared" si="20"/>
        <v>-17</v>
      </c>
      <c r="F63" s="274" t="s">
        <v>324</v>
      </c>
      <c r="I63" s="383">
        <f>I62-1</f>
        <v>-25</v>
      </c>
      <c r="J63" s="274" t="s">
        <v>330</v>
      </c>
    </row>
    <row r="64" spans="1:12">
      <c r="A64" s="383">
        <f t="shared" si="19"/>
        <v>-8</v>
      </c>
      <c r="B64" s="404" t="str">
        <f>"(7) * (1)"</f>
        <v>(7) * (1)</v>
      </c>
      <c r="E64" s="383">
        <f t="shared" si="20"/>
        <v>-18</v>
      </c>
      <c r="F64" s="274" t="s">
        <v>325</v>
      </c>
      <c r="I64" s="383">
        <f>I63-1</f>
        <v>-26</v>
      </c>
      <c r="J64" s="274" t="s">
        <v>331</v>
      </c>
    </row>
    <row r="65" spans="1:10">
      <c r="A65" s="383">
        <f t="shared" si="19"/>
        <v>-9</v>
      </c>
      <c r="B65" s="274" t="str">
        <f>"(2) * (" &amp; 'Mortality Distribution'!$M$1 &amp; ": Column (13))"</f>
        <v>(2) * (Tab:: Mortality Distribution: Column (13))</v>
      </c>
      <c r="E65" s="383">
        <f>E64-1</f>
        <v>-19</v>
      </c>
      <c r="F65" s="274" t="str">
        <f>"(4) * " &amp; 'Distribution by Risk Class'!M1 &amp; ": Column (2)"</f>
        <v>(4) * Tab:: Distribution by Risk Class: Column (2)</v>
      </c>
      <c r="I65" s="383">
        <f>I64-1</f>
        <v>-27</v>
      </c>
      <c r="J65" s="274" t="s">
        <v>332</v>
      </c>
    </row>
    <row r="66" spans="1:10">
      <c r="A66" s="383">
        <f>+A65-1</f>
        <v>-10</v>
      </c>
      <c r="B66" s="274" t="s">
        <v>321</v>
      </c>
      <c r="I66" s="383">
        <f>I65-1</f>
        <v>-28</v>
      </c>
      <c r="J66" s="274" t="s">
        <v>333</v>
      </c>
    </row>
    <row r="67" spans="1:10">
      <c r="A67" s="383"/>
      <c r="G67" s="383"/>
    </row>
    <row r="68" spans="1:10">
      <c r="A68" s="383"/>
      <c r="G68" s="383"/>
    </row>
    <row r="69" spans="1:10">
      <c r="A69" s="383"/>
      <c r="G69" s="383"/>
    </row>
    <row r="70" spans="1:10">
      <c r="A70" s="383"/>
      <c r="G70" s="383"/>
    </row>
  </sheetData>
  <printOptions horizontalCentered="1"/>
  <pageMargins left="0.5" right="0.5" top="0.5" bottom="0.75" header="0.5" footer="0.35"/>
  <pageSetup scale="64" orientation="landscape" r:id="rId1"/>
  <headerFooter alignWithMargins="0">
    <oddFooter>&amp;L&amp;8&amp;F 
&amp;A&amp;C&amp;8MBA Actuaries, Inc.&amp;R&amp;8&amp;D 
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7"/>
  <sheetViews>
    <sheetView zoomScaleNormal="100" workbookViewId="0">
      <selection activeCell="D4" sqref="D4"/>
    </sheetView>
  </sheetViews>
  <sheetFormatPr defaultRowHeight="12.75"/>
  <cols>
    <col min="1" max="1" width="9.140625" style="33"/>
    <col min="2" max="2" width="12.7109375" style="140" customWidth="1"/>
    <col min="3" max="3" width="9.7109375" style="33" customWidth="1"/>
    <col min="4" max="4" width="16.140625" style="33" bestFit="1" customWidth="1"/>
    <col min="5" max="5" width="1.7109375" style="33" customWidth="1"/>
    <col min="6" max="6" width="12.7109375" style="33" customWidth="1"/>
    <col min="7" max="7" width="9.7109375" style="33" customWidth="1"/>
    <col min="8" max="8" width="17.28515625" style="98" customWidth="1"/>
    <col min="9" max="9" width="1.7109375" style="98" customWidth="1"/>
    <col min="10" max="10" width="12.7109375" style="98" customWidth="1"/>
    <col min="11" max="11" width="9.7109375" style="33" customWidth="1"/>
    <col min="12" max="12" width="17.28515625" style="33" bestFit="1" customWidth="1"/>
    <col min="13" max="13" width="1.5703125" style="33" customWidth="1"/>
    <col min="14" max="14" width="9.140625" style="3"/>
    <col min="15" max="15" width="12.7109375" style="3" customWidth="1"/>
    <col min="16" max="16" width="10.7109375" style="3" customWidth="1"/>
    <col min="17" max="17" width="1.7109375" style="3" customWidth="1"/>
    <col min="18" max="18" width="12.7109375" style="3" customWidth="1"/>
    <col min="19" max="19" width="10.7109375" style="3" customWidth="1"/>
    <col min="20" max="20" width="1.42578125" style="3" customWidth="1"/>
    <col min="21" max="21" width="12.7109375" style="3" customWidth="1"/>
    <col min="22" max="22" width="10.7109375" style="3" customWidth="1"/>
    <col min="23" max="16384" width="9.140625" style="3"/>
  </cols>
  <sheetData>
    <row r="1" spans="1:22" s="16" customFormat="1">
      <c r="A1" s="446" t="str">
        <f>scenario</f>
        <v>Severe Scenario, V\ Curve</v>
      </c>
      <c r="K1" s="33"/>
      <c r="M1" s="164" t="s">
        <v>394</v>
      </c>
    </row>
    <row r="2" spans="1:22" s="16" customFormat="1">
      <c r="K2" s="33"/>
      <c r="M2" s="169"/>
    </row>
    <row r="3" spans="1:22" s="16" customFormat="1" ht="15.75">
      <c r="A3" s="52" t="str">
        <f>LOB_2&amp;"  Costs by Provider and Risk Class"</f>
        <v>LOB_2  Costs by Provider and Risk Class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38"/>
      <c r="P3" s="20"/>
    </row>
    <row r="4" spans="1:22" s="16" customFormat="1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0"/>
      <c r="O4" s="271" t="s">
        <v>341</v>
      </c>
      <c r="P4" s="271"/>
      <c r="Q4" s="205"/>
      <c r="R4" s="271" t="s">
        <v>342</v>
      </c>
      <c r="S4" s="271"/>
      <c r="T4" s="205"/>
      <c r="U4" s="271" t="s">
        <v>343</v>
      </c>
      <c r="V4" s="271"/>
    </row>
    <row r="5" spans="1:22" s="33" customFormat="1">
      <c r="A5" s="37" t="s">
        <v>36</v>
      </c>
      <c r="B5" s="138" t="s">
        <v>54</v>
      </c>
      <c r="C5" s="138"/>
      <c r="D5" s="138"/>
      <c r="E5" s="98"/>
      <c r="F5" s="138" t="s">
        <v>60</v>
      </c>
      <c r="G5" s="141"/>
      <c r="H5" s="141"/>
      <c r="I5" s="98"/>
      <c r="J5" s="82" t="s">
        <v>55</v>
      </c>
      <c r="K5" s="82"/>
      <c r="L5" s="82"/>
      <c r="N5" s="37" t="s">
        <v>36</v>
      </c>
      <c r="O5" s="142" t="s">
        <v>1</v>
      </c>
      <c r="P5" s="143" t="s">
        <v>52</v>
      </c>
      <c r="Q5" s="135"/>
      <c r="R5" s="142" t="s">
        <v>1</v>
      </c>
      <c r="S5" s="143" t="s">
        <v>52</v>
      </c>
      <c r="T5" s="98"/>
      <c r="U5" s="142" t="s">
        <v>1</v>
      </c>
      <c r="V5" s="143" t="s">
        <v>52</v>
      </c>
    </row>
    <row r="6" spans="1:22" s="33" customFormat="1">
      <c r="A6" s="37" t="s">
        <v>37</v>
      </c>
      <c r="B6" s="142" t="s">
        <v>34</v>
      </c>
      <c r="C6" s="229" t="s">
        <v>141</v>
      </c>
      <c r="D6" s="229" t="s">
        <v>164</v>
      </c>
      <c r="E6" s="37"/>
      <c r="F6" s="37" t="s">
        <v>34</v>
      </c>
      <c r="G6" s="229" t="s">
        <v>141</v>
      </c>
      <c r="H6" s="229" t="s">
        <v>164</v>
      </c>
      <c r="I6" s="143"/>
      <c r="J6" s="224" t="s">
        <v>38</v>
      </c>
      <c r="K6" s="229" t="s">
        <v>141</v>
      </c>
      <c r="L6" s="229" t="s">
        <v>164</v>
      </c>
      <c r="N6" s="37" t="s">
        <v>37</v>
      </c>
      <c r="O6" s="142" t="s">
        <v>34</v>
      </c>
      <c r="P6" s="37" t="s">
        <v>61</v>
      </c>
      <c r="Q6" s="136"/>
      <c r="R6" s="142" t="s">
        <v>34</v>
      </c>
      <c r="S6" s="37" t="s">
        <v>61</v>
      </c>
      <c r="T6" s="98"/>
      <c r="U6" s="142" t="s">
        <v>34</v>
      </c>
      <c r="V6" s="37" t="s">
        <v>61</v>
      </c>
    </row>
    <row r="7" spans="1:22" s="33" customFormat="1">
      <c r="A7" s="37"/>
      <c r="B7" s="401">
        <v>-1</v>
      </c>
      <c r="C7" s="401">
        <f>B7-1</f>
        <v>-2</v>
      </c>
      <c r="D7" s="401">
        <f>C7-1</f>
        <v>-3</v>
      </c>
      <c r="E7" s="401"/>
      <c r="F7" s="401">
        <f>D7-1</f>
        <v>-4</v>
      </c>
      <c r="G7" s="401">
        <f t="shared" ref="G7:H7" si="0">F7-1</f>
        <v>-5</v>
      </c>
      <c r="H7" s="401">
        <f t="shared" si="0"/>
        <v>-6</v>
      </c>
      <c r="I7" s="401"/>
      <c r="J7" s="401">
        <f>H7-1</f>
        <v>-7</v>
      </c>
      <c r="K7" s="401">
        <f t="shared" ref="K7:L7" si="1">J7-1</f>
        <v>-8</v>
      </c>
      <c r="L7" s="401">
        <f t="shared" si="1"/>
        <v>-9</v>
      </c>
      <c r="M7" s="401">
        <f>L7-1</f>
        <v>-10</v>
      </c>
      <c r="N7" s="401"/>
      <c r="P7" s="37"/>
      <c r="Q7" s="69"/>
      <c r="R7" s="98"/>
      <c r="S7" s="98"/>
      <c r="T7" s="98"/>
      <c r="U7" s="98"/>
      <c r="V7" s="98"/>
    </row>
    <row r="8" spans="1:22" s="33" customFormat="1" ht="5.0999999999999996" customHeight="1">
      <c r="A8" s="37"/>
      <c r="B8" s="142"/>
      <c r="C8" s="37"/>
      <c r="D8" s="37"/>
      <c r="E8" s="37"/>
      <c r="F8" s="37"/>
      <c r="G8" s="143"/>
      <c r="H8" s="143"/>
      <c r="I8" s="143"/>
      <c r="J8" s="224"/>
      <c r="K8" s="224"/>
      <c r="L8" s="224"/>
    </row>
    <row r="9" spans="1:22" s="33" customFormat="1">
      <c r="A9" s="41" t="str">
        <f>+'Morbidity Distribution'!A23</f>
        <v>0 - 4</v>
      </c>
      <c r="B9" s="98">
        <f>+'LOB2 Dist'!E36</f>
        <v>8376</v>
      </c>
      <c r="C9" s="202">
        <f>+'Provider Charges'!B10</f>
        <v>180</v>
      </c>
      <c r="D9" s="171">
        <f t="shared" ref="D9:D26" si="2">+C9*B9</f>
        <v>1507680</v>
      </c>
      <c r="E9" s="171"/>
      <c r="F9" s="171">
        <f>+'LOB2 Dist'!G36</f>
        <v>2361</v>
      </c>
      <c r="G9" s="171">
        <f>+'Provider Charges'!F10</f>
        <v>9900</v>
      </c>
      <c r="H9" s="171">
        <f t="shared" ref="H9:H26" si="3">+G9*F9</f>
        <v>23373900</v>
      </c>
      <c r="I9" s="171"/>
      <c r="J9" s="282">
        <f>+'LOB2 Dist'!H36</f>
        <v>407</v>
      </c>
      <c r="K9" s="282">
        <f>+'Provider Charges'!J10</f>
        <v>31500</v>
      </c>
      <c r="L9" s="35">
        <f t="shared" ref="L9:L26" si="4">+K9*J9</f>
        <v>12820500</v>
      </c>
      <c r="N9" s="41" t="str">
        <f t="shared" ref="N9:N26" si="5">+A33</f>
        <v>0 - 4</v>
      </c>
      <c r="O9" s="98">
        <f t="shared" ref="O9:O26" si="6">+B9+B33</f>
        <v>8780</v>
      </c>
      <c r="P9" s="451">
        <f t="shared" ref="P9:P26" si="7">(D9+D33)/1000000</f>
        <v>1.7601800000000001</v>
      </c>
      <c r="Q9" s="69"/>
      <c r="R9" s="98">
        <f t="shared" ref="R9:R26" si="8">+F9+F33</f>
        <v>2391</v>
      </c>
      <c r="S9" s="451">
        <f t="shared" ref="S9:S26" si="9">(H9+H33)/1000000</f>
        <v>25.4664</v>
      </c>
      <c r="T9" s="98"/>
      <c r="U9" s="98">
        <f t="shared" ref="U9:U26" si="10">+J9+J33</f>
        <v>421</v>
      </c>
      <c r="V9" s="451">
        <f t="shared" ref="V9:V26" si="11">(L9+L33)/1000000</f>
        <v>15.970499999999999</v>
      </c>
    </row>
    <row r="10" spans="1:22" s="33" customFormat="1">
      <c r="A10" s="41" t="str">
        <f>+'Morbidity Distribution'!A24</f>
        <v>5 - 9</v>
      </c>
      <c r="B10" s="98">
        <f>+'LOB2 Dist'!E37</f>
        <v>5776</v>
      </c>
      <c r="C10" s="202">
        <f>+'Provider Charges'!B11</f>
        <v>150</v>
      </c>
      <c r="D10" s="171">
        <f t="shared" si="2"/>
        <v>866400</v>
      </c>
      <c r="E10" s="171"/>
      <c r="F10" s="171">
        <f>+'LOB2 Dist'!G37</f>
        <v>541</v>
      </c>
      <c r="G10" s="171">
        <f>+'Provider Charges'!F11</f>
        <v>13050</v>
      </c>
      <c r="H10" s="171">
        <f t="shared" si="3"/>
        <v>7060050</v>
      </c>
      <c r="I10" s="171"/>
      <c r="J10" s="282">
        <f>+'LOB2 Dist'!H37</f>
        <v>76</v>
      </c>
      <c r="K10" s="282">
        <f>+'Provider Charges'!J11</f>
        <v>22500</v>
      </c>
      <c r="L10" s="35">
        <f t="shared" si="4"/>
        <v>1710000</v>
      </c>
      <c r="N10" s="41" t="str">
        <f t="shared" si="5"/>
        <v>5 - 9</v>
      </c>
      <c r="O10" s="98">
        <f t="shared" si="6"/>
        <v>6368</v>
      </c>
      <c r="P10" s="451">
        <f t="shared" si="7"/>
        <v>1.2363999999999999</v>
      </c>
      <c r="Q10" s="69"/>
      <c r="R10" s="98">
        <f t="shared" si="8"/>
        <v>555</v>
      </c>
      <c r="S10" s="451">
        <f t="shared" si="9"/>
        <v>7.5640499999999999</v>
      </c>
      <c r="T10" s="98"/>
      <c r="U10" s="98">
        <f t="shared" si="10"/>
        <v>82</v>
      </c>
      <c r="V10" s="451">
        <f t="shared" si="11"/>
        <v>2.52</v>
      </c>
    </row>
    <row r="11" spans="1:22" s="33" customFormat="1">
      <c r="A11" s="41" t="str">
        <f>+'Morbidity Distribution'!A25</f>
        <v>10 - 14</v>
      </c>
      <c r="B11" s="98">
        <f>+'LOB2 Dist'!E38</f>
        <v>6251</v>
      </c>
      <c r="C11" s="202">
        <f>+'Provider Charges'!B12</f>
        <v>150</v>
      </c>
      <c r="D11" s="171">
        <f t="shared" si="2"/>
        <v>937650</v>
      </c>
      <c r="E11" s="171"/>
      <c r="F11" s="171">
        <f>+'LOB2 Dist'!G38</f>
        <v>586</v>
      </c>
      <c r="G11" s="171">
        <f>+'Provider Charges'!F12</f>
        <v>13050</v>
      </c>
      <c r="H11" s="171">
        <f>+G11*F11</f>
        <v>7647300</v>
      </c>
      <c r="I11" s="171"/>
      <c r="J11" s="282">
        <f>+'LOB2 Dist'!H38</f>
        <v>82</v>
      </c>
      <c r="K11" s="282">
        <f>+'Provider Charges'!J12</f>
        <v>22500</v>
      </c>
      <c r="L11" s="35">
        <f t="shared" si="4"/>
        <v>1845000</v>
      </c>
      <c r="N11" s="41" t="str">
        <f t="shared" si="5"/>
        <v>10 - 14</v>
      </c>
      <c r="O11" s="98">
        <f t="shared" si="6"/>
        <v>6892</v>
      </c>
      <c r="P11" s="451">
        <f t="shared" si="7"/>
        <v>1.3382750000000001</v>
      </c>
      <c r="Q11" s="69"/>
      <c r="R11" s="98">
        <f t="shared" si="8"/>
        <v>601</v>
      </c>
      <c r="S11" s="451">
        <f t="shared" si="9"/>
        <v>8.1873000000000005</v>
      </c>
      <c r="T11" s="98"/>
      <c r="U11" s="98">
        <f t="shared" si="10"/>
        <v>88</v>
      </c>
      <c r="V11" s="451">
        <f t="shared" si="11"/>
        <v>2.6549999999999998</v>
      </c>
    </row>
    <row r="12" spans="1:22" s="33" customFormat="1">
      <c r="A12" s="41" t="str">
        <f>+'Morbidity Distribution'!A26</f>
        <v>15 - 19</v>
      </c>
      <c r="B12" s="98">
        <f>+'LOB2 Dist'!E39</f>
        <v>6099</v>
      </c>
      <c r="C12" s="202">
        <f>+'Provider Charges'!B13</f>
        <v>150</v>
      </c>
      <c r="D12" s="171">
        <f t="shared" si="2"/>
        <v>914850</v>
      </c>
      <c r="E12" s="171"/>
      <c r="F12" s="171">
        <f>+'LOB2 Dist'!G39</f>
        <v>1000</v>
      </c>
      <c r="G12" s="171">
        <f>+'Provider Charges'!F13</f>
        <v>13050</v>
      </c>
      <c r="H12" s="171">
        <f t="shared" si="3"/>
        <v>13050000</v>
      </c>
      <c r="I12" s="171"/>
      <c r="J12" s="282">
        <f>+'LOB2 Dist'!H39</f>
        <v>245</v>
      </c>
      <c r="K12" s="282">
        <f>+'Provider Charges'!J13</f>
        <v>22500</v>
      </c>
      <c r="L12" s="35">
        <f t="shared" si="4"/>
        <v>5512500</v>
      </c>
      <c r="N12" s="41" t="str">
        <f t="shared" si="5"/>
        <v>15 - 19</v>
      </c>
      <c r="O12" s="98">
        <f t="shared" si="6"/>
        <v>6724</v>
      </c>
      <c r="P12" s="451">
        <f t="shared" si="7"/>
        <v>1.3054749999999999</v>
      </c>
      <c r="Q12" s="69"/>
      <c r="R12" s="98">
        <f t="shared" si="8"/>
        <v>1029</v>
      </c>
      <c r="S12" s="451">
        <f t="shared" si="9"/>
        <v>14.093999999999999</v>
      </c>
      <c r="T12" s="98"/>
      <c r="U12" s="98">
        <f t="shared" si="10"/>
        <v>263</v>
      </c>
      <c r="V12" s="451">
        <f t="shared" si="11"/>
        <v>7.9424999999999999</v>
      </c>
    </row>
    <row r="13" spans="1:22" s="33" customFormat="1">
      <c r="A13" s="41" t="str">
        <f>+'Morbidity Distribution'!A27</f>
        <v>20 - 24</v>
      </c>
      <c r="B13" s="98">
        <f>+'LOB2 Dist'!E40</f>
        <v>6465</v>
      </c>
      <c r="C13" s="202">
        <f>+'Provider Charges'!B14</f>
        <v>180</v>
      </c>
      <c r="D13" s="171">
        <f t="shared" si="2"/>
        <v>1163700</v>
      </c>
      <c r="E13" s="171"/>
      <c r="F13" s="171">
        <f>+'LOB2 Dist'!G40</f>
        <v>1356</v>
      </c>
      <c r="G13" s="171">
        <f>+'Provider Charges'!F14</f>
        <v>16650</v>
      </c>
      <c r="H13" s="171">
        <f t="shared" si="3"/>
        <v>22577400</v>
      </c>
      <c r="I13" s="171"/>
      <c r="J13" s="282">
        <f>+'LOB2 Dist'!H40</f>
        <v>341</v>
      </c>
      <c r="K13" s="282">
        <f>+'Provider Charges'!J14</f>
        <v>67500</v>
      </c>
      <c r="L13" s="35">
        <f t="shared" si="4"/>
        <v>23017500</v>
      </c>
      <c r="N13" s="41" t="str">
        <f t="shared" si="5"/>
        <v>20 - 24</v>
      </c>
      <c r="O13" s="98">
        <f t="shared" si="6"/>
        <v>7509</v>
      </c>
      <c r="P13" s="451">
        <f t="shared" si="7"/>
        <v>1.9988999999999999</v>
      </c>
      <c r="Q13" s="69"/>
      <c r="R13" s="98">
        <f t="shared" si="8"/>
        <v>1419</v>
      </c>
      <c r="S13" s="451">
        <f t="shared" si="9"/>
        <v>25.128900000000002</v>
      </c>
      <c r="T13" s="98"/>
      <c r="U13" s="98">
        <f t="shared" si="10"/>
        <v>379</v>
      </c>
      <c r="V13" s="451">
        <f t="shared" si="11"/>
        <v>25.5825</v>
      </c>
    </row>
    <row r="14" spans="1:22" s="33" customFormat="1">
      <c r="A14" s="41" t="str">
        <f>+'Morbidity Distribution'!A28</f>
        <v>25 - 29</v>
      </c>
      <c r="B14" s="98">
        <f>+'LOB2 Dist'!E41</f>
        <v>5977</v>
      </c>
      <c r="C14" s="202">
        <f>+'Provider Charges'!B15</f>
        <v>180</v>
      </c>
      <c r="D14" s="171">
        <f t="shared" si="2"/>
        <v>1075860</v>
      </c>
      <c r="E14" s="171"/>
      <c r="F14" s="171">
        <f>+'LOB2 Dist'!G41</f>
        <v>1473</v>
      </c>
      <c r="G14" s="171">
        <f>+'Provider Charges'!F15</f>
        <v>16650</v>
      </c>
      <c r="H14" s="171">
        <f t="shared" si="3"/>
        <v>24525450</v>
      </c>
      <c r="I14" s="171"/>
      <c r="J14" s="171">
        <f>+'LOB2 Dist'!H41</f>
        <v>466</v>
      </c>
      <c r="K14" s="171">
        <f>+'Provider Charges'!J15</f>
        <v>67500</v>
      </c>
      <c r="L14" s="98">
        <f t="shared" si="4"/>
        <v>31455000</v>
      </c>
      <c r="N14" s="41" t="str">
        <f t="shared" si="5"/>
        <v>25 - 29</v>
      </c>
      <c r="O14" s="98">
        <f t="shared" si="6"/>
        <v>6942</v>
      </c>
      <c r="P14" s="451">
        <f t="shared" si="7"/>
        <v>1.8478600000000001</v>
      </c>
      <c r="Q14" s="69"/>
      <c r="R14" s="98">
        <f t="shared" si="8"/>
        <v>1548</v>
      </c>
      <c r="S14" s="451">
        <f t="shared" si="9"/>
        <v>27.562950000000001</v>
      </c>
      <c r="T14" s="98"/>
      <c r="U14" s="98">
        <f t="shared" si="10"/>
        <v>519</v>
      </c>
      <c r="V14" s="451">
        <f t="shared" si="11"/>
        <v>35.032499999999999</v>
      </c>
    </row>
    <row r="15" spans="1:22" s="33" customFormat="1">
      <c r="A15" s="41" t="str">
        <f>+'Morbidity Distribution'!A29</f>
        <v>30 - 34</v>
      </c>
      <c r="B15" s="98">
        <f>+'LOB2 Dist'!E42</f>
        <v>6305</v>
      </c>
      <c r="C15" s="202">
        <f>+'Provider Charges'!B16</f>
        <v>180</v>
      </c>
      <c r="D15" s="171">
        <f t="shared" si="2"/>
        <v>1134900</v>
      </c>
      <c r="E15" s="171"/>
      <c r="F15" s="171">
        <f>+'LOB2 Dist'!G42</f>
        <v>1476</v>
      </c>
      <c r="G15" s="171">
        <f>+'Provider Charges'!F16</f>
        <v>16650</v>
      </c>
      <c r="H15" s="171">
        <f t="shared" si="3"/>
        <v>24575400</v>
      </c>
      <c r="I15" s="171"/>
      <c r="J15" s="171">
        <f>+'LOB2 Dist'!H42</f>
        <v>491</v>
      </c>
      <c r="K15" s="171">
        <f>+'Provider Charges'!J16</f>
        <v>67500</v>
      </c>
      <c r="L15" s="98">
        <f t="shared" si="4"/>
        <v>33142500</v>
      </c>
      <c r="N15" s="41" t="str">
        <f t="shared" si="5"/>
        <v>30 - 34</v>
      </c>
      <c r="O15" s="98">
        <f t="shared" si="6"/>
        <v>7323</v>
      </c>
      <c r="P15" s="451">
        <f t="shared" si="7"/>
        <v>1.9493</v>
      </c>
      <c r="Q15" s="69"/>
      <c r="R15" s="98">
        <f t="shared" si="8"/>
        <v>1555</v>
      </c>
      <c r="S15" s="451">
        <f t="shared" si="9"/>
        <v>27.774899999999999</v>
      </c>
      <c r="T15" s="98"/>
      <c r="U15" s="98">
        <f t="shared" si="10"/>
        <v>547</v>
      </c>
      <c r="V15" s="451">
        <f t="shared" si="11"/>
        <v>36.922499999999999</v>
      </c>
    </row>
    <row r="16" spans="1:22" s="33" customFormat="1">
      <c r="A16" s="41" t="str">
        <f>+'Morbidity Distribution'!A30</f>
        <v>35 - 39</v>
      </c>
      <c r="B16" s="98">
        <f>+'LOB2 Dist'!E43</f>
        <v>6574</v>
      </c>
      <c r="C16" s="202">
        <f>+'Provider Charges'!B17</f>
        <v>180</v>
      </c>
      <c r="D16" s="171">
        <f t="shared" si="2"/>
        <v>1183320</v>
      </c>
      <c r="E16" s="171"/>
      <c r="F16" s="171">
        <f>+'LOB2 Dist'!G43</f>
        <v>1187</v>
      </c>
      <c r="G16" s="171">
        <f>+'Provider Charges'!F17</f>
        <v>16650</v>
      </c>
      <c r="H16" s="171">
        <f t="shared" si="3"/>
        <v>19763550</v>
      </c>
      <c r="I16" s="171"/>
      <c r="J16" s="171">
        <f>+'LOB2 Dist'!H43</f>
        <v>293</v>
      </c>
      <c r="K16" s="171">
        <f>+'Provider Charges'!J17</f>
        <v>67500</v>
      </c>
      <c r="L16" s="98">
        <f t="shared" si="4"/>
        <v>19777500</v>
      </c>
      <c r="N16" s="41" t="str">
        <f t="shared" si="5"/>
        <v>35 - 39</v>
      </c>
      <c r="O16" s="98">
        <f t="shared" si="6"/>
        <v>7635</v>
      </c>
      <c r="P16" s="451">
        <f t="shared" si="7"/>
        <v>2.0321199999999999</v>
      </c>
      <c r="Q16" s="69"/>
      <c r="R16" s="98">
        <f t="shared" si="8"/>
        <v>1251</v>
      </c>
      <c r="S16" s="451">
        <f t="shared" si="9"/>
        <v>22.355550000000001</v>
      </c>
      <c r="T16" s="98"/>
      <c r="U16" s="98">
        <f t="shared" si="10"/>
        <v>326</v>
      </c>
      <c r="V16" s="451">
        <f t="shared" si="11"/>
        <v>22.004999999999999</v>
      </c>
    </row>
    <row r="17" spans="1:22" s="33" customFormat="1">
      <c r="A17" s="41" t="str">
        <f>+'Morbidity Distribution'!A31</f>
        <v>40 - 44</v>
      </c>
      <c r="B17" s="98">
        <f>+'LOB2 Dist'!E44</f>
        <v>7185</v>
      </c>
      <c r="C17" s="202">
        <f>+'Provider Charges'!B18</f>
        <v>180</v>
      </c>
      <c r="D17" s="171">
        <f t="shared" si="2"/>
        <v>1293300</v>
      </c>
      <c r="E17" s="171"/>
      <c r="F17" s="171">
        <f>+'LOB2 Dist'!G44</f>
        <v>944</v>
      </c>
      <c r="G17" s="171">
        <f>+'Provider Charges'!F18</f>
        <v>16650</v>
      </c>
      <c r="H17" s="171">
        <f t="shared" si="3"/>
        <v>15717600</v>
      </c>
      <c r="I17" s="171"/>
      <c r="J17" s="171">
        <f>+'LOB2 Dist'!H44</f>
        <v>261</v>
      </c>
      <c r="K17" s="171">
        <f>+'Provider Charges'!J18</f>
        <v>67500</v>
      </c>
      <c r="L17" s="98">
        <f t="shared" si="4"/>
        <v>17617500</v>
      </c>
      <c r="N17" s="41" t="str">
        <f t="shared" si="5"/>
        <v>40 - 44</v>
      </c>
      <c r="O17" s="98">
        <f t="shared" si="6"/>
        <v>8345</v>
      </c>
      <c r="P17" s="451">
        <f t="shared" si="7"/>
        <v>2.2212999999999998</v>
      </c>
      <c r="Q17" s="69"/>
      <c r="R17" s="98">
        <f t="shared" si="8"/>
        <v>993</v>
      </c>
      <c r="S17" s="451">
        <f t="shared" si="9"/>
        <v>17.702100000000002</v>
      </c>
      <c r="T17" s="98"/>
      <c r="U17" s="98">
        <f t="shared" si="10"/>
        <v>290</v>
      </c>
      <c r="V17" s="451">
        <f t="shared" si="11"/>
        <v>19.574999999999999</v>
      </c>
    </row>
    <row r="18" spans="1:22" s="33" customFormat="1">
      <c r="A18" s="41" t="str">
        <f>+'Morbidity Distribution'!A32</f>
        <v>45 - 49</v>
      </c>
      <c r="B18" s="98">
        <f>+'LOB2 Dist'!E45</f>
        <v>6590</v>
      </c>
      <c r="C18" s="202">
        <f>+'Provider Charges'!B19</f>
        <v>180</v>
      </c>
      <c r="D18" s="171">
        <f t="shared" si="2"/>
        <v>1186200</v>
      </c>
      <c r="E18" s="171"/>
      <c r="F18" s="171">
        <f>+'LOB2 Dist'!G45</f>
        <v>729</v>
      </c>
      <c r="G18" s="171">
        <f>+'Provider Charges'!F19</f>
        <v>16650</v>
      </c>
      <c r="H18" s="171">
        <f t="shared" si="3"/>
        <v>12137850</v>
      </c>
      <c r="I18" s="171"/>
      <c r="J18" s="171">
        <f>+'LOB2 Dist'!H45</f>
        <v>189</v>
      </c>
      <c r="K18" s="171">
        <f>+'Provider Charges'!J19</f>
        <v>81000</v>
      </c>
      <c r="L18" s="98">
        <f t="shared" si="4"/>
        <v>15309000</v>
      </c>
      <c r="N18" s="41" t="str">
        <f t="shared" si="5"/>
        <v>45 - 49</v>
      </c>
      <c r="O18" s="98">
        <f t="shared" si="6"/>
        <v>8086</v>
      </c>
      <c r="P18" s="451">
        <f t="shared" si="7"/>
        <v>2.383</v>
      </c>
      <c r="Q18" s="69"/>
      <c r="R18" s="98">
        <f t="shared" si="8"/>
        <v>774</v>
      </c>
      <c r="S18" s="451">
        <f t="shared" si="9"/>
        <v>13.96035</v>
      </c>
      <c r="T18" s="98"/>
      <c r="U18" s="98">
        <f t="shared" si="10"/>
        <v>218</v>
      </c>
      <c r="V18" s="451">
        <f t="shared" si="11"/>
        <v>17.658000000000001</v>
      </c>
    </row>
    <row r="19" spans="1:22" s="33" customFormat="1">
      <c r="A19" s="41" t="str">
        <f>+'Morbidity Distribution'!A33</f>
        <v>50 - 54</v>
      </c>
      <c r="B19" s="98">
        <f>+'LOB2 Dist'!E46</f>
        <v>5491</v>
      </c>
      <c r="C19" s="202">
        <f>+'Provider Charges'!B20</f>
        <v>250</v>
      </c>
      <c r="D19" s="171">
        <f t="shared" si="2"/>
        <v>1372750</v>
      </c>
      <c r="E19" s="171"/>
      <c r="F19" s="171">
        <f>+'LOB2 Dist'!G46</f>
        <v>462</v>
      </c>
      <c r="G19" s="171">
        <f>+'Provider Charges'!F20</f>
        <v>20250</v>
      </c>
      <c r="H19" s="171">
        <f t="shared" si="3"/>
        <v>9355500</v>
      </c>
      <c r="I19" s="171"/>
      <c r="J19" s="171">
        <f>+'LOB2 Dist'!H46</f>
        <v>114</v>
      </c>
      <c r="K19" s="171">
        <f>+'Provider Charges'!J20</f>
        <v>108000</v>
      </c>
      <c r="L19" s="98">
        <f t="shared" si="4"/>
        <v>12312000</v>
      </c>
      <c r="N19" s="41" t="str">
        <f t="shared" si="5"/>
        <v>50 - 54</v>
      </c>
      <c r="O19" s="98">
        <f t="shared" si="6"/>
        <v>7140</v>
      </c>
      <c r="P19" s="451">
        <f t="shared" si="7"/>
        <v>2.6919499999999998</v>
      </c>
      <c r="Q19" s="69"/>
      <c r="R19" s="98">
        <f t="shared" si="8"/>
        <v>496</v>
      </c>
      <c r="S19" s="451">
        <f t="shared" si="9"/>
        <v>10.579499999999999</v>
      </c>
      <c r="T19" s="98"/>
      <c r="U19" s="98">
        <f t="shared" si="10"/>
        <v>137</v>
      </c>
      <c r="V19" s="451">
        <f t="shared" si="11"/>
        <v>14.795999999999999</v>
      </c>
    </row>
    <row r="20" spans="1:22" s="33" customFormat="1">
      <c r="A20" s="41" t="str">
        <f>+'Morbidity Distribution'!A34</f>
        <v>55 - 59</v>
      </c>
      <c r="B20" s="98">
        <f>+'LOB2 Dist'!E47</f>
        <v>3191</v>
      </c>
      <c r="C20" s="202">
        <f>+'Provider Charges'!B21</f>
        <v>250</v>
      </c>
      <c r="D20" s="171">
        <f t="shared" si="2"/>
        <v>797750</v>
      </c>
      <c r="E20" s="171"/>
      <c r="F20" s="171">
        <f>+'LOB2 Dist'!G47</f>
        <v>286</v>
      </c>
      <c r="G20" s="171">
        <f>+'Provider Charges'!F21</f>
        <v>20250</v>
      </c>
      <c r="H20" s="171">
        <f t="shared" si="3"/>
        <v>5791500</v>
      </c>
      <c r="I20" s="171"/>
      <c r="J20" s="171">
        <f>+'LOB2 Dist'!H47</f>
        <v>71</v>
      </c>
      <c r="K20" s="171">
        <f>+'Provider Charges'!J21</f>
        <v>108000</v>
      </c>
      <c r="L20" s="98">
        <f t="shared" si="4"/>
        <v>7668000</v>
      </c>
      <c r="N20" s="41" t="str">
        <f t="shared" si="5"/>
        <v>55 - 59</v>
      </c>
      <c r="O20" s="98">
        <f t="shared" si="6"/>
        <v>4720</v>
      </c>
      <c r="P20" s="451">
        <f t="shared" si="7"/>
        <v>2.02095</v>
      </c>
      <c r="Q20" s="69"/>
      <c r="R20" s="98">
        <f t="shared" si="8"/>
        <v>315</v>
      </c>
      <c r="S20" s="451">
        <f t="shared" si="9"/>
        <v>6.8354999999999997</v>
      </c>
      <c r="T20" s="98"/>
      <c r="U20" s="98">
        <f t="shared" si="10"/>
        <v>93</v>
      </c>
      <c r="V20" s="451">
        <f t="shared" si="11"/>
        <v>10.044</v>
      </c>
    </row>
    <row r="21" spans="1:22" s="33" customFormat="1">
      <c r="A21" s="41" t="str">
        <f>+'Morbidity Distribution'!A35</f>
        <v>60 - 64</v>
      </c>
      <c r="B21" s="98">
        <f>+'LOB2 Dist'!E48</f>
        <v>1616</v>
      </c>
      <c r="C21" s="202">
        <f>+'Provider Charges'!B22</f>
        <v>250</v>
      </c>
      <c r="D21" s="171">
        <f t="shared" si="2"/>
        <v>404000</v>
      </c>
      <c r="E21" s="171"/>
      <c r="F21" s="171">
        <f>+'LOB2 Dist'!G48</f>
        <v>137</v>
      </c>
      <c r="G21" s="171">
        <f>+'Provider Charges'!F22</f>
        <v>20250</v>
      </c>
      <c r="H21" s="171">
        <f t="shared" si="3"/>
        <v>2774250</v>
      </c>
      <c r="I21" s="171"/>
      <c r="J21" s="171">
        <f>+'LOB2 Dist'!H48</f>
        <v>39</v>
      </c>
      <c r="K21" s="171">
        <f>+'Provider Charges'!J22</f>
        <v>108000</v>
      </c>
      <c r="L21" s="98">
        <f t="shared" si="4"/>
        <v>4212000</v>
      </c>
      <c r="N21" s="41" t="str">
        <f t="shared" si="5"/>
        <v>60 - 64</v>
      </c>
      <c r="O21" s="98">
        <f t="shared" si="6"/>
        <v>2565</v>
      </c>
      <c r="P21" s="451">
        <f t="shared" si="7"/>
        <v>1.1632</v>
      </c>
      <c r="Q21" s="69"/>
      <c r="R21" s="98">
        <f t="shared" si="8"/>
        <v>153</v>
      </c>
      <c r="S21" s="451">
        <f t="shared" si="9"/>
        <v>3.35025</v>
      </c>
      <c r="T21" s="98"/>
      <c r="U21" s="98">
        <f t="shared" si="10"/>
        <v>53</v>
      </c>
      <c r="V21" s="451">
        <f t="shared" si="11"/>
        <v>5.7240000000000002</v>
      </c>
    </row>
    <row r="22" spans="1:22" s="33" customFormat="1">
      <c r="A22" s="41" t="str">
        <f>+'Morbidity Distribution'!A36</f>
        <v>65 - 69</v>
      </c>
      <c r="B22" s="98">
        <f>+'LOB2 Dist'!E49</f>
        <v>707</v>
      </c>
      <c r="C22" s="202">
        <f>+'Provider Charges'!B23</f>
        <v>225</v>
      </c>
      <c r="D22" s="171">
        <f t="shared" si="2"/>
        <v>159075</v>
      </c>
      <c r="E22" s="171"/>
      <c r="F22" s="171">
        <f>+'LOB2 Dist'!G49</f>
        <v>72</v>
      </c>
      <c r="G22" s="171">
        <f>+'Provider Charges'!F23</f>
        <v>11250</v>
      </c>
      <c r="H22" s="171">
        <f t="shared" si="3"/>
        <v>810000</v>
      </c>
      <c r="I22" s="171"/>
      <c r="J22" s="171">
        <f>+'LOB2 Dist'!H49</f>
        <v>19</v>
      </c>
      <c r="K22" s="171">
        <f>+'Provider Charges'!J23</f>
        <v>54000</v>
      </c>
      <c r="L22" s="98">
        <f t="shared" si="4"/>
        <v>1026000</v>
      </c>
      <c r="N22" s="41" t="str">
        <f t="shared" si="5"/>
        <v>65 - 69</v>
      </c>
      <c r="O22" s="98">
        <f t="shared" si="6"/>
        <v>1211</v>
      </c>
      <c r="P22" s="451">
        <f t="shared" si="7"/>
        <v>0.48667500000000002</v>
      </c>
      <c r="Q22" s="69"/>
      <c r="R22" s="98">
        <f t="shared" si="8"/>
        <v>81</v>
      </c>
      <c r="S22" s="451">
        <f t="shared" si="9"/>
        <v>1.0125</v>
      </c>
      <c r="T22" s="98"/>
      <c r="U22" s="98">
        <f t="shared" si="10"/>
        <v>28</v>
      </c>
      <c r="V22" s="451">
        <f t="shared" si="11"/>
        <v>1.512</v>
      </c>
    </row>
    <row r="23" spans="1:22" s="33" customFormat="1">
      <c r="A23" s="41" t="str">
        <f>+'Morbidity Distribution'!A37</f>
        <v>70 - 74</v>
      </c>
      <c r="B23" s="98">
        <f>+'LOB2 Dist'!E50</f>
        <v>0</v>
      </c>
      <c r="C23" s="202">
        <f>+'Provider Charges'!B24</f>
        <v>225</v>
      </c>
      <c r="D23" s="171">
        <f t="shared" si="2"/>
        <v>0</v>
      </c>
      <c r="E23" s="171"/>
      <c r="F23" s="171">
        <f>+'LOB2 Dist'!G50</f>
        <v>0</v>
      </c>
      <c r="G23" s="171">
        <f>+'Provider Charges'!F24</f>
        <v>10350</v>
      </c>
      <c r="H23" s="171">
        <f t="shared" si="3"/>
        <v>0</v>
      </c>
      <c r="I23" s="171"/>
      <c r="J23" s="171">
        <f>+'LOB2 Dist'!H50</f>
        <v>0</v>
      </c>
      <c r="K23" s="171">
        <f>+'Provider Charges'!J24</f>
        <v>31950</v>
      </c>
      <c r="L23" s="98">
        <f t="shared" si="4"/>
        <v>0</v>
      </c>
      <c r="N23" s="41" t="str">
        <f t="shared" si="5"/>
        <v>70 - 74</v>
      </c>
      <c r="O23" s="98">
        <f t="shared" si="6"/>
        <v>0</v>
      </c>
      <c r="P23" s="451">
        <f t="shared" si="7"/>
        <v>0</v>
      </c>
      <c r="Q23" s="69"/>
      <c r="R23" s="98">
        <f t="shared" si="8"/>
        <v>0</v>
      </c>
      <c r="S23" s="451">
        <f t="shared" si="9"/>
        <v>0</v>
      </c>
      <c r="T23" s="98"/>
      <c r="U23" s="98">
        <f t="shared" si="10"/>
        <v>0</v>
      </c>
      <c r="V23" s="451">
        <f t="shared" si="11"/>
        <v>0</v>
      </c>
    </row>
    <row r="24" spans="1:22" s="33" customFormat="1">
      <c r="A24" s="41" t="str">
        <f>+'Morbidity Distribution'!A38</f>
        <v>75 - 79</v>
      </c>
      <c r="B24" s="98">
        <f>+'LOB2 Dist'!E51</f>
        <v>0</v>
      </c>
      <c r="C24" s="202">
        <f>+'Provider Charges'!B25</f>
        <v>225</v>
      </c>
      <c r="D24" s="171">
        <f t="shared" si="2"/>
        <v>0</v>
      </c>
      <c r="E24" s="171"/>
      <c r="F24" s="171">
        <f>+'LOB2 Dist'!G51</f>
        <v>0</v>
      </c>
      <c r="G24" s="171">
        <f>+'Provider Charges'!F25</f>
        <v>10350</v>
      </c>
      <c r="H24" s="171">
        <f t="shared" si="3"/>
        <v>0</v>
      </c>
      <c r="I24" s="171"/>
      <c r="J24" s="171">
        <f>+'LOB2 Dist'!H51</f>
        <v>0</v>
      </c>
      <c r="K24" s="171">
        <f>+'Provider Charges'!J25</f>
        <v>31950</v>
      </c>
      <c r="L24" s="98">
        <f t="shared" si="4"/>
        <v>0</v>
      </c>
      <c r="N24" s="41" t="str">
        <f t="shared" si="5"/>
        <v>75 - 79</v>
      </c>
      <c r="O24" s="98">
        <f t="shared" si="6"/>
        <v>0</v>
      </c>
      <c r="P24" s="451">
        <f t="shared" si="7"/>
        <v>0</v>
      </c>
      <c r="Q24" s="69"/>
      <c r="R24" s="98">
        <f t="shared" si="8"/>
        <v>0</v>
      </c>
      <c r="S24" s="451">
        <f t="shared" si="9"/>
        <v>0</v>
      </c>
      <c r="T24" s="98"/>
      <c r="U24" s="98">
        <f t="shared" si="10"/>
        <v>0</v>
      </c>
      <c r="V24" s="451">
        <f t="shared" si="11"/>
        <v>0</v>
      </c>
    </row>
    <row r="25" spans="1:22" s="33" customFormat="1">
      <c r="A25" s="41" t="str">
        <f>+'Morbidity Distribution'!A39</f>
        <v>80 - 84</v>
      </c>
      <c r="B25" s="98">
        <f>+'LOB2 Dist'!E52</f>
        <v>0</v>
      </c>
      <c r="C25" s="202">
        <f>+'Provider Charges'!B26</f>
        <v>225</v>
      </c>
      <c r="D25" s="171">
        <f t="shared" si="2"/>
        <v>0</v>
      </c>
      <c r="E25" s="171"/>
      <c r="F25" s="171">
        <f>+'LOB2 Dist'!G52</f>
        <v>0</v>
      </c>
      <c r="G25" s="171">
        <f>+'Provider Charges'!F26</f>
        <v>10350</v>
      </c>
      <c r="H25" s="171">
        <f t="shared" si="3"/>
        <v>0</v>
      </c>
      <c r="I25" s="171"/>
      <c r="J25" s="171">
        <f>+'LOB2 Dist'!H52</f>
        <v>0</v>
      </c>
      <c r="K25" s="171">
        <f>+'Provider Charges'!J26</f>
        <v>31950</v>
      </c>
      <c r="L25" s="98">
        <f t="shared" si="4"/>
        <v>0</v>
      </c>
      <c r="N25" s="41" t="str">
        <f t="shared" si="5"/>
        <v>80 - 84</v>
      </c>
      <c r="O25" s="98">
        <f t="shared" si="6"/>
        <v>0</v>
      </c>
      <c r="P25" s="451">
        <f t="shared" si="7"/>
        <v>0</v>
      </c>
      <c r="Q25" s="69"/>
      <c r="R25" s="98">
        <f t="shared" si="8"/>
        <v>0</v>
      </c>
      <c r="S25" s="451">
        <f t="shared" si="9"/>
        <v>0</v>
      </c>
      <c r="T25" s="98"/>
      <c r="U25" s="98">
        <f t="shared" si="10"/>
        <v>0</v>
      </c>
      <c r="V25" s="451">
        <f t="shared" si="11"/>
        <v>0</v>
      </c>
    </row>
    <row r="26" spans="1:22" s="33" customFormat="1">
      <c r="A26" s="41" t="str">
        <f>+'Morbidity Distribution'!A40</f>
        <v>85+</v>
      </c>
      <c r="B26" s="98">
        <f>+'LOB2 Dist'!E53</f>
        <v>0</v>
      </c>
      <c r="C26" s="202">
        <f>+'Provider Charges'!B27</f>
        <v>225</v>
      </c>
      <c r="D26" s="171">
        <f t="shared" si="2"/>
        <v>0</v>
      </c>
      <c r="E26" s="171"/>
      <c r="F26" s="171">
        <f>+'LOB2 Dist'!G53</f>
        <v>0</v>
      </c>
      <c r="G26" s="171">
        <f>+'Provider Charges'!F27</f>
        <v>10350</v>
      </c>
      <c r="H26" s="171">
        <f t="shared" si="3"/>
        <v>0</v>
      </c>
      <c r="I26" s="171"/>
      <c r="J26" s="171">
        <f>+'LOB2 Dist'!H53</f>
        <v>0</v>
      </c>
      <c r="K26" s="171">
        <f>+'Provider Charges'!J27</f>
        <v>31950</v>
      </c>
      <c r="L26" s="98">
        <f t="shared" si="4"/>
        <v>0</v>
      </c>
      <c r="N26" s="41" t="str">
        <f t="shared" si="5"/>
        <v>85+</v>
      </c>
      <c r="O26" s="98">
        <f t="shared" si="6"/>
        <v>0</v>
      </c>
      <c r="P26" s="451">
        <f t="shared" si="7"/>
        <v>0</v>
      </c>
      <c r="Q26" s="69"/>
      <c r="R26" s="98">
        <f t="shared" si="8"/>
        <v>0</v>
      </c>
      <c r="S26" s="451">
        <f t="shared" si="9"/>
        <v>0</v>
      </c>
      <c r="T26" s="98"/>
      <c r="U26" s="98">
        <f t="shared" si="10"/>
        <v>0</v>
      </c>
      <c r="V26" s="451">
        <f t="shared" si="11"/>
        <v>0</v>
      </c>
    </row>
    <row r="27" spans="1:22" s="33" customFormat="1">
      <c r="A27" s="79" t="str">
        <f>+'Morbidity Distribution'!A41</f>
        <v>Total</v>
      </c>
      <c r="B27" s="98">
        <f>SUM(B9:B26)</f>
        <v>76603</v>
      </c>
      <c r="C27" s="202"/>
      <c r="D27" s="171">
        <f>SUM(D9:D26)</f>
        <v>13997435</v>
      </c>
      <c r="E27" s="171"/>
      <c r="F27" s="171">
        <f>SUM(F9:F26)</f>
        <v>12610</v>
      </c>
      <c r="G27" s="171"/>
      <c r="H27" s="171">
        <f>SUM(H9:H26)</f>
        <v>189159750</v>
      </c>
      <c r="I27" s="171"/>
      <c r="J27" s="171">
        <f>SUM(J9:J26)</f>
        <v>3094</v>
      </c>
      <c r="K27" s="171"/>
      <c r="L27" s="98">
        <f>SUM(L9:L26)</f>
        <v>187425000</v>
      </c>
      <c r="N27" s="41" t="s">
        <v>1</v>
      </c>
      <c r="O27" s="144">
        <f>SUM(O9:O26)</f>
        <v>90240</v>
      </c>
      <c r="P27" s="451">
        <f>SUM(P9:P26)</f>
        <v>24.435584999999996</v>
      </c>
      <c r="Q27" s="69"/>
      <c r="R27" s="144">
        <f>SUM(R9:R26)</f>
        <v>13161</v>
      </c>
      <c r="S27" s="451">
        <f>SUM(S9:S26)</f>
        <v>211.57424999999998</v>
      </c>
      <c r="T27" s="98"/>
      <c r="U27" s="144">
        <f>SUM(U9:U26)</f>
        <v>3444</v>
      </c>
      <c r="V27" s="451">
        <f>SUM(V9:V26)</f>
        <v>217.93949999999998</v>
      </c>
    </row>
    <row r="28" spans="1:22" s="33" customFormat="1">
      <c r="A28" s="79"/>
      <c r="B28" s="98"/>
      <c r="C28" s="202"/>
      <c r="D28" s="171"/>
      <c r="E28" s="171"/>
      <c r="F28" s="171"/>
      <c r="G28" s="171"/>
      <c r="H28" s="171"/>
      <c r="I28" s="171"/>
      <c r="J28" s="171"/>
      <c r="K28" s="171"/>
      <c r="L28" s="98"/>
      <c r="P28" s="452"/>
      <c r="Q28" s="144"/>
      <c r="R28" s="144"/>
      <c r="T28" s="98"/>
      <c r="U28" s="144"/>
    </row>
    <row r="29" spans="1:22" s="33" customFormat="1">
      <c r="A29" s="37" t="s">
        <v>36</v>
      </c>
      <c r="B29" s="138" t="s">
        <v>58</v>
      </c>
      <c r="C29" s="172"/>
      <c r="D29" s="172"/>
      <c r="E29" s="172"/>
      <c r="F29" s="172" t="s">
        <v>79</v>
      </c>
      <c r="G29" s="291"/>
      <c r="H29" s="291"/>
      <c r="I29" s="291"/>
      <c r="J29" s="289" t="s">
        <v>59</v>
      </c>
      <c r="K29" s="289"/>
      <c r="L29" s="82"/>
      <c r="V29" s="41"/>
    </row>
    <row r="30" spans="1:22" s="33" customFormat="1">
      <c r="A30" s="37" t="s">
        <v>37</v>
      </c>
      <c r="B30" s="142" t="s">
        <v>34</v>
      </c>
      <c r="C30" s="229" t="s">
        <v>141</v>
      </c>
      <c r="D30" s="229" t="s">
        <v>164</v>
      </c>
      <c r="E30" s="229"/>
      <c r="F30" s="229" t="s">
        <v>34</v>
      </c>
      <c r="G30" s="229" t="s">
        <v>141</v>
      </c>
      <c r="H30" s="229" t="s">
        <v>164</v>
      </c>
      <c r="I30" s="290"/>
      <c r="J30" s="237" t="s">
        <v>38</v>
      </c>
      <c r="K30" s="229" t="s">
        <v>141</v>
      </c>
      <c r="L30" s="229" t="s">
        <v>164</v>
      </c>
      <c r="P30" s="140"/>
      <c r="T30" s="98"/>
      <c r="U30" s="98"/>
    </row>
    <row r="31" spans="1:22" s="33" customFormat="1">
      <c r="A31" s="37"/>
      <c r="B31" s="401">
        <f>L7-1</f>
        <v>-10</v>
      </c>
      <c r="C31" s="401">
        <f>B31-1</f>
        <v>-11</v>
      </c>
      <c r="D31" s="401">
        <f>C31-1</f>
        <v>-12</v>
      </c>
      <c r="E31" s="401"/>
      <c r="F31" s="401">
        <f>D31-1</f>
        <v>-13</v>
      </c>
      <c r="G31" s="401">
        <f t="shared" ref="G31:H31" si="12">F31-1</f>
        <v>-14</v>
      </c>
      <c r="H31" s="401">
        <f t="shared" si="12"/>
        <v>-15</v>
      </c>
      <c r="I31" s="401"/>
      <c r="J31" s="401">
        <f>H31-1</f>
        <v>-16</v>
      </c>
      <c r="K31" s="401">
        <f t="shared" ref="K31:L31" si="13">J31-1</f>
        <v>-17</v>
      </c>
      <c r="L31" s="401">
        <f t="shared" si="13"/>
        <v>-18</v>
      </c>
      <c r="M31" s="401">
        <f>L31-1</f>
        <v>-19</v>
      </c>
      <c r="N31" s="401"/>
      <c r="T31" s="98"/>
      <c r="U31" s="98"/>
      <c r="V31" s="98"/>
    </row>
    <row r="32" spans="1:22" s="33" customFormat="1" ht="5.0999999999999996" customHeight="1">
      <c r="A32" s="37"/>
      <c r="B32" s="142"/>
      <c r="C32" s="229"/>
      <c r="D32" s="229"/>
      <c r="E32" s="229"/>
      <c r="F32" s="229"/>
      <c r="G32" s="290"/>
      <c r="H32" s="290"/>
      <c r="I32" s="290"/>
      <c r="J32" s="237"/>
      <c r="K32" s="237"/>
      <c r="L32" s="224"/>
      <c r="R32" s="138"/>
      <c r="S32" s="138"/>
    </row>
    <row r="33" spans="1:16" s="33" customFormat="1">
      <c r="A33" s="41" t="str">
        <f t="shared" ref="A33:A51" si="14">+A9</f>
        <v>0 - 4</v>
      </c>
      <c r="B33" s="98">
        <f>+'LOB2 Dist'!J36</f>
        <v>404</v>
      </c>
      <c r="C33" s="202">
        <f>+'Provider Charges'!B33</f>
        <v>625</v>
      </c>
      <c r="D33" s="171">
        <f t="shared" ref="D33:D50" si="15">+C33*B33</f>
        <v>252500</v>
      </c>
      <c r="E33" s="171"/>
      <c r="F33" s="171">
        <f>+'LOB2 Dist'!K36</f>
        <v>30</v>
      </c>
      <c r="G33" s="171">
        <f>+'Provider Charges'!F33</f>
        <v>69750</v>
      </c>
      <c r="H33" s="171">
        <f t="shared" ref="H33:H50" si="16">+G33*F33</f>
        <v>2092500</v>
      </c>
      <c r="I33" s="171"/>
      <c r="J33" s="282">
        <f>+'LOB2 Dist'!L36</f>
        <v>14</v>
      </c>
      <c r="K33" s="282">
        <f>+'Provider Charges'!J33</f>
        <v>225000</v>
      </c>
      <c r="L33" s="35">
        <f t="shared" ref="L33:L50" si="17">+K33*J33</f>
        <v>3150000</v>
      </c>
    </row>
    <row r="34" spans="1:16" s="33" customFormat="1">
      <c r="A34" s="41" t="str">
        <f t="shared" si="14"/>
        <v>5 - 9</v>
      </c>
      <c r="B34" s="98">
        <f>+'LOB2 Dist'!J37</f>
        <v>592</v>
      </c>
      <c r="C34" s="202">
        <f>+'Provider Charges'!B34</f>
        <v>625</v>
      </c>
      <c r="D34" s="171">
        <f t="shared" si="15"/>
        <v>370000</v>
      </c>
      <c r="E34" s="171"/>
      <c r="F34" s="171">
        <f>+'LOB2 Dist'!K37</f>
        <v>14</v>
      </c>
      <c r="G34" s="171">
        <f>+'Provider Charges'!F34</f>
        <v>36000</v>
      </c>
      <c r="H34" s="171">
        <f t="shared" si="16"/>
        <v>504000</v>
      </c>
      <c r="I34" s="171"/>
      <c r="J34" s="282">
        <f>+'LOB2 Dist'!L37</f>
        <v>6</v>
      </c>
      <c r="K34" s="282">
        <f>+'Provider Charges'!J34</f>
        <v>135000</v>
      </c>
      <c r="L34" s="35">
        <f t="shared" si="17"/>
        <v>810000</v>
      </c>
      <c r="O34" s="144"/>
    </row>
    <row r="35" spans="1:16">
      <c r="A35" s="41" t="str">
        <f t="shared" si="14"/>
        <v>10 - 14</v>
      </c>
      <c r="B35" s="98">
        <f>+'LOB2 Dist'!J38</f>
        <v>641</v>
      </c>
      <c r="C35" s="202">
        <f>+'Provider Charges'!B35</f>
        <v>625</v>
      </c>
      <c r="D35" s="171">
        <f t="shared" si="15"/>
        <v>400625</v>
      </c>
      <c r="E35" s="171"/>
      <c r="F35" s="171">
        <f>+'LOB2 Dist'!K38</f>
        <v>15</v>
      </c>
      <c r="G35" s="171">
        <f>+'Provider Charges'!F35</f>
        <v>36000</v>
      </c>
      <c r="H35" s="171">
        <f t="shared" si="16"/>
        <v>540000</v>
      </c>
      <c r="I35" s="171"/>
      <c r="J35" s="282">
        <f>+'LOB2 Dist'!L38</f>
        <v>6</v>
      </c>
      <c r="K35" s="282">
        <f>+'Provider Charges'!J35</f>
        <v>135000</v>
      </c>
      <c r="L35" s="35">
        <f t="shared" si="17"/>
        <v>810000</v>
      </c>
      <c r="O35" s="7"/>
      <c r="P35" s="33"/>
    </row>
    <row r="36" spans="1:16">
      <c r="A36" s="41" t="str">
        <f t="shared" si="14"/>
        <v>15 - 19</v>
      </c>
      <c r="B36" s="98">
        <f>+'LOB2 Dist'!J39</f>
        <v>625</v>
      </c>
      <c r="C36" s="202">
        <f>+'Provider Charges'!B36</f>
        <v>625</v>
      </c>
      <c r="D36" s="171">
        <f t="shared" si="15"/>
        <v>390625</v>
      </c>
      <c r="E36" s="171"/>
      <c r="F36" s="171">
        <f>+'LOB2 Dist'!K39</f>
        <v>29</v>
      </c>
      <c r="G36" s="171">
        <f>+'Provider Charges'!F36</f>
        <v>36000</v>
      </c>
      <c r="H36" s="171">
        <f t="shared" si="16"/>
        <v>1044000</v>
      </c>
      <c r="I36" s="171"/>
      <c r="J36" s="282">
        <f>+'LOB2 Dist'!L39</f>
        <v>18</v>
      </c>
      <c r="K36" s="282">
        <f>+'Provider Charges'!J36</f>
        <v>135000</v>
      </c>
      <c r="L36" s="35">
        <f t="shared" si="17"/>
        <v>2430000</v>
      </c>
      <c r="P36" s="33"/>
    </row>
    <row r="37" spans="1:16">
      <c r="A37" s="41" t="str">
        <f t="shared" si="14"/>
        <v>20 - 24</v>
      </c>
      <c r="B37" s="98">
        <f>+'LOB2 Dist'!J40</f>
        <v>1044</v>
      </c>
      <c r="C37" s="202">
        <f>+'Provider Charges'!B37</f>
        <v>800</v>
      </c>
      <c r="D37" s="171">
        <f t="shared" si="15"/>
        <v>835200</v>
      </c>
      <c r="E37" s="171"/>
      <c r="F37" s="171">
        <f>+'LOB2 Dist'!K40</f>
        <v>63</v>
      </c>
      <c r="G37" s="171">
        <f>+'Provider Charges'!F37</f>
        <v>40500</v>
      </c>
      <c r="H37" s="171">
        <f t="shared" si="16"/>
        <v>2551500</v>
      </c>
      <c r="I37" s="171"/>
      <c r="J37" s="171">
        <f>+'LOB2 Dist'!L40</f>
        <v>38</v>
      </c>
      <c r="K37" s="171">
        <f>+'Provider Charges'!J37</f>
        <v>67500</v>
      </c>
      <c r="L37" s="98">
        <f t="shared" si="17"/>
        <v>2565000</v>
      </c>
      <c r="P37" s="33"/>
    </row>
    <row r="38" spans="1:16">
      <c r="A38" s="41" t="str">
        <f t="shared" si="14"/>
        <v>25 - 29</v>
      </c>
      <c r="B38" s="98">
        <f>+'LOB2 Dist'!J41</f>
        <v>965</v>
      </c>
      <c r="C38" s="202">
        <f>+'Provider Charges'!B38</f>
        <v>800</v>
      </c>
      <c r="D38" s="171">
        <f t="shared" si="15"/>
        <v>772000</v>
      </c>
      <c r="E38" s="171"/>
      <c r="F38" s="171">
        <f>+'LOB2 Dist'!K41</f>
        <v>75</v>
      </c>
      <c r="G38" s="171">
        <f>+'Provider Charges'!F38</f>
        <v>40500</v>
      </c>
      <c r="H38" s="171">
        <f t="shared" si="16"/>
        <v>3037500</v>
      </c>
      <c r="I38" s="171"/>
      <c r="J38" s="171">
        <f>+'LOB2 Dist'!L41</f>
        <v>53</v>
      </c>
      <c r="K38" s="171">
        <f>+'Provider Charges'!J38</f>
        <v>67500</v>
      </c>
      <c r="L38" s="98">
        <f t="shared" si="17"/>
        <v>3577500</v>
      </c>
      <c r="P38" s="33"/>
    </row>
    <row r="39" spans="1:16">
      <c r="A39" s="41" t="str">
        <f t="shared" si="14"/>
        <v>30 - 34</v>
      </c>
      <c r="B39" s="98">
        <f>+'LOB2 Dist'!J42</f>
        <v>1018</v>
      </c>
      <c r="C39" s="202">
        <f>+'Provider Charges'!B39</f>
        <v>800</v>
      </c>
      <c r="D39" s="171">
        <f t="shared" si="15"/>
        <v>814400</v>
      </c>
      <c r="E39" s="171"/>
      <c r="F39" s="171">
        <f>+'LOB2 Dist'!K42</f>
        <v>79</v>
      </c>
      <c r="G39" s="171">
        <f>+'Provider Charges'!F39</f>
        <v>40500</v>
      </c>
      <c r="H39" s="171">
        <f t="shared" si="16"/>
        <v>3199500</v>
      </c>
      <c r="I39" s="171"/>
      <c r="J39" s="171">
        <f>+'LOB2 Dist'!L42</f>
        <v>56</v>
      </c>
      <c r="K39" s="171">
        <f>+'Provider Charges'!J39</f>
        <v>67500</v>
      </c>
      <c r="L39" s="98">
        <f t="shared" si="17"/>
        <v>3780000</v>
      </c>
      <c r="P39" s="33"/>
    </row>
    <row r="40" spans="1:16">
      <c r="A40" s="41" t="str">
        <f t="shared" si="14"/>
        <v>35 - 39</v>
      </c>
      <c r="B40" s="98">
        <f>+'LOB2 Dist'!J43</f>
        <v>1061</v>
      </c>
      <c r="C40" s="202">
        <f>+'Provider Charges'!B40</f>
        <v>800</v>
      </c>
      <c r="D40" s="171">
        <f t="shared" si="15"/>
        <v>848800</v>
      </c>
      <c r="E40" s="171"/>
      <c r="F40" s="171">
        <f>+'LOB2 Dist'!K43</f>
        <v>64</v>
      </c>
      <c r="G40" s="171">
        <f>+'Provider Charges'!F40</f>
        <v>40500</v>
      </c>
      <c r="H40" s="171">
        <f t="shared" si="16"/>
        <v>2592000</v>
      </c>
      <c r="I40" s="171"/>
      <c r="J40" s="171">
        <f>+'LOB2 Dist'!L43</f>
        <v>33</v>
      </c>
      <c r="K40" s="171">
        <f>+'Provider Charges'!J40</f>
        <v>67500</v>
      </c>
      <c r="L40" s="98">
        <f t="shared" si="17"/>
        <v>2227500</v>
      </c>
      <c r="P40" s="33"/>
    </row>
    <row r="41" spans="1:16">
      <c r="A41" s="41" t="str">
        <f t="shared" si="14"/>
        <v>40 - 44</v>
      </c>
      <c r="B41" s="98">
        <f>+'LOB2 Dist'!J44</f>
        <v>1160</v>
      </c>
      <c r="C41" s="202">
        <f>+'Provider Charges'!B41</f>
        <v>800</v>
      </c>
      <c r="D41" s="171">
        <f t="shared" si="15"/>
        <v>928000</v>
      </c>
      <c r="E41" s="171"/>
      <c r="F41" s="171">
        <f>+'LOB2 Dist'!K44</f>
        <v>49</v>
      </c>
      <c r="G41" s="171">
        <f>+'Provider Charges'!F41</f>
        <v>40500</v>
      </c>
      <c r="H41" s="171">
        <f t="shared" si="16"/>
        <v>1984500</v>
      </c>
      <c r="I41" s="171"/>
      <c r="J41" s="171">
        <f>+'LOB2 Dist'!L44</f>
        <v>29</v>
      </c>
      <c r="K41" s="171">
        <f>+'Provider Charges'!J41</f>
        <v>67500</v>
      </c>
      <c r="L41" s="98">
        <f t="shared" si="17"/>
        <v>1957500</v>
      </c>
      <c r="P41" s="33"/>
    </row>
    <row r="42" spans="1:16">
      <c r="A42" s="41" t="str">
        <f t="shared" si="14"/>
        <v>45 - 49</v>
      </c>
      <c r="B42" s="98">
        <f>+'LOB2 Dist'!J45</f>
        <v>1496</v>
      </c>
      <c r="C42" s="202">
        <f>+'Provider Charges'!B42</f>
        <v>800</v>
      </c>
      <c r="D42" s="171">
        <f t="shared" si="15"/>
        <v>1196800</v>
      </c>
      <c r="E42" s="171"/>
      <c r="F42" s="171">
        <f>+'LOB2 Dist'!K45</f>
        <v>45</v>
      </c>
      <c r="G42" s="171">
        <f>+'Provider Charges'!F42</f>
        <v>40500</v>
      </c>
      <c r="H42" s="171">
        <f t="shared" si="16"/>
        <v>1822500</v>
      </c>
      <c r="I42" s="171"/>
      <c r="J42" s="171">
        <f>+'LOB2 Dist'!L45</f>
        <v>29</v>
      </c>
      <c r="K42" s="171">
        <f>+'Provider Charges'!J42</f>
        <v>81000</v>
      </c>
      <c r="L42" s="98">
        <f t="shared" si="17"/>
        <v>2349000</v>
      </c>
      <c r="P42" s="33"/>
    </row>
    <row r="43" spans="1:16">
      <c r="A43" s="41" t="str">
        <f t="shared" si="14"/>
        <v>50 - 54</v>
      </c>
      <c r="B43" s="98">
        <f>+'LOB2 Dist'!J46</f>
        <v>1649</v>
      </c>
      <c r="C43" s="202">
        <f>+'Provider Charges'!B43</f>
        <v>800</v>
      </c>
      <c r="D43" s="171">
        <f t="shared" si="15"/>
        <v>1319200</v>
      </c>
      <c r="E43" s="171"/>
      <c r="F43" s="171">
        <f>+'LOB2 Dist'!K46</f>
        <v>34</v>
      </c>
      <c r="G43" s="171">
        <f>+'Provider Charges'!F43</f>
        <v>36000</v>
      </c>
      <c r="H43" s="171">
        <f t="shared" si="16"/>
        <v>1224000</v>
      </c>
      <c r="I43" s="171"/>
      <c r="J43" s="171">
        <f>+'LOB2 Dist'!L46</f>
        <v>23</v>
      </c>
      <c r="K43" s="171">
        <f>+'Provider Charges'!J43</f>
        <v>108000</v>
      </c>
      <c r="L43" s="98">
        <f t="shared" si="17"/>
        <v>2484000</v>
      </c>
      <c r="P43" s="33"/>
    </row>
    <row r="44" spans="1:16">
      <c r="A44" s="41" t="str">
        <f t="shared" si="14"/>
        <v>55 - 59</v>
      </c>
      <c r="B44" s="98">
        <f>+'LOB2 Dist'!J47</f>
        <v>1529</v>
      </c>
      <c r="C44" s="202">
        <f>+'Provider Charges'!B44</f>
        <v>800</v>
      </c>
      <c r="D44" s="171">
        <f t="shared" si="15"/>
        <v>1223200</v>
      </c>
      <c r="E44" s="171"/>
      <c r="F44" s="171">
        <f>+'LOB2 Dist'!K47</f>
        <v>29</v>
      </c>
      <c r="G44" s="171">
        <f>+'Provider Charges'!F44</f>
        <v>36000</v>
      </c>
      <c r="H44" s="171">
        <f t="shared" si="16"/>
        <v>1044000</v>
      </c>
      <c r="I44" s="171"/>
      <c r="J44" s="171">
        <f>+'LOB2 Dist'!L47</f>
        <v>22</v>
      </c>
      <c r="K44" s="171">
        <f>+'Provider Charges'!J44</f>
        <v>108000</v>
      </c>
      <c r="L44" s="98">
        <f t="shared" si="17"/>
        <v>2376000</v>
      </c>
      <c r="P44" s="33"/>
    </row>
    <row r="45" spans="1:16">
      <c r="A45" s="41" t="str">
        <f t="shared" si="14"/>
        <v>60 - 64</v>
      </c>
      <c r="B45" s="98">
        <f>+'LOB2 Dist'!J48</f>
        <v>949</v>
      </c>
      <c r="C45" s="202">
        <f>+'Provider Charges'!B45</f>
        <v>800</v>
      </c>
      <c r="D45" s="171">
        <f t="shared" si="15"/>
        <v>759200</v>
      </c>
      <c r="E45" s="171"/>
      <c r="F45" s="171">
        <f>+'LOB2 Dist'!K48</f>
        <v>16</v>
      </c>
      <c r="G45" s="171">
        <f>+'Provider Charges'!F45</f>
        <v>36000</v>
      </c>
      <c r="H45" s="171">
        <f t="shared" si="16"/>
        <v>576000</v>
      </c>
      <c r="I45" s="171"/>
      <c r="J45" s="171">
        <f>+'LOB2 Dist'!L48</f>
        <v>14</v>
      </c>
      <c r="K45" s="171">
        <f>+'Provider Charges'!J45</f>
        <v>108000</v>
      </c>
      <c r="L45" s="98">
        <f t="shared" si="17"/>
        <v>1512000</v>
      </c>
      <c r="P45" s="33"/>
    </row>
    <row r="46" spans="1:16">
      <c r="A46" s="41" t="str">
        <f t="shared" si="14"/>
        <v>65 - 69</v>
      </c>
      <c r="B46" s="98">
        <f>+'LOB2 Dist'!J49</f>
        <v>504</v>
      </c>
      <c r="C46" s="202">
        <f>+'Provider Charges'!B46</f>
        <v>650</v>
      </c>
      <c r="D46" s="171">
        <f t="shared" si="15"/>
        <v>327600</v>
      </c>
      <c r="E46" s="171"/>
      <c r="F46" s="171">
        <f>+'LOB2 Dist'!K49</f>
        <v>9</v>
      </c>
      <c r="G46" s="171">
        <f>+'Provider Charges'!F46</f>
        <v>22500</v>
      </c>
      <c r="H46" s="171">
        <f t="shared" si="16"/>
        <v>202500</v>
      </c>
      <c r="I46" s="171"/>
      <c r="J46" s="171">
        <f>+'LOB2 Dist'!L49</f>
        <v>9</v>
      </c>
      <c r="K46" s="171">
        <f>+'Provider Charges'!J46</f>
        <v>54000</v>
      </c>
      <c r="L46" s="98">
        <f t="shared" si="17"/>
        <v>486000</v>
      </c>
      <c r="P46" s="33"/>
    </row>
    <row r="47" spans="1:16">
      <c r="A47" s="41" t="str">
        <f t="shared" si="14"/>
        <v>70 - 74</v>
      </c>
      <c r="B47" s="98">
        <f>+'LOB2 Dist'!J50</f>
        <v>0</v>
      </c>
      <c r="C47" s="202">
        <f>+'Provider Charges'!B47</f>
        <v>500</v>
      </c>
      <c r="D47" s="171">
        <f t="shared" si="15"/>
        <v>0</v>
      </c>
      <c r="E47" s="171"/>
      <c r="F47" s="171">
        <f>+'LOB2 Dist'!K50</f>
        <v>0</v>
      </c>
      <c r="G47" s="171">
        <f>+'Provider Charges'!F47</f>
        <v>13500</v>
      </c>
      <c r="H47" s="171">
        <f t="shared" si="16"/>
        <v>0</v>
      </c>
      <c r="I47" s="171"/>
      <c r="J47" s="171">
        <f>+'LOB2 Dist'!L50</f>
        <v>0</v>
      </c>
      <c r="K47" s="171">
        <f>+'Provider Charges'!J47</f>
        <v>31950</v>
      </c>
      <c r="L47" s="98">
        <f t="shared" si="17"/>
        <v>0</v>
      </c>
      <c r="P47" s="33"/>
    </row>
    <row r="48" spans="1:16">
      <c r="A48" s="41" t="str">
        <f t="shared" si="14"/>
        <v>75 - 79</v>
      </c>
      <c r="B48" s="98">
        <f>+'LOB2 Dist'!J51</f>
        <v>0</v>
      </c>
      <c r="C48" s="202">
        <f>+'Provider Charges'!B48</f>
        <v>500</v>
      </c>
      <c r="D48" s="171">
        <f t="shared" si="15"/>
        <v>0</v>
      </c>
      <c r="E48" s="171"/>
      <c r="F48" s="171">
        <f>+'LOB2 Dist'!K51</f>
        <v>0</v>
      </c>
      <c r="G48" s="171">
        <f>+'Provider Charges'!F48</f>
        <v>13500</v>
      </c>
      <c r="H48" s="171">
        <f t="shared" si="16"/>
        <v>0</v>
      </c>
      <c r="I48" s="171"/>
      <c r="J48" s="171">
        <f>+'LOB2 Dist'!L51</f>
        <v>0</v>
      </c>
      <c r="K48" s="171">
        <f>+'Provider Charges'!J48</f>
        <v>31950</v>
      </c>
      <c r="L48" s="98">
        <f t="shared" si="17"/>
        <v>0</v>
      </c>
      <c r="P48" s="33"/>
    </row>
    <row r="49" spans="1:16">
      <c r="A49" s="41" t="str">
        <f t="shared" si="14"/>
        <v>80 - 84</v>
      </c>
      <c r="B49" s="98">
        <f>+'LOB2 Dist'!J52</f>
        <v>0</v>
      </c>
      <c r="C49" s="202">
        <f>+'Provider Charges'!B49</f>
        <v>500</v>
      </c>
      <c r="D49" s="171">
        <f t="shared" si="15"/>
        <v>0</v>
      </c>
      <c r="E49" s="171"/>
      <c r="F49" s="171">
        <f>+'LOB2 Dist'!K52</f>
        <v>0</v>
      </c>
      <c r="G49" s="171">
        <f>+'Provider Charges'!F49</f>
        <v>13500</v>
      </c>
      <c r="H49" s="171">
        <f t="shared" si="16"/>
        <v>0</v>
      </c>
      <c r="I49" s="171"/>
      <c r="J49" s="171">
        <f>+'LOB2 Dist'!L52</f>
        <v>0</v>
      </c>
      <c r="K49" s="171">
        <f>+'Provider Charges'!J49</f>
        <v>31950</v>
      </c>
      <c r="L49" s="98">
        <f t="shared" si="17"/>
        <v>0</v>
      </c>
      <c r="P49" s="33"/>
    </row>
    <row r="50" spans="1:16">
      <c r="A50" s="41" t="str">
        <f t="shared" si="14"/>
        <v>85+</v>
      </c>
      <c r="B50" s="98">
        <f>+'LOB2 Dist'!J53</f>
        <v>0</v>
      </c>
      <c r="C50" s="202">
        <f>+'Provider Charges'!B50</f>
        <v>500</v>
      </c>
      <c r="D50" s="171">
        <f t="shared" si="15"/>
        <v>0</v>
      </c>
      <c r="E50" s="171"/>
      <c r="F50" s="171">
        <f>+'LOB2 Dist'!K53</f>
        <v>0</v>
      </c>
      <c r="G50" s="171">
        <f>+'Provider Charges'!F50</f>
        <v>13500</v>
      </c>
      <c r="H50" s="171">
        <f t="shared" si="16"/>
        <v>0</v>
      </c>
      <c r="I50" s="171"/>
      <c r="J50" s="171">
        <f>+'LOB2 Dist'!L53</f>
        <v>0</v>
      </c>
      <c r="K50" s="171">
        <f>+'Provider Charges'!J50</f>
        <v>31950</v>
      </c>
      <c r="L50" s="98">
        <f t="shared" si="17"/>
        <v>0</v>
      </c>
      <c r="P50" s="33"/>
    </row>
    <row r="51" spans="1:16" s="33" customFormat="1">
      <c r="A51" s="79" t="str">
        <f t="shared" si="14"/>
        <v>Total</v>
      </c>
      <c r="B51" s="98">
        <f>SUM(B33:B50)</f>
        <v>13637</v>
      </c>
      <c r="C51" s="20"/>
      <c r="D51" s="98">
        <f>SUM(D33:D50)</f>
        <v>10438150</v>
      </c>
      <c r="E51" s="98"/>
      <c r="F51" s="98">
        <f>SUM(F33:F50)</f>
        <v>551</v>
      </c>
      <c r="G51" s="56"/>
      <c r="H51" s="98">
        <f>SUM(H33:H50)</f>
        <v>22414500</v>
      </c>
      <c r="I51" s="98"/>
      <c r="J51" s="98">
        <f>SUM(J33:J50)</f>
        <v>350</v>
      </c>
      <c r="K51" s="56"/>
      <c r="L51" s="98">
        <f>SUM(L33:L50)</f>
        <v>30514500</v>
      </c>
    </row>
    <row r="52" spans="1:16" s="33" customFormat="1">
      <c r="A52" s="79"/>
      <c r="B52" s="98"/>
      <c r="C52" s="20"/>
      <c r="D52" s="98"/>
      <c r="E52" s="98"/>
      <c r="F52" s="98"/>
      <c r="G52" s="56"/>
      <c r="H52" s="98"/>
      <c r="I52" s="98"/>
      <c r="J52" s="98"/>
      <c r="K52" s="56"/>
      <c r="L52" s="98"/>
    </row>
    <row r="53" spans="1:16">
      <c r="A53" s="79"/>
      <c r="B53" s="45" t="s">
        <v>9</v>
      </c>
      <c r="C53" s="20"/>
      <c r="D53" s="162"/>
      <c r="E53" s="98"/>
      <c r="F53" s="98"/>
      <c r="H53" s="56"/>
      <c r="I53" s="56"/>
      <c r="K53" s="98"/>
      <c r="L53" s="56"/>
      <c r="M53" s="98"/>
      <c r="P53" s="33"/>
    </row>
    <row r="54" spans="1:16">
      <c r="A54" s="384">
        <v>-1</v>
      </c>
      <c r="B54" s="33" t="str">
        <f>'LOB2 Dist'!$M$1 &amp;": Column "&amp; TEXT(-'LOB2 Dist'!$E$34,"(0)")</f>
        <v>Tab:: LOB2 Dist: Column (21)</v>
      </c>
      <c r="D54" s="144"/>
      <c r="F54" s="383">
        <f>+A59-1</f>
        <v>-7</v>
      </c>
      <c r="G54" s="33" t="str">
        <f>'LOB2 Dist'!$M$1 &amp;": Column "&amp; TEXT(-'LOB2 Dist'!$H$34,"(0)")</f>
        <v>Tab:: LOB2 Dist: Column (24)</v>
      </c>
      <c r="I54" s="3"/>
      <c r="J54" s="383">
        <f>+F59-1</f>
        <v>-13</v>
      </c>
      <c r="K54" s="33" t="str">
        <f>'LOB2 Dist'!$M$1 &amp;": Column "&amp; TEXT(-'LOB2 Dist'!$K$34,"(0)")</f>
        <v>Tab:: LOB2 Dist: Column (27)</v>
      </c>
      <c r="P54" s="33"/>
    </row>
    <row r="55" spans="1:16">
      <c r="A55" s="383">
        <f t="shared" ref="A55:A59" si="18">+A54-1</f>
        <v>-2</v>
      </c>
      <c r="B55" s="403" t="str">
        <f>'Provider Charges'!$N$1 &amp; ": Column (1)"</f>
        <v>Tab:: Provider Charges: Column (1)</v>
      </c>
      <c r="F55" s="383">
        <f>+F54-1</f>
        <v>-8</v>
      </c>
      <c r="G55" s="403" t="str">
        <f>'Provider Charges'!$N$1 &amp; ": Column (9)"</f>
        <v>Tab:: Provider Charges: Column (9)</v>
      </c>
      <c r="I55" s="3"/>
      <c r="J55" s="383">
        <f>+J54-1</f>
        <v>-14</v>
      </c>
      <c r="K55" s="403" t="str">
        <f>'Provider Charges'!$N$1 &amp; ": Column (17)"</f>
        <v>Tab:: Provider Charges: Column (17)</v>
      </c>
      <c r="P55" s="33"/>
    </row>
    <row r="56" spans="1:16">
      <c r="A56" s="383">
        <f t="shared" si="18"/>
        <v>-3</v>
      </c>
      <c r="B56" s="202" t="s">
        <v>317</v>
      </c>
      <c r="F56" s="383">
        <f>+F55-1</f>
        <v>-9</v>
      </c>
      <c r="G56" s="202" t="s">
        <v>308</v>
      </c>
      <c r="J56" s="383">
        <f>+J55-1</f>
        <v>-15</v>
      </c>
      <c r="K56" s="202" t="s">
        <v>319</v>
      </c>
    </row>
    <row r="57" spans="1:16">
      <c r="A57" s="383">
        <f t="shared" si="18"/>
        <v>-4</v>
      </c>
      <c r="B57" s="33" t="str">
        <f>'LOB2 Dist'!$M$1 &amp;": Column "&amp; TEXT(-'LOB2 Dist'!$G$34,"(0)")</f>
        <v>Tab:: LOB2 Dist: Column (23)</v>
      </c>
      <c r="F57" s="384">
        <v>-10</v>
      </c>
      <c r="G57" s="33" t="str">
        <f>'LOB2 Dist'!$M$1 &amp;": Column "&amp; TEXT(-'LOB2 Dist'!J34,"(0)")</f>
        <v>Tab:: LOB2 Dist: Column (26)</v>
      </c>
      <c r="J57" s="383">
        <f>+J56-1</f>
        <v>-16</v>
      </c>
      <c r="K57" s="33" t="str">
        <f>'LOB2 Dist'!$M$1 &amp;": Column "&amp; TEXT(-'LOB2 Dist'!$L$34,"(0)")</f>
        <v>Tab:: LOB2 Dist: Column (28)</v>
      </c>
    </row>
    <row r="58" spans="1:16">
      <c r="A58" s="383">
        <f t="shared" si="18"/>
        <v>-5</v>
      </c>
      <c r="B58" s="403" t="str">
        <f>'Provider Charges'!$N$1 &amp; ": Column (5)"</f>
        <v>Tab:: Provider Charges: Column (5)</v>
      </c>
      <c r="F58" s="383">
        <f>+F57-1</f>
        <v>-11</v>
      </c>
      <c r="G58" s="403" t="str">
        <f>'Provider Charges'!$N$1 &amp; ": Column (13)"</f>
        <v>Tab:: Provider Charges: Column (13)</v>
      </c>
      <c r="J58" s="383">
        <f>+J57-1</f>
        <v>-17</v>
      </c>
      <c r="K58" s="403" t="str">
        <f>'Provider Charges'!$N$1 &amp; ": Column (21)"</f>
        <v>Tab:: Provider Charges: Column (21)</v>
      </c>
    </row>
    <row r="59" spans="1:16">
      <c r="A59" s="383">
        <f t="shared" si="18"/>
        <v>-6</v>
      </c>
      <c r="B59" s="202" t="s">
        <v>318</v>
      </c>
      <c r="F59" s="383">
        <f>+F58-1</f>
        <v>-12</v>
      </c>
      <c r="G59" s="202" t="s">
        <v>316</v>
      </c>
      <c r="J59" s="383">
        <f>+J58-1</f>
        <v>-18</v>
      </c>
      <c r="K59" s="202" t="s">
        <v>320</v>
      </c>
    </row>
    <row r="75" spans="1:13">
      <c r="A75" s="41"/>
    </row>
    <row r="76" spans="1:13">
      <c r="A76" s="41"/>
    </row>
    <row r="77" spans="1:13">
      <c r="M77" s="144"/>
    </row>
  </sheetData>
  <printOptions horizontalCentered="1"/>
  <pageMargins left="0.5" right="0.5" top="0.5" bottom="0.75" header="0.5" footer="0.35"/>
  <pageSetup scale="72" orientation="landscape" r:id="rId1"/>
  <headerFooter alignWithMargins="0">
    <oddFooter>&amp;L&amp;8&amp;F 
&amp;A&amp;C&amp;8MBA Actuaries, Inc.&amp;R&amp;8&amp;D 
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topLeftCell="A37" zoomScaleNormal="100" workbookViewId="0">
      <selection activeCell="C62" sqref="C62"/>
    </sheetView>
  </sheetViews>
  <sheetFormatPr defaultRowHeight="12.75"/>
  <cols>
    <col min="1" max="1" width="4.42578125" style="274" customWidth="1"/>
    <col min="2" max="2" width="1.5703125" style="274" customWidth="1"/>
    <col min="3" max="3" width="19.42578125" style="404" customWidth="1"/>
    <col min="4" max="4" width="0.28515625" style="404" customWidth="1"/>
    <col min="5" max="9" width="12.7109375" style="404" customWidth="1"/>
    <col min="10" max="10" width="1.42578125" style="274" customWidth="1"/>
    <col min="11" max="11" width="9.140625" style="274"/>
    <col min="12" max="12" width="11.28515625" style="274" bestFit="1" customWidth="1"/>
    <col min="13" max="13" width="9" style="274" bestFit="1" customWidth="1"/>
    <col min="14" max="14" width="13.5703125" style="274" bestFit="1" customWidth="1"/>
    <col min="15" max="16384" width="9.140625" style="274"/>
  </cols>
  <sheetData>
    <row r="1" spans="1:14">
      <c r="A1" s="446" t="str">
        <f>scenario</f>
        <v>Severe Scenario, V\ Curve</v>
      </c>
      <c r="J1" s="164" t="s">
        <v>393</v>
      </c>
    </row>
    <row r="2" spans="1:14">
      <c r="J2" s="276"/>
    </row>
    <row r="3" spans="1:14" s="16" customFormat="1" ht="15.75">
      <c r="A3" s="52" t="str">
        <f>LOB_2&amp;" Estimated Net Payer Costs as of 2010"</f>
        <v>LOB_2 Estimated Net Payer Costs as of 2010</v>
      </c>
      <c r="B3" s="52"/>
      <c r="C3" s="456"/>
      <c r="D3" s="456"/>
      <c r="E3" s="456"/>
      <c r="F3" s="456"/>
      <c r="G3" s="456"/>
      <c r="H3" s="456"/>
      <c r="I3" s="456"/>
      <c r="M3" s="20"/>
    </row>
    <row r="4" spans="1:14" s="16" customFormat="1" ht="15">
      <c r="B4" s="128"/>
      <c r="C4" s="456"/>
      <c r="D4" s="456"/>
      <c r="E4" s="456"/>
      <c r="F4" s="456"/>
      <c r="G4" s="456"/>
      <c r="H4" s="456"/>
      <c r="I4" s="456"/>
      <c r="J4" s="20"/>
    </row>
    <row r="5" spans="1:14">
      <c r="C5" s="403"/>
      <c r="D5" s="457" t="s">
        <v>194</v>
      </c>
      <c r="E5" s="458"/>
      <c r="F5" s="459"/>
      <c r="G5" s="459"/>
      <c r="H5" s="459"/>
      <c r="I5" s="403"/>
    </row>
    <row r="6" spans="1:14">
      <c r="C6" s="403"/>
      <c r="D6" s="403"/>
      <c r="E6" s="460" t="str">
        <f>+'Total Summary'!E6</f>
        <v>Severe</v>
      </c>
      <c r="F6" s="237" t="s">
        <v>56</v>
      </c>
      <c r="G6" s="237" t="s">
        <v>6</v>
      </c>
      <c r="H6" s="237" t="s">
        <v>5</v>
      </c>
      <c r="I6" s="403"/>
      <c r="K6" s="276"/>
      <c r="L6" s="408"/>
      <c r="M6" s="337"/>
      <c r="N6" s="270"/>
    </row>
    <row r="7" spans="1:14">
      <c r="C7" s="403"/>
      <c r="D7" s="403"/>
      <c r="E7" s="512" t="str">
        <f>Curve&amp; " Curve"</f>
        <v>V\ Curve</v>
      </c>
      <c r="F7" s="237"/>
      <c r="G7" s="237"/>
      <c r="H7" s="237"/>
      <c r="I7" s="403"/>
      <c r="K7" s="276"/>
      <c r="L7" s="408"/>
      <c r="M7" s="337"/>
      <c r="N7" s="270"/>
    </row>
    <row r="8" spans="1:14" ht="5.0999999999999996" customHeight="1">
      <c r="C8" s="403"/>
      <c r="D8" s="403"/>
      <c r="E8" s="237"/>
      <c r="F8" s="237"/>
      <c r="G8" s="237"/>
      <c r="H8" s="237"/>
      <c r="I8" s="403"/>
    </row>
    <row r="9" spans="1:14">
      <c r="A9" s="181">
        <v>-1</v>
      </c>
      <c r="B9" s="181"/>
      <c r="C9" s="210" t="s">
        <v>43</v>
      </c>
      <c r="E9" s="455">
        <f>+'LOB2 Costs'!P27</f>
        <v>24.435584999999996</v>
      </c>
      <c r="F9" s="455"/>
      <c r="G9" s="455"/>
      <c r="H9" s="455"/>
      <c r="I9" s="403"/>
    </row>
    <row r="10" spans="1:14">
      <c r="A10" s="400">
        <f t="shared" ref="A10:A12" si="0">+A9-1</f>
        <v>-2</v>
      </c>
      <c r="B10" s="400"/>
      <c r="C10" s="210" t="s">
        <v>41</v>
      </c>
      <c r="E10" s="123">
        <f>+'LOB2 Costs'!S27</f>
        <v>211.57424999999998</v>
      </c>
      <c r="F10" s="123"/>
      <c r="G10" s="123"/>
      <c r="H10" s="123"/>
      <c r="I10" s="403"/>
    </row>
    <row r="11" spans="1:14">
      <c r="A11" s="400">
        <f t="shared" si="0"/>
        <v>-3</v>
      </c>
      <c r="B11" s="400"/>
      <c r="C11" s="461" t="s">
        <v>148</v>
      </c>
      <c r="D11" s="462"/>
      <c r="E11" s="463">
        <f>+'LOB2 Costs'!V27</f>
        <v>217.93949999999998</v>
      </c>
      <c r="F11" s="463"/>
      <c r="G11" s="463"/>
      <c r="H11" s="463"/>
      <c r="I11" s="403"/>
      <c r="L11" s="250"/>
    </row>
    <row r="12" spans="1:14">
      <c r="A12" s="400">
        <f t="shared" si="0"/>
        <v>-4</v>
      </c>
      <c r="B12" s="400"/>
      <c r="C12" s="210" t="s">
        <v>159</v>
      </c>
      <c r="E12" s="464">
        <f>SUM(E9:E11)</f>
        <v>453.94933499999996</v>
      </c>
      <c r="F12" s="464"/>
      <c r="G12" s="464"/>
      <c r="H12" s="464"/>
      <c r="I12" s="403"/>
    </row>
    <row r="13" spans="1:14">
      <c r="C13" s="403"/>
      <c r="D13" s="210"/>
      <c r="E13" s="465"/>
      <c r="F13" s="465"/>
      <c r="G13" s="465"/>
      <c r="H13" s="465"/>
      <c r="I13" s="403"/>
    </row>
    <row r="14" spans="1:14">
      <c r="A14" s="400">
        <f>+A12-1</f>
        <v>-5</v>
      </c>
      <c r="B14" s="400"/>
      <c r="C14" s="210" t="s">
        <v>188</v>
      </c>
      <c r="E14" s="455">
        <f>(LOB2Pop/Pop0to69)*'ACF Costs'!G30/1000000</f>
        <v>5.9657536327565603</v>
      </c>
      <c r="F14" s="455"/>
      <c r="G14" s="455"/>
      <c r="H14" s="455"/>
      <c r="I14" s="403"/>
    </row>
    <row r="15" spans="1:14">
      <c r="C15" s="210"/>
      <c r="E15" s="466"/>
      <c r="F15" s="466"/>
      <c r="G15" s="466"/>
      <c r="H15" s="466"/>
      <c r="I15" s="403"/>
    </row>
    <row r="16" spans="1:14">
      <c r="C16" s="210" t="s">
        <v>184</v>
      </c>
      <c r="E16" s="466"/>
      <c r="F16" s="466"/>
      <c r="G16" s="466"/>
      <c r="H16" s="466"/>
      <c r="I16" s="403"/>
    </row>
    <row r="17" spans="1:9" s="404" customFormat="1">
      <c r="A17" s="454">
        <f>+A14-1</f>
        <v>-6</v>
      </c>
      <c r="B17" s="454"/>
      <c r="C17" s="210" t="s">
        <v>185</v>
      </c>
      <c r="E17" s="455">
        <f>(LOB2Pop/TotPI)*'Deferred Care'!C28/1000000</f>
        <v>142.39138544045338</v>
      </c>
      <c r="F17" s="455"/>
      <c r="G17" s="455"/>
      <c r="H17" s="455"/>
      <c r="I17" s="245"/>
    </row>
    <row r="18" spans="1:9">
      <c r="C18" s="210"/>
      <c r="E18" s="466"/>
      <c r="F18" s="466"/>
      <c r="G18" s="466"/>
      <c r="H18" s="466"/>
      <c r="I18" s="245"/>
    </row>
    <row r="19" spans="1:9">
      <c r="A19" s="400">
        <f>+A17-1</f>
        <v>-7</v>
      </c>
      <c r="B19" s="400"/>
      <c r="C19" s="210" t="s">
        <v>195</v>
      </c>
      <c r="E19" s="455">
        <f>+E12+E14-E17</f>
        <v>317.52370319230317</v>
      </c>
      <c r="F19" s="455"/>
      <c r="G19" s="455"/>
      <c r="H19" s="455"/>
      <c r="I19" s="245"/>
    </row>
    <row r="20" spans="1:9">
      <c r="C20" s="210"/>
      <c r="E20" s="466"/>
      <c r="F20" s="466"/>
      <c r="G20" s="466"/>
      <c r="H20" s="466"/>
      <c r="I20" s="245"/>
    </row>
    <row r="21" spans="1:9">
      <c r="A21" s="400">
        <f>+A19-1</f>
        <v>-8</v>
      </c>
      <c r="B21" s="400"/>
      <c r="C21" s="210" t="s">
        <v>183</v>
      </c>
      <c r="E21" s="467">
        <f>inflation</f>
        <v>0.60578147647843017</v>
      </c>
      <c r="F21" s="467"/>
      <c r="G21" s="467"/>
      <c r="H21" s="467"/>
      <c r="I21" s="245"/>
    </row>
    <row r="22" spans="1:9">
      <c r="C22" s="210"/>
      <c r="E22" s="468"/>
      <c r="F22" s="468"/>
      <c r="G22" s="468"/>
      <c r="H22" s="468"/>
      <c r="I22" s="245"/>
    </row>
    <row r="23" spans="1:9">
      <c r="A23" s="400">
        <f>+A21-1</f>
        <v>-9</v>
      </c>
      <c r="B23" s="400"/>
      <c r="C23" s="338" t="s">
        <v>303</v>
      </c>
      <c r="E23" s="455">
        <f>+E19*(E21+1)</f>
        <v>509.8736809290354</v>
      </c>
      <c r="F23" s="455"/>
      <c r="G23" s="455"/>
      <c r="H23" s="455"/>
      <c r="I23" s="245"/>
    </row>
    <row r="24" spans="1:9" ht="20.100000000000001" customHeight="1">
      <c r="C24" s="338"/>
      <c r="E24" s="455"/>
      <c r="F24" s="455"/>
      <c r="G24" s="455"/>
      <c r="H24" s="455"/>
      <c r="I24" s="245"/>
    </row>
    <row r="25" spans="1:9">
      <c r="C25" s="457" t="s">
        <v>407</v>
      </c>
      <c r="D25" s="458"/>
      <c r="E25" s="469"/>
      <c r="F25" s="469"/>
      <c r="G25" s="469"/>
      <c r="H25" s="469"/>
      <c r="I25" s="470"/>
    </row>
    <row r="26" spans="1:9" ht="12" customHeight="1">
      <c r="C26" s="210"/>
      <c r="E26" s="464"/>
      <c r="F26" s="464"/>
      <c r="G26" s="464"/>
      <c r="H26" s="464"/>
      <c r="I26" s="403"/>
    </row>
    <row r="27" spans="1:9">
      <c r="C27" s="210"/>
      <c r="D27" s="471" t="s">
        <v>186</v>
      </c>
      <c r="E27" s="472"/>
      <c r="F27" s="472"/>
      <c r="G27" s="472"/>
      <c r="H27" s="472"/>
      <c r="I27" s="513" t="s">
        <v>187</v>
      </c>
    </row>
    <row r="28" spans="1:9">
      <c r="C28" s="210"/>
      <c r="D28" s="516"/>
      <c r="E28" s="473" t="str">
        <f>+E6</f>
        <v>Severe</v>
      </c>
      <c r="F28" s="473" t="s">
        <v>56</v>
      </c>
      <c r="G28" s="473" t="s">
        <v>6</v>
      </c>
      <c r="H28" s="473" t="s">
        <v>5</v>
      </c>
      <c r="I28" s="514" t="s">
        <v>190</v>
      </c>
    </row>
    <row r="29" spans="1:9">
      <c r="C29" s="210"/>
      <c r="D29" s="517"/>
      <c r="E29" s="518" t="str">
        <f>Curve&amp; " Curve"</f>
        <v>V\ Curve</v>
      </c>
      <c r="F29" s="518"/>
      <c r="G29" s="518"/>
      <c r="H29" s="518"/>
      <c r="I29" s="515"/>
    </row>
    <row r="30" spans="1:9" ht="5.0999999999999996" customHeight="1">
      <c r="C30" s="210"/>
      <c r="D30" s="210"/>
      <c r="E30" s="473"/>
      <c r="F30" s="473"/>
      <c r="G30" s="473"/>
      <c r="H30" s="473"/>
      <c r="I30" s="403"/>
    </row>
    <row r="31" spans="1:9">
      <c r="A31" s="400">
        <f t="shared" ref="A31" si="1">+A23-1</f>
        <v>-10</v>
      </c>
      <c r="B31" s="400"/>
      <c r="C31" s="210" t="s">
        <v>43</v>
      </c>
      <c r="E31" s="157">
        <f>+'LOB2 Costs'!O27</f>
        <v>90240</v>
      </c>
      <c r="F31" s="157"/>
      <c r="G31" s="157"/>
      <c r="H31" s="157"/>
      <c r="I31" s="496">
        <v>40</v>
      </c>
    </row>
    <row r="32" spans="1:9">
      <c r="A32" s="400">
        <f t="shared" ref="A32:A33" si="2">+A31-1</f>
        <v>-11</v>
      </c>
      <c r="B32" s="400"/>
      <c r="C32" s="210" t="s">
        <v>41</v>
      </c>
      <c r="E32" s="157">
        <f>+'LOB2 Costs'!R27</f>
        <v>13161</v>
      </c>
      <c r="F32" s="157"/>
      <c r="G32" s="157"/>
      <c r="H32" s="157"/>
      <c r="I32" s="497">
        <v>2500</v>
      </c>
    </row>
    <row r="33" spans="1:9">
      <c r="A33" s="400">
        <f t="shared" si="2"/>
        <v>-12</v>
      </c>
      <c r="B33" s="400"/>
      <c r="C33" s="461" t="s">
        <v>297</v>
      </c>
      <c r="D33" s="462"/>
      <c r="E33" s="397">
        <f>+'LOB2 Costs'!U27</f>
        <v>3444</v>
      </c>
      <c r="F33" s="397"/>
      <c r="G33" s="397"/>
      <c r="H33" s="397"/>
      <c r="I33" s="498">
        <v>2500</v>
      </c>
    </row>
    <row r="34" spans="1:9">
      <c r="E34" s="474"/>
      <c r="F34" s="474"/>
      <c r="G34" s="474"/>
      <c r="H34" s="474"/>
    </row>
    <row r="35" spans="1:9">
      <c r="A35" s="400">
        <f t="shared" ref="A35" si="3">+A33-1</f>
        <v>-13</v>
      </c>
      <c r="B35" s="400"/>
      <c r="C35" s="338" t="s">
        <v>189</v>
      </c>
      <c r="D35" s="210"/>
      <c r="E35" s="455">
        <f>SUMPRODUCT(E31:E33,I31:I33)/1000000</f>
        <v>45.122100000000003</v>
      </c>
      <c r="F35" s="455"/>
      <c r="G35" s="455"/>
      <c r="H35" s="455"/>
      <c r="I35" s="475" t="s">
        <v>191</v>
      </c>
    </row>
    <row r="36" spans="1:9">
      <c r="A36" s="400">
        <f>+A35-1</f>
        <v>-14</v>
      </c>
      <c r="B36" s="400"/>
      <c r="C36" s="476" t="s">
        <v>193</v>
      </c>
      <c r="D36" s="210"/>
      <c r="E36" s="477">
        <f>+E35/E23</f>
        <v>8.8496625120526917E-2</v>
      </c>
      <c r="F36" s="477"/>
      <c r="G36" s="477"/>
      <c r="H36" s="477"/>
      <c r="I36" s="475"/>
    </row>
    <row r="37" spans="1:9">
      <c r="C37" s="476"/>
      <c r="D37" s="210"/>
      <c r="E37" s="478"/>
      <c r="F37" s="478"/>
      <c r="G37" s="478"/>
      <c r="H37" s="478"/>
      <c r="I37" s="475"/>
    </row>
    <row r="38" spans="1:9">
      <c r="A38" s="400">
        <f>+A36-1</f>
        <v>-15</v>
      </c>
      <c r="B38" s="400"/>
      <c r="C38" s="338" t="s">
        <v>304</v>
      </c>
      <c r="E38" s="479">
        <f>+E23-E35</f>
        <v>464.75158092903541</v>
      </c>
      <c r="F38" s="479"/>
      <c r="G38" s="479"/>
      <c r="H38" s="479"/>
      <c r="I38" s="245"/>
    </row>
    <row r="39" spans="1:9">
      <c r="C39" s="210" t="s">
        <v>61</v>
      </c>
      <c r="D39" s="210"/>
      <c r="E39" s="466"/>
      <c r="F39" s="466"/>
      <c r="G39" s="466"/>
      <c r="H39" s="466"/>
      <c r="I39" s="245"/>
    </row>
    <row r="40" spans="1:9">
      <c r="C40" s="210"/>
      <c r="D40" s="210"/>
      <c r="E40" s="466"/>
      <c r="F40" s="466"/>
      <c r="G40" s="466"/>
      <c r="H40" s="466"/>
      <c r="I40" s="245"/>
    </row>
    <row r="41" spans="1:9">
      <c r="A41" s="400">
        <f>+A38-1</f>
        <v>-16</v>
      </c>
      <c r="B41" s="400"/>
      <c r="C41" s="338" t="s">
        <v>305</v>
      </c>
      <c r="D41" s="480"/>
      <c r="E41" s="481">
        <f>+E38*(1-TaxRate)</f>
        <v>302.08852760387305</v>
      </c>
      <c r="F41" s="481"/>
      <c r="G41" s="481"/>
      <c r="H41" s="526"/>
      <c r="I41" s="245"/>
    </row>
    <row r="42" spans="1:9">
      <c r="C42" s="338"/>
      <c r="D42" s="210"/>
      <c r="E42" s="35"/>
      <c r="F42" s="102"/>
      <c r="G42" s="102"/>
      <c r="H42" s="102"/>
      <c r="I42" s="245"/>
    </row>
    <row r="44" spans="1:9">
      <c r="C44" s="45" t="s">
        <v>335</v>
      </c>
    </row>
    <row r="45" spans="1:9">
      <c r="A45" s="384">
        <v>-1</v>
      </c>
      <c r="B45" s="384"/>
      <c r="C45" s="404" t="str">
        <f>'LOB2 Costs'!$M$1&amp; ": Column "&amp; TEXT(-'LOB2 Costs'!$D$7,"(0)") &amp;" + Column " &amp; TEXT(- 'LOB2 Costs'!$D$31,"(0)")</f>
        <v>Tab:: LOB2 Costs: Column (3) + Column (12)</v>
      </c>
    </row>
    <row r="46" spans="1:9">
      <c r="A46" s="383">
        <f t="shared" ref="A46:A51" si="4">+A45-1</f>
        <v>-2</v>
      </c>
      <c r="B46" s="383"/>
      <c r="C46" s="404" t="str">
        <f>'LOB2 Costs'!$M$1&amp; ": Column "&amp; TEXT(-'LOB2 Costs'!$H$7,"(0)") &amp;" + Column " &amp; TEXT(- 'LOB2 Costs'!$H$31,"(0)")</f>
        <v>Tab:: LOB2 Costs: Column (6) + Column (15)</v>
      </c>
    </row>
    <row r="47" spans="1:9">
      <c r="A47" s="383">
        <f t="shared" si="4"/>
        <v>-3</v>
      </c>
      <c r="B47" s="383"/>
      <c r="C47" s="404" t="str">
        <f>'LOB2 Costs'!$M$1&amp; ": Column "&amp; TEXT(-'LOB2 Costs'!$L$7,"(0)") &amp;" + Column " &amp; TEXT(- 'LOB2 Costs'!$L$31,"(0)")</f>
        <v>Tab:: LOB2 Costs: Column (9) + Column (18)</v>
      </c>
    </row>
    <row r="48" spans="1:9">
      <c r="A48" s="383">
        <f t="shared" si="4"/>
        <v>-4</v>
      </c>
      <c r="B48" s="383"/>
      <c r="C48" s="404" t="s">
        <v>306</v>
      </c>
    </row>
    <row r="49" spans="1:9">
      <c r="A49" s="383">
        <f t="shared" si="4"/>
        <v>-5</v>
      </c>
      <c r="B49" s="383"/>
      <c r="C49" s="404" t="str">
        <f>'ACF Costs'!H1&amp;": Column "&amp; TEXT(-'ACF Costs'!G10, "(0)")&amp;" * Self Insured Population / Population 0 to 69"</f>
        <v>Tab:: ACF Costs: Column (6) * Self Insured Population / Population 0 to 69</v>
      </c>
    </row>
    <row r="50" spans="1:9">
      <c r="A50" s="383">
        <f t="shared" si="4"/>
        <v>-6</v>
      </c>
      <c r="B50" s="383"/>
      <c r="C50" s="405" t="str">
        <f>'Deferred Care'!F1&amp;": Column " &amp; TEXT(-'Deferred Care'!A28, "(0)")&amp;" * Self Insured Population / Total Private Insurance"</f>
        <v>Tab:: Deferred Care: Column (10) * Self Insured Population / Total Private Insurance</v>
      </c>
    </row>
    <row r="51" spans="1:9">
      <c r="A51" s="383">
        <f t="shared" si="4"/>
        <v>-7</v>
      </c>
      <c r="B51" s="383"/>
      <c r="C51" s="404" t="s">
        <v>307</v>
      </c>
    </row>
    <row r="52" spans="1:9">
      <c r="A52" s="383">
        <f>+A51-1</f>
        <v>-8</v>
      </c>
      <c r="B52" s="383"/>
      <c r="C52" s="404" t="str">
        <f>"Inflation rate based on annual "&amp;InfRate*100&amp;"% increase"</f>
        <v>Inflation rate based on annual 7% increase</v>
      </c>
    </row>
    <row r="53" spans="1:9">
      <c r="A53" s="383">
        <f>+A52-1</f>
        <v>-9</v>
      </c>
      <c r="B53" s="383"/>
      <c r="C53" s="404" t="s">
        <v>308</v>
      </c>
    </row>
    <row r="54" spans="1:9">
      <c r="A54" s="383">
        <f t="shared" ref="A54:A60" si="5">+A53-1</f>
        <v>-10</v>
      </c>
      <c r="B54" s="383"/>
      <c r="C54" s="404" t="str">
        <f>'LOB2 Costs'!$M$1&amp; ": Column " &amp; TEXT(-'LOB2 Costs'!$B$7,"(0)") &amp; " + Column " &amp; TEXT(-'LOB2 Costs'!$B$31, "(0)")</f>
        <v>Tab:: LOB2 Costs: Column (1) + Column (10)</v>
      </c>
    </row>
    <row r="55" spans="1:9">
      <c r="A55" s="383">
        <f t="shared" si="5"/>
        <v>-11</v>
      </c>
      <c r="B55" s="383"/>
      <c r="C55" s="404" t="str">
        <f>'LOB2 Costs'!$M$1&amp; ": Column " &amp; TEXT(-'LOB2 Costs'!$F$7,"(0)") &amp; " + Column " &amp; TEXT(-'LOB2 Costs'!$F$31, "(0)")</f>
        <v>Tab:: LOB2 Costs: Column (4) + Column (13)</v>
      </c>
    </row>
    <row r="56" spans="1:9">
      <c r="A56" s="383">
        <f t="shared" si="5"/>
        <v>-12</v>
      </c>
      <c r="B56" s="383"/>
      <c r="C56" s="404" t="str">
        <f>'LOB2 Costs'!$M$1&amp; ": Column " &amp; TEXT(-'LOB2 Costs'!$J$7,"(0)") &amp; " + Column " &amp; TEXT(-'LOB2 Costs'!$J$31, "(0)")</f>
        <v>Tab:: LOB2 Costs: Column (7) + Column (16)</v>
      </c>
    </row>
    <row r="57" spans="1:9">
      <c r="A57" s="383">
        <f t="shared" si="5"/>
        <v>-13</v>
      </c>
      <c r="B57" s="383"/>
      <c r="C57" s="404" t="s">
        <v>314</v>
      </c>
    </row>
    <row r="58" spans="1:9">
      <c r="A58" s="383">
        <f t="shared" si="5"/>
        <v>-14</v>
      </c>
      <c r="B58" s="383"/>
      <c r="C58" s="404" t="s">
        <v>315</v>
      </c>
    </row>
    <row r="59" spans="1:9">
      <c r="A59" s="383">
        <f t="shared" si="5"/>
        <v>-15</v>
      </c>
      <c r="B59" s="383"/>
      <c r="C59" s="404" t="s">
        <v>334</v>
      </c>
    </row>
    <row r="60" spans="1:9">
      <c r="A60" s="383">
        <f t="shared" si="5"/>
        <v>-16</v>
      </c>
      <c r="B60" s="383"/>
      <c r="C60" s="404" t="str">
        <f>"(15) * (1 - "&amp;TaxRate&amp;" )"</f>
        <v>(15) * (1 - 0.35 )</v>
      </c>
    </row>
    <row r="62" spans="1:9">
      <c r="C62" s="338"/>
      <c r="D62" s="210"/>
      <c r="E62" s="35"/>
      <c r="F62" s="102"/>
      <c r="G62" s="102"/>
      <c r="H62" s="102"/>
      <c r="I62" s="245"/>
    </row>
    <row r="63" spans="1:9">
      <c r="C63" s="403"/>
      <c r="D63" s="403"/>
      <c r="E63" s="403"/>
      <c r="F63" s="403"/>
      <c r="G63" s="403"/>
      <c r="H63" s="482"/>
      <c r="I63" s="403"/>
    </row>
    <row r="64" spans="1:9">
      <c r="C64" s="27"/>
      <c r="D64" s="457" t="s">
        <v>156</v>
      </c>
      <c r="E64" s="459"/>
      <c r="F64" s="459"/>
      <c r="G64" s="459"/>
      <c r="H64" s="459"/>
      <c r="I64" s="403"/>
    </row>
    <row r="65" spans="3:9">
      <c r="C65" s="27"/>
      <c r="D65" s="27"/>
      <c r="E65" s="237" t="str">
        <f>+E$6</f>
        <v>Severe</v>
      </c>
      <c r="F65" s="237" t="s">
        <v>56</v>
      </c>
      <c r="G65" s="237" t="s">
        <v>6</v>
      </c>
      <c r="H65" s="237" t="s">
        <v>5</v>
      </c>
      <c r="I65" s="403"/>
    </row>
    <row r="66" spans="3:9" ht="5.0999999999999996" customHeight="1">
      <c r="C66" s="27"/>
      <c r="D66" s="27"/>
      <c r="E66" s="237"/>
      <c r="F66" s="237"/>
      <c r="G66" s="237"/>
      <c r="H66" s="237"/>
      <c r="I66" s="403"/>
    </row>
    <row r="67" spans="3:9">
      <c r="C67" s="403"/>
      <c r="D67" s="210" t="s">
        <v>153</v>
      </c>
      <c r="E67" s="382">
        <f>1000000*E10/E32</f>
        <v>16075.849099612489</v>
      </c>
      <c r="F67" s="382"/>
      <c r="G67" s="382"/>
      <c r="H67" s="382"/>
      <c r="I67" s="282"/>
    </row>
    <row r="68" spans="3:9">
      <c r="C68" s="483"/>
      <c r="D68" s="461" t="s">
        <v>154</v>
      </c>
      <c r="E68" s="484">
        <f>1000000*E11/E33</f>
        <v>63280.923344947725</v>
      </c>
      <c r="F68" s="484"/>
      <c r="G68" s="484"/>
      <c r="H68" s="484"/>
      <c r="I68" s="35"/>
    </row>
    <row r="69" spans="3:9">
      <c r="C69" s="403"/>
      <c r="D69" s="210" t="s">
        <v>144</v>
      </c>
      <c r="E69" s="35">
        <f>1000000*(E11+E10)/(E32+E33)</f>
        <v>25866.531165311648</v>
      </c>
      <c r="F69" s="35"/>
      <c r="G69" s="35"/>
      <c r="H69" s="35"/>
      <c r="I69" s="403"/>
    </row>
    <row r="70" spans="3:9">
      <c r="C70" s="403"/>
      <c r="D70" s="403"/>
      <c r="E70" s="403"/>
      <c r="F70" s="403"/>
      <c r="G70" s="403"/>
      <c r="H70" s="403"/>
      <c r="I70" s="403"/>
    </row>
    <row r="71" spans="3:9">
      <c r="C71" s="403"/>
      <c r="D71" s="210" t="s">
        <v>155</v>
      </c>
      <c r="E71" s="382">
        <f>1000000*E9/E31</f>
        <v>270.78440824468083</v>
      </c>
      <c r="F71" s="382"/>
      <c r="G71" s="382"/>
      <c r="H71" s="382"/>
      <c r="I71" s="403"/>
    </row>
  </sheetData>
  <printOptions horizontalCentered="1"/>
  <pageMargins left="0.5" right="0.5" top="0.5" bottom="0.85" header="0.5" footer="0.35"/>
  <pageSetup scale="93" orientation="portrait" r:id="rId1"/>
  <headerFooter alignWithMargins="0">
    <oddFooter>&amp;L&amp;8&amp;F 
&amp;A&amp;C&amp;8MBA Actuaries, Inc.&amp;R&amp;8&amp;D 
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78"/>
  <sheetViews>
    <sheetView zoomScaleNormal="100" workbookViewId="0">
      <selection activeCell="D4" sqref="D4"/>
    </sheetView>
  </sheetViews>
  <sheetFormatPr defaultRowHeight="12.75"/>
  <cols>
    <col min="1" max="1" width="8.140625" style="33" customWidth="1"/>
    <col min="2" max="2" width="9.5703125" style="33" customWidth="1"/>
    <col min="3" max="3" width="8.7109375" style="140" customWidth="1"/>
    <col min="4" max="4" width="7.7109375" style="33" customWidth="1"/>
    <col min="5" max="5" width="11.7109375" style="33" customWidth="1"/>
    <col min="6" max="6" width="7.42578125" style="33" customWidth="1"/>
    <col min="7" max="7" width="9.7109375" style="33" customWidth="1"/>
    <col min="8" max="8" width="11.7109375" style="98" customWidth="1"/>
    <col min="9" max="9" width="7.5703125" style="98" customWidth="1"/>
    <col min="10" max="10" width="9.7109375" style="33" customWidth="1"/>
    <col min="11" max="11" width="11.7109375" style="33" customWidth="1"/>
    <col min="12" max="12" width="0.5703125" style="33" customWidth="1"/>
    <col min="13" max="13" width="10.7109375" style="3" customWidth="1"/>
    <col min="14" max="14" width="16.140625" style="3" bestFit="1" customWidth="1"/>
    <col min="15" max="15" width="9.7109375" style="3" customWidth="1"/>
    <col min="16" max="16" width="1.7109375" style="3" customWidth="1"/>
    <col min="17" max="18" width="12.7109375" style="3" customWidth="1"/>
    <col min="19" max="19" width="1.5703125" style="3" customWidth="1"/>
    <col min="20" max="20" width="11.140625" style="3" customWidth="1"/>
    <col min="21" max="16384" width="9.140625" style="3"/>
  </cols>
  <sheetData>
    <row r="1" spans="1:21" s="16" customFormat="1">
      <c r="A1" s="446" t="str">
        <f>scenario</f>
        <v>Severe Scenario, V\ Curve</v>
      </c>
      <c r="J1" s="33"/>
      <c r="L1" s="164" t="s">
        <v>384</v>
      </c>
      <c r="U1" s="164" t="s">
        <v>384</v>
      </c>
    </row>
    <row r="2" spans="1:21" s="16" customFormat="1">
      <c r="J2" s="33"/>
      <c r="L2" s="169"/>
    </row>
    <row r="3" spans="1:21" s="16" customFormat="1" ht="15.75">
      <c r="A3" s="52" t="s">
        <v>165</v>
      </c>
      <c r="B3" s="18"/>
      <c r="C3" s="18"/>
      <c r="D3" s="18"/>
      <c r="E3" s="18"/>
      <c r="F3" s="18"/>
      <c r="G3" s="18"/>
      <c r="H3" s="18"/>
      <c r="I3" s="18"/>
      <c r="J3" s="18"/>
      <c r="K3" s="138"/>
      <c r="O3" s="20"/>
    </row>
    <row r="4" spans="1:21" s="16" customFormat="1">
      <c r="B4" s="18"/>
      <c r="C4" s="18"/>
      <c r="D4" s="18"/>
      <c r="E4" s="18"/>
      <c r="F4" s="18"/>
      <c r="G4" s="18"/>
      <c r="H4" s="18"/>
      <c r="I4" s="18"/>
      <c r="J4" s="18"/>
      <c r="K4" s="18"/>
      <c r="L4" s="448"/>
      <c r="N4" s="271" t="s">
        <v>341</v>
      </c>
      <c r="O4" s="271"/>
      <c r="P4" s="205"/>
      <c r="Q4" s="271" t="s">
        <v>342</v>
      </c>
      <c r="R4" s="271"/>
      <c r="S4" s="205"/>
      <c r="T4" s="271" t="s">
        <v>343</v>
      </c>
      <c r="U4" s="271"/>
    </row>
    <row r="5" spans="1:21" s="33" customFormat="1">
      <c r="A5" s="37" t="s">
        <v>36</v>
      </c>
      <c r="B5" s="37" t="s">
        <v>7</v>
      </c>
      <c r="C5" s="138" t="s">
        <v>54</v>
      </c>
      <c r="D5" s="138"/>
      <c r="E5" s="138"/>
      <c r="F5" s="138" t="s">
        <v>60</v>
      </c>
      <c r="G5" s="141"/>
      <c r="H5" s="141"/>
      <c r="I5" s="82" t="s">
        <v>55</v>
      </c>
      <c r="J5" s="82"/>
      <c r="K5" s="82"/>
      <c r="M5" s="37" t="s">
        <v>36</v>
      </c>
      <c r="N5" s="142" t="s">
        <v>1</v>
      </c>
      <c r="O5" s="143" t="s">
        <v>52</v>
      </c>
      <c r="P5" s="135"/>
      <c r="Q5" s="142" t="s">
        <v>1</v>
      </c>
      <c r="R5" s="143" t="s">
        <v>52</v>
      </c>
      <c r="S5" s="98"/>
      <c r="T5" s="142" t="s">
        <v>1</v>
      </c>
      <c r="U5" s="143" t="s">
        <v>52</v>
      </c>
    </row>
    <row r="6" spans="1:21" s="33" customFormat="1">
      <c r="A6" s="37" t="s">
        <v>37</v>
      </c>
      <c r="B6" s="37" t="s">
        <v>51</v>
      </c>
      <c r="C6" s="142" t="s">
        <v>34</v>
      </c>
      <c r="D6" s="229" t="s">
        <v>141</v>
      </c>
      <c r="E6" s="229" t="s">
        <v>164</v>
      </c>
      <c r="F6" s="37" t="s">
        <v>34</v>
      </c>
      <c r="G6" s="229" t="s">
        <v>141</v>
      </c>
      <c r="H6" s="229" t="s">
        <v>164</v>
      </c>
      <c r="I6" s="224" t="s">
        <v>38</v>
      </c>
      <c r="J6" s="229" t="s">
        <v>141</v>
      </c>
      <c r="K6" s="229" t="s">
        <v>164</v>
      </c>
      <c r="M6" s="37" t="s">
        <v>37</v>
      </c>
      <c r="N6" s="142" t="s">
        <v>34</v>
      </c>
      <c r="O6" s="37" t="s">
        <v>61</v>
      </c>
      <c r="P6" s="136"/>
      <c r="Q6" s="142" t="s">
        <v>34</v>
      </c>
      <c r="R6" s="37" t="s">
        <v>61</v>
      </c>
      <c r="S6" s="98"/>
      <c r="T6" s="142" t="s">
        <v>34</v>
      </c>
      <c r="U6" s="37" t="s">
        <v>61</v>
      </c>
    </row>
    <row r="7" spans="1:21" s="33" customFormat="1">
      <c r="A7" s="37"/>
      <c r="B7" s="401">
        <v>-1</v>
      </c>
      <c r="C7" s="401">
        <f t="shared" ref="C7:H7" si="0">B7-1</f>
        <v>-2</v>
      </c>
      <c r="D7" s="401">
        <f t="shared" si="0"/>
        <v>-3</v>
      </c>
      <c r="E7" s="401">
        <f t="shared" si="0"/>
        <v>-4</v>
      </c>
      <c r="F7" s="401">
        <f t="shared" si="0"/>
        <v>-5</v>
      </c>
      <c r="G7" s="401">
        <f t="shared" si="0"/>
        <v>-6</v>
      </c>
      <c r="H7" s="401">
        <f t="shared" si="0"/>
        <v>-7</v>
      </c>
      <c r="I7" s="401">
        <f t="shared" ref="I7" si="1">H7-1</f>
        <v>-8</v>
      </c>
      <c r="J7" s="401">
        <f>I7-1</f>
        <v>-9</v>
      </c>
      <c r="K7" s="401">
        <f>J7-1</f>
        <v>-10</v>
      </c>
      <c r="M7" s="37"/>
      <c r="N7" s="142"/>
      <c r="O7" s="37"/>
      <c r="P7" s="136"/>
      <c r="Q7" s="142"/>
      <c r="R7" s="37"/>
      <c r="S7" s="98"/>
      <c r="T7" s="142"/>
      <c r="U7" s="37"/>
    </row>
    <row r="8" spans="1:21" s="33" customFormat="1" ht="5.0999999999999996" customHeight="1">
      <c r="A8" s="37"/>
      <c r="B8" s="37"/>
      <c r="C8" s="142"/>
      <c r="D8" s="37"/>
      <c r="E8" s="37"/>
      <c r="F8" s="37"/>
      <c r="G8" s="143"/>
      <c r="H8" s="143"/>
      <c r="I8" s="224"/>
      <c r="J8" s="224"/>
      <c r="K8" s="224"/>
    </row>
    <row r="9" spans="1:21" s="33" customFormat="1">
      <c r="A9" s="41" t="str">
        <f>+'Morbidity Distribution'!A23</f>
        <v>0 - 4</v>
      </c>
      <c r="B9" s="140">
        <f t="shared" ref="B9:B26" si="2">1-B34</f>
        <v>0.95</v>
      </c>
      <c r="C9" s="98">
        <f>+'LOB2 Costs'!B9+'LOB1 Costs'!B9</f>
        <v>19544</v>
      </c>
      <c r="D9" s="202">
        <f>+'Provider Charges'!B10</f>
        <v>180</v>
      </c>
      <c r="E9" s="171">
        <f t="shared" ref="E9:E26" si="3">+D9*C9</f>
        <v>3517920</v>
      </c>
      <c r="F9" s="98">
        <f>+'LOB2 Costs'!F9+'LOB1 Costs'!E9</f>
        <v>5510</v>
      </c>
      <c r="G9" s="171">
        <f>+'Provider Charges'!F10</f>
        <v>9900</v>
      </c>
      <c r="H9" s="171">
        <f t="shared" ref="H9:H26" si="4">+G9*F9</f>
        <v>54549000</v>
      </c>
      <c r="I9" s="98">
        <f>+'LOB2 Costs'!J9+'LOB1 Costs'!H9</f>
        <v>949</v>
      </c>
      <c r="J9" s="282">
        <f>+'Provider Charges'!J10</f>
        <v>31500</v>
      </c>
      <c r="K9" s="35">
        <f t="shared" ref="K9:K26" si="5">+J9*I9</f>
        <v>29893500</v>
      </c>
      <c r="M9" s="41" t="str">
        <f t="shared" ref="M9:M26" si="6">+A34</f>
        <v>0 - 4</v>
      </c>
      <c r="N9" s="98">
        <f t="shared" ref="N9:N26" si="7">+C9+C34</f>
        <v>20486</v>
      </c>
      <c r="O9" s="451">
        <f t="shared" ref="O9:O26" si="8">(E9+E34)/1000000</f>
        <v>4.1066700000000003</v>
      </c>
      <c r="P9" s="69"/>
      <c r="Q9" s="98">
        <f t="shared" ref="Q9:Q26" si="9">+F9+F34</f>
        <v>5580</v>
      </c>
      <c r="R9" s="451">
        <f t="shared" ref="R9:R26" si="10">(H9+H34)/1000000</f>
        <v>59.4315</v>
      </c>
      <c r="S9" s="98"/>
      <c r="T9" s="98">
        <f t="shared" ref="T9:T26" si="11">+I9+I34</f>
        <v>982</v>
      </c>
      <c r="U9" s="451">
        <f t="shared" ref="U9:U26" si="12">(K9+K34)/1000000</f>
        <v>37.3185</v>
      </c>
    </row>
    <row r="10" spans="1:21" s="33" customFormat="1">
      <c r="A10" s="41" t="str">
        <f>+'Morbidity Distribution'!A24</f>
        <v>5 - 9</v>
      </c>
      <c r="B10" s="140">
        <f t="shared" si="2"/>
        <v>0.9</v>
      </c>
      <c r="C10" s="98">
        <f>+'LOB2 Costs'!B10+'LOB1 Costs'!B10</f>
        <v>13477</v>
      </c>
      <c r="D10" s="202">
        <f>+'Provider Charges'!B11</f>
        <v>150</v>
      </c>
      <c r="E10" s="171">
        <f t="shared" si="3"/>
        <v>2021550</v>
      </c>
      <c r="F10" s="98">
        <f>+'LOB2 Costs'!F10+'LOB1 Costs'!E10</f>
        <v>1262</v>
      </c>
      <c r="G10" s="171">
        <f>+'Provider Charges'!F11</f>
        <v>13050</v>
      </c>
      <c r="H10" s="171">
        <f t="shared" si="4"/>
        <v>16469100</v>
      </c>
      <c r="I10" s="98">
        <f>+'LOB2 Costs'!J10+'LOB1 Costs'!H10</f>
        <v>179</v>
      </c>
      <c r="J10" s="282">
        <f>+'Provider Charges'!J11</f>
        <v>22500</v>
      </c>
      <c r="K10" s="35">
        <f t="shared" si="5"/>
        <v>4027500</v>
      </c>
      <c r="M10" s="41" t="str">
        <f t="shared" si="6"/>
        <v>5 - 9</v>
      </c>
      <c r="N10" s="98">
        <f t="shared" si="7"/>
        <v>14859</v>
      </c>
      <c r="O10" s="451">
        <f t="shared" si="8"/>
        <v>2.8853</v>
      </c>
      <c r="P10" s="69"/>
      <c r="Q10" s="98">
        <f t="shared" si="9"/>
        <v>1295</v>
      </c>
      <c r="R10" s="451">
        <f t="shared" si="10"/>
        <v>17.6571</v>
      </c>
      <c r="S10" s="98"/>
      <c r="T10" s="98">
        <f t="shared" si="11"/>
        <v>192</v>
      </c>
      <c r="U10" s="451">
        <f t="shared" si="12"/>
        <v>5.7824999999999998</v>
      </c>
    </row>
    <row r="11" spans="1:21" s="33" customFormat="1">
      <c r="A11" s="41" t="str">
        <f>+'Morbidity Distribution'!A25</f>
        <v>10 - 14</v>
      </c>
      <c r="B11" s="140">
        <f t="shared" si="2"/>
        <v>0.9</v>
      </c>
      <c r="C11" s="98">
        <f>+'LOB2 Costs'!B11+'LOB1 Costs'!B11</f>
        <v>14585</v>
      </c>
      <c r="D11" s="202">
        <f>+'Provider Charges'!B12</f>
        <v>150</v>
      </c>
      <c r="E11" s="171">
        <f t="shared" si="3"/>
        <v>2187750</v>
      </c>
      <c r="F11" s="98">
        <f>+'LOB2 Costs'!F11+'LOB1 Costs'!E11</f>
        <v>1367</v>
      </c>
      <c r="G11" s="171">
        <f>+'Provider Charges'!F12</f>
        <v>13050</v>
      </c>
      <c r="H11" s="171">
        <f t="shared" si="4"/>
        <v>17839350</v>
      </c>
      <c r="I11" s="98">
        <f>+'LOB2 Costs'!J11+'LOB1 Costs'!H11</f>
        <v>192</v>
      </c>
      <c r="J11" s="282">
        <f>+'Provider Charges'!J12</f>
        <v>22500</v>
      </c>
      <c r="K11" s="35">
        <f t="shared" si="5"/>
        <v>4320000</v>
      </c>
      <c r="M11" s="41" t="str">
        <f t="shared" si="6"/>
        <v>10 - 14</v>
      </c>
      <c r="N11" s="98">
        <f t="shared" si="7"/>
        <v>16081</v>
      </c>
      <c r="O11" s="451">
        <f t="shared" si="8"/>
        <v>3.1227499999999999</v>
      </c>
      <c r="P11" s="69"/>
      <c r="Q11" s="98">
        <f t="shared" si="9"/>
        <v>1402</v>
      </c>
      <c r="R11" s="451">
        <f t="shared" si="10"/>
        <v>19.099350000000001</v>
      </c>
      <c r="S11" s="98"/>
      <c r="T11" s="98">
        <f t="shared" si="11"/>
        <v>206</v>
      </c>
      <c r="U11" s="451">
        <f t="shared" si="12"/>
        <v>6.21</v>
      </c>
    </row>
    <row r="12" spans="1:21" s="33" customFormat="1">
      <c r="A12" s="41" t="str">
        <f>+'Morbidity Distribution'!A26</f>
        <v>15 - 19</v>
      </c>
      <c r="B12" s="140">
        <f t="shared" si="2"/>
        <v>0.9</v>
      </c>
      <c r="C12" s="98">
        <f>+'LOB2 Costs'!B12+'LOB1 Costs'!B12</f>
        <v>14230</v>
      </c>
      <c r="D12" s="202">
        <f>+'Provider Charges'!B13</f>
        <v>150</v>
      </c>
      <c r="E12" s="171">
        <f t="shared" si="3"/>
        <v>2134500</v>
      </c>
      <c r="F12" s="98">
        <f>+'LOB2 Costs'!F12+'LOB1 Costs'!E12</f>
        <v>2333</v>
      </c>
      <c r="G12" s="171">
        <f>+'Provider Charges'!F13</f>
        <v>13050</v>
      </c>
      <c r="H12" s="171">
        <f t="shared" si="4"/>
        <v>30445650</v>
      </c>
      <c r="I12" s="98">
        <f>+'LOB2 Costs'!J12+'LOB1 Costs'!H12</f>
        <v>571</v>
      </c>
      <c r="J12" s="282">
        <f>+'Provider Charges'!J13</f>
        <v>22500</v>
      </c>
      <c r="K12" s="35">
        <f t="shared" si="5"/>
        <v>12847500</v>
      </c>
      <c r="M12" s="41" t="str">
        <f t="shared" si="6"/>
        <v>15 - 19</v>
      </c>
      <c r="N12" s="98">
        <f t="shared" si="7"/>
        <v>15689</v>
      </c>
      <c r="O12" s="451">
        <f t="shared" si="8"/>
        <v>3.0463749999999998</v>
      </c>
      <c r="P12" s="69"/>
      <c r="Q12" s="98">
        <f t="shared" si="9"/>
        <v>2401</v>
      </c>
      <c r="R12" s="451">
        <f t="shared" si="10"/>
        <v>32.893650000000001</v>
      </c>
      <c r="S12" s="98"/>
      <c r="T12" s="98">
        <f t="shared" si="11"/>
        <v>613</v>
      </c>
      <c r="U12" s="451">
        <f t="shared" si="12"/>
        <v>18.517499999999998</v>
      </c>
    </row>
    <row r="13" spans="1:21" s="33" customFormat="1">
      <c r="A13" s="41" t="str">
        <f>+'Morbidity Distribution'!A27</f>
        <v>20 - 24</v>
      </c>
      <c r="B13" s="140">
        <f t="shared" si="2"/>
        <v>0.85</v>
      </c>
      <c r="C13" s="98">
        <f>+'LOB2 Costs'!B13+'LOB1 Costs'!B13</f>
        <v>15084</v>
      </c>
      <c r="D13" s="202">
        <f>+'Provider Charges'!B14</f>
        <v>180</v>
      </c>
      <c r="E13" s="171">
        <f t="shared" si="3"/>
        <v>2715120</v>
      </c>
      <c r="F13" s="98">
        <f>+'LOB2 Costs'!F13+'LOB1 Costs'!E13</f>
        <v>3164</v>
      </c>
      <c r="G13" s="171">
        <f>+'Provider Charges'!F14</f>
        <v>16650</v>
      </c>
      <c r="H13" s="171">
        <f t="shared" si="4"/>
        <v>52680600</v>
      </c>
      <c r="I13" s="98">
        <f>+'LOB2 Costs'!J13+'LOB1 Costs'!H13</f>
        <v>796</v>
      </c>
      <c r="J13" s="282">
        <f>+'Provider Charges'!J14</f>
        <v>67500</v>
      </c>
      <c r="K13" s="35">
        <f t="shared" si="5"/>
        <v>53730000</v>
      </c>
      <c r="M13" s="41" t="str">
        <f t="shared" si="6"/>
        <v>20 - 24</v>
      </c>
      <c r="N13" s="98">
        <f t="shared" si="7"/>
        <v>17520</v>
      </c>
      <c r="O13" s="451">
        <f t="shared" si="8"/>
        <v>4.6639200000000001</v>
      </c>
      <c r="P13" s="69"/>
      <c r="Q13" s="98">
        <f t="shared" si="9"/>
        <v>3311</v>
      </c>
      <c r="R13" s="451">
        <f t="shared" si="10"/>
        <v>58.634099999999997</v>
      </c>
      <c r="S13" s="98"/>
      <c r="T13" s="98">
        <f t="shared" si="11"/>
        <v>885</v>
      </c>
      <c r="U13" s="451">
        <f t="shared" si="12"/>
        <v>59.737499999999997</v>
      </c>
    </row>
    <row r="14" spans="1:21" s="33" customFormat="1">
      <c r="A14" s="41" t="str">
        <f>+'Morbidity Distribution'!A28</f>
        <v>25 - 29</v>
      </c>
      <c r="B14" s="140">
        <f t="shared" si="2"/>
        <v>0.85</v>
      </c>
      <c r="C14" s="98">
        <f>+'LOB2 Costs'!B14+'LOB1 Costs'!B14</f>
        <v>13947</v>
      </c>
      <c r="D14" s="202">
        <f>+'Provider Charges'!B15</f>
        <v>180</v>
      </c>
      <c r="E14" s="171">
        <f t="shared" si="3"/>
        <v>2510460</v>
      </c>
      <c r="F14" s="98">
        <f>+'LOB2 Costs'!F14+'LOB1 Costs'!E14</f>
        <v>3437</v>
      </c>
      <c r="G14" s="171">
        <f>+'Provider Charges'!F15</f>
        <v>16650</v>
      </c>
      <c r="H14" s="171">
        <f t="shared" si="4"/>
        <v>57226050</v>
      </c>
      <c r="I14" s="98">
        <f>+'LOB2 Costs'!J14+'LOB1 Costs'!H14</f>
        <v>1088</v>
      </c>
      <c r="J14" s="171">
        <f>+'Provider Charges'!J15</f>
        <v>67500</v>
      </c>
      <c r="K14" s="98">
        <f t="shared" si="5"/>
        <v>73440000</v>
      </c>
      <c r="M14" s="41" t="str">
        <f t="shared" si="6"/>
        <v>25 - 29</v>
      </c>
      <c r="N14" s="98">
        <f t="shared" si="7"/>
        <v>16199</v>
      </c>
      <c r="O14" s="451">
        <f t="shared" si="8"/>
        <v>4.3120599999999998</v>
      </c>
      <c r="P14" s="69"/>
      <c r="Q14" s="98">
        <f t="shared" si="9"/>
        <v>3613</v>
      </c>
      <c r="R14" s="451">
        <f t="shared" si="10"/>
        <v>64.354050000000001</v>
      </c>
      <c r="S14" s="98"/>
      <c r="T14" s="98">
        <f t="shared" si="11"/>
        <v>1211</v>
      </c>
      <c r="U14" s="451">
        <f t="shared" si="12"/>
        <v>81.742500000000007</v>
      </c>
    </row>
    <row r="15" spans="1:21" s="33" customFormat="1">
      <c r="A15" s="41" t="str">
        <f>+'Morbidity Distribution'!A29</f>
        <v>30 - 34</v>
      </c>
      <c r="B15" s="140">
        <f t="shared" si="2"/>
        <v>0.85</v>
      </c>
      <c r="C15" s="98">
        <f>+'LOB2 Costs'!B15+'LOB1 Costs'!B15</f>
        <v>14712</v>
      </c>
      <c r="D15" s="202">
        <f>+'Provider Charges'!B16</f>
        <v>180</v>
      </c>
      <c r="E15" s="171">
        <f t="shared" si="3"/>
        <v>2648160</v>
      </c>
      <c r="F15" s="98">
        <f>+'LOB2 Costs'!F15+'LOB1 Costs'!E15</f>
        <v>3445</v>
      </c>
      <c r="G15" s="171">
        <f>+'Provider Charges'!F16</f>
        <v>16650</v>
      </c>
      <c r="H15" s="171">
        <f t="shared" si="4"/>
        <v>57359250</v>
      </c>
      <c r="I15" s="98">
        <f>+'LOB2 Costs'!J15+'LOB1 Costs'!H15</f>
        <v>1147</v>
      </c>
      <c r="J15" s="171">
        <f>+'Provider Charges'!J16</f>
        <v>67500</v>
      </c>
      <c r="K15" s="98">
        <f t="shared" si="5"/>
        <v>77422500</v>
      </c>
      <c r="M15" s="41" t="str">
        <f t="shared" si="6"/>
        <v>30 - 34</v>
      </c>
      <c r="N15" s="98">
        <f t="shared" si="7"/>
        <v>17087</v>
      </c>
      <c r="O15" s="451">
        <f t="shared" si="8"/>
        <v>4.5481600000000002</v>
      </c>
      <c r="P15" s="69"/>
      <c r="Q15" s="98">
        <f t="shared" si="9"/>
        <v>3630</v>
      </c>
      <c r="R15" s="451">
        <f t="shared" si="10"/>
        <v>64.851749999999996</v>
      </c>
      <c r="S15" s="98"/>
      <c r="T15" s="98">
        <f t="shared" si="11"/>
        <v>1277</v>
      </c>
      <c r="U15" s="451">
        <f t="shared" si="12"/>
        <v>86.197500000000005</v>
      </c>
    </row>
    <row r="16" spans="1:21" s="33" customFormat="1">
      <c r="A16" s="41" t="str">
        <f>+'Morbidity Distribution'!A30</f>
        <v>35 - 39</v>
      </c>
      <c r="B16" s="140">
        <f t="shared" si="2"/>
        <v>0.85</v>
      </c>
      <c r="C16" s="98">
        <f>+'LOB2 Costs'!B16+'LOB1 Costs'!B16</f>
        <v>15339</v>
      </c>
      <c r="D16" s="202">
        <f>+'Provider Charges'!B17</f>
        <v>180</v>
      </c>
      <c r="E16" s="171">
        <f t="shared" si="3"/>
        <v>2761020</v>
      </c>
      <c r="F16" s="98">
        <f>+'LOB2 Costs'!F16+'LOB1 Costs'!E16</f>
        <v>2771</v>
      </c>
      <c r="G16" s="171">
        <f>+'Provider Charges'!F17</f>
        <v>16650</v>
      </c>
      <c r="H16" s="171">
        <f t="shared" si="4"/>
        <v>46137150</v>
      </c>
      <c r="I16" s="98">
        <f>+'LOB2 Costs'!J16+'LOB1 Costs'!H16</f>
        <v>683</v>
      </c>
      <c r="J16" s="171">
        <f>+'Provider Charges'!J17</f>
        <v>67500</v>
      </c>
      <c r="K16" s="98">
        <f t="shared" si="5"/>
        <v>46102500</v>
      </c>
      <c r="M16" s="41" t="str">
        <f t="shared" si="6"/>
        <v>35 - 39</v>
      </c>
      <c r="N16" s="98">
        <f t="shared" si="7"/>
        <v>17815</v>
      </c>
      <c r="O16" s="451">
        <f t="shared" si="8"/>
        <v>4.7418199999999997</v>
      </c>
      <c r="P16" s="69"/>
      <c r="Q16" s="98">
        <f t="shared" si="9"/>
        <v>2920</v>
      </c>
      <c r="R16" s="451">
        <f t="shared" si="10"/>
        <v>52.17165</v>
      </c>
      <c r="S16" s="98"/>
      <c r="T16" s="98">
        <f t="shared" si="11"/>
        <v>760</v>
      </c>
      <c r="U16" s="451">
        <f t="shared" si="12"/>
        <v>51.3</v>
      </c>
    </row>
    <row r="17" spans="1:21" s="33" customFormat="1">
      <c r="A17" s="41" t="str">
        <f>+'Morbidity Distribution'!A31</f>
        <v>40 - 44</v>
      </c>
      <c r="B17" s="140">
        <f t="shared" si="2"/>
        <v>0.85</v>
      </c>
      <c r="C17" s="98">
        <f>+'LOB2 Costs'!B17+'LOB1 Costs'!B17</f>
        <v>16765</v>
      </c>
      <c r="D17" s="202">
        <f>+'Provider Charges'!B18</f>
        <v>180</v>
      </c>
      <c r="E17" s="171">
        <f t="shared" si="3"/>
        <v>3017700</v>
      </c>
      <c r="F17" s="98">
        <f>+'LOB2 Costs'!F17+'LOB1 Costs'!E17</f>
        <v>2203</v>
      </c>
      <c r="G17" s="171">
        <f>+'Provider Charges'!F18</f>
        <v>16650</v>
      </c>
      <c r="H17" s="171">
        <f t="shared" si="4"/>
        <v>36679950</v>
      </c>
      <c r="I17" s="98">
        <f>+'LOB2 Costs'!J17+'LOB1 Costs'!H17</f>
        <v>608</v>
      </c>
      <c r="J17" s="171">
        <f>+'Provider Charges'!J18</f>
        <v>67500</v>
      </c>
      <c r="K17" s="98">
        <f t="shared" si="5"/>
        <v>41040000</v>
      </c>
      <c r="M17" s="41" t="str">
        <f t="shared" si="6"/>
        <v>40 - 44</v>
      </c>
      <c r="N17" s="98">
        <f t="shared" si="7"/>
        <v>19472</v>
      </c>
      <c r="O17" s="451">
        <f t="shared" si="8"/>
        <v>5.1833</v>
      </c>
      <c r="P17" s="69"/>
      <c r="Q17" s="98">
        <f t="shared" si="9"/>
        <v>2317</v>
      </c>
      <c r="R17" s="451">
        <f t="shared" si="10"/>
        <v>41.296950000000002</v>
      </c>
      <c r="S17" s="98"/>
      <c r="T17" s="98">
        <f t="shared" si="11"/>
        <v>676</v>
      </c>
      <c r="U17" s="451">
        <f t="shared" si="12"/>
        <v>45.63</v>
      </c>
    </row>
    <row r="18" spans="1:21" s="33" customFormat="1">
      <c r="A18" s="41" t="str">
        <f>+'Morbidity Distribution'!A32</f>
        <v>45 - 49</v>
      </c>
      <c r="B18" s="140">
        <f t="shared" si="2"/>
        <v>0.8</v>
      </c>
      <c r="C18" s="98">
        <f>+'LOB2 Costs'!B18+'LOB1 Costs'!B18</f>
        <v>15377</v>
      </c>
      <c r="D18" s="202">
        <f>+'Provider Charges'!B19</f>
        <v>180</v>
      </c>
      <c r="E18" s="171">
        <f t="shared" si="3"/>
        <v>2767860</v>
      </c>
      <c r="F18" s="98">
        <f>+'LOB2 Costs'!F18+'LOB1 Costs'!E18</f>
        <v>1700</v>
      </c>
      <c r="G18" s="171">
        <f>+'Provider Charges'!F19</f>
        <v>16650</v>
      </c>
      <c r="H18" s="171">
        <f t="shared" si="4"/>
        <v>28305000</v>
      </c>
      <c r="I18" s="98">
        <f>+'LOB2 Costs'!J18+'LOB1 Costs'!H18</f>
        <v>440</v>
      </c>
      <c r="J18" s="171">
        <f>+'Provider Charges'!J19</f>
        <v>81000</v>
      </c>
      <c r="K18" s="98">
        <f t="shared" si="5"/>
        <v>35640000</v>
      </c>
      <c r="M18" s="41" t="str">
        <f t="shared" si="6"/>
        <v>45 - 49</v>
      </c>
      <c r="N18" s="98">
        <f t="shared" si="7"/>
        <v>18867</v>
      </c>
      <c r="O18" s="451">
        <f t="shared" si="8"/>
        <v>5.5598599999999996</v>
      </c>
      <c r="P18" s="69"/>
      <c r="Q18" s="98">
        <f t="shared" si="9"/>
        <v>1805</v>
      </c>
      <c r="R18" s="451">
        <f t="shared" si="10"/>
        <v>32.557499999999997</v>
      </c>
      <c r="S18" s="98"/>
      <c r="T18" s="98">
        <f t="shared" si="11"/>
        <v>508</v>
      </c>
      <c r="U18" s="451">
        <f t="shared" si="12"/>
        <v>41.148000000000003</v>
      </c>
    </row>
    <row r="19" spans="1:21" s="33" customFormat="1">
      <c r="A19" s="41" t="str">
        <f>+'Morbidity Distribution'!A33</f>
        <v>50 - 54</v>
      </c>
      <c r="B19" s="140">
        <f t="shared" si="2"/>
        <v>0.75</v>
      </c>
      <c r="C19" s="98">
        <f>+'LOB2 Costs'!B19+'LOB1 Costs'!B19</f>
        <v>12812</v>
      </c>
      <c r="D19" s="202">
        <f>+'Provider Charges'!B20</f>
        <v>250</v>
      </c>
      <c r="E19" s="171">
        <f t="shared" si="3"/>
        <v>3203000</v>
      </c>
      <c r="F19" s="98">
        <f>+'LOB2 Costs'!F19+'LOB1 Costs'!E19</f>
        <v>1077</v>
      </c>
      <c r="G19" s="171">
        <f>+'Provider Charges'!F20</f>
        <v>20250</v>
      </c>
      <c r="H19" s="171">
        <f t="shared" si="4"/>
        <v>21809250</v>
      </c>
      <c r="I19" s="98">
        <f>+'LOB2 Costs'!J19+'LOB1 Costs'!H19</f>
        <v>265</v>
      </c>
      <c r="J19" s="171">
        <f>+'Provider Charges'!J20</f>
        <v>108000</v>
      </c>
      <c r="K19" s="98">
        <f t="shared" si="5"/>
        <v>28620000</v>
      </c>
      <c r="M19" s="41" t="str">
        <f t="shared" si="6"/>
        <v>50 - 54</v>
      </c>
      <c r="N19" s="98">
        <f t="shared" si="7"/>
        <v>16660</v>
      </c>
      <c r="O19" s="451">
        <f t="shared" si="8"/>
        <v>6.2813999999999997</v>
      </c>
      <c r="P19" s="69"/>
      <c r="Q19" s="98">
        <f t="shared" si="9"/>
        <v>1157</v>
      </c>
      <c r="R19" s="451">
        <f t="shared" si="10"/>
        <v>24.689250000000001</v>
      </c>
      <c r="S19" s="98"/>
      <c r="T19" s="98">
        <f t="shared" si="11"/>
        <v>319</v>
      </c>
      <c r="U19" s="451">
        <f t="shared" si="12"/>
        <v>34.451999999999998</v>
      </c>
    </row>
    <row r="20" spans="1:21" s="33" customFormat="1">
      <c r="A20" s="41" t="str">
        <f>+'Morbidity Distribution'!A34</f>
        <v>55 - 59</v>
      </c>
      <c r="B20" s="140">
        <f t="shared" si="2"/>
        <v>0.65</v>
      </c>
      <c r="C20" s="98">
        <f>+'LOB2 Costs'!B20+'LOB1 Costs'!B20</f>
        <v>7445</v>
      </c>
      <c r="D20" s="202">
        <f>+'Provider Charges'!B21</f>
        <v>250</v>
      </c>
      <c r="E20" s="171">
        <f t="shared" si="3"/>
        <v>1861250</v>
      </c>
      <c r="F20" s="98">
        <f>+'LOB2 Costs'!F20+'LOB1 Costs'!E20</f>
        <v>668</v>
      </c>
      <c r="G20" s="171">
        <f>+'Provider Charges'!F21</f>
        <v>20250</v>
      </c>
      <c r="H20" s="171">
        <f t="shared" si="4"/>
        <v>13527000</v>
      </c>
      <c r="I20" s="98">
        <f>+'LOB2 Costs'!J20+'LOB1 Costs'!H20</f>
        <v>166</v>
      </c>
      <c r="J20" s="171">
        <f>+'Provider Charges'!J21</f>
        <v>108000</v>
      </c>
      <c r="K20" s="98">
        <f t="shared" si="5"/>
        <v>17928000</v>
      </c>
      <c r="M20" s="41" t="str">
        <f t="shared" si="6"/>
        <v>55 - 59</v>
      </c>
      <c r="N20" s="98">
        <f t="shared" si="7"/>
        <v>11013</v>
      </c>
      <c r="O20" s="451">
        <f t="shared" si="8"/>
        <v>4.7156500000000001</v>
      </c>
      <c r="P20" s="69"/>
      <c r="Q20" s="98">
        <f t="shared" si="9"/>
        <v>736</v>
      </c>
      <c r="R20" s="451">
        <f t="shared" si="10"/>
        <v>15.975</v>
      </c>
      <c r="S20" s="98"/>
      <c r="T20" s="98">
        <f t="shared" si="11"/>
        <v>217</v>
      </c>
      <c r="U20" s="451">
        <f t="shared" si="12"/>
        <v>23.436</v>
      </c>
    </row>
    <row r="21" spans="1:21" s="33" customFormat="1">
      <c r="A21" s="41" t="str">
        <f>+'Morbidity Distribution'!A35</f>
        <v>60 - 64</v>
      </c>
      <c r="B21" s="140">
        <f t="shared" si="2"/>
        <v>0.6</v>
      </c>
      <c r="C21" s="98">
        <f>+'LOB2 Costs'!B21+'LOB1 Costs'!B21</f>
        <v>3771</v>
      </c>
      <c r="D21" s="202">
        <f>+'Provider Charges'!B22</f>
        <v>250</v>
      </c>
      <c r="E21" s="171">
        <f t="shared" si="3"/>
        <v>942750</v>
      </c>
      <c r="F21" s="98">
        <f>+'LOB2 Costs'!F21+'LOB1 Costs'!E21</f>
        <v>320</v>
      </c>
      <c r="G21" s="171">
        <f>+'Provider Charges'!F22</f>
        <v>20250</v>
      </c>
      <c r="H21" s="171">
        <f t="shared" si="4"/>
        <v>6480000</v>
      </c>
      <c r="I21" s="98">
        <f>+'LOB2 Costs'!J21+'LOB1 Costs'!H21</f>
        <v>91</v>
      </c>
      <c r="J21" s="171">
        <f>+'Provider Charges'!J22</f>
        <v>108000</v>
      </c>
      <c r="K21" s="98">
        <f t="shared" si="5"/>
        <v>9828000</v>
      </c>
      <c r="M21" s="41" t="str">
        <f t="shared" si="6"/>
        <v>60 - 64</v>
      </c>
      <c r="N21" s="98">
        <f t="shared" si="7"/>
        <v>5985</v>
      </c>
      <c r="O21" s="451">
        <f t="shared" si="8"/>
        <v>2.7139500000000001</v>
      </c>
      <c r="P21" s="69"/>
      <c r="Q21" s="98">
        <f t="shared" si="9"/>
        <v>357</v>
      </c>
      <c r="R21" s="451">
        <f t="shared" si="10"/>
        <v>7.8120000000000003</v>
      </c>
      <c r="S21" s="98"/>
      <c r="T21" s="98">
        <f t="shared" si="11"/>
        <v>124</v>
      </c>
      <c r="U21" s="451">
        <f t="shared" si="12"/>
        <v>13.391999999999999</v>
      </c>
    </row>
    <row r="22" spans="1:21" s="33" customFormat="1">
      <c r="A22" s="41" t="str">
        <f>+'Morbidity Distribution'!A36</f>
        <v>65 - 69</v>
      </c>
      <c r="B22" s="140">
        <f t="shared" si="2"/>
        <v>0.55000000000000004</v>
      </c>
      <c r="C22" s="98">
        <f>+'LOB2 Costs'!B22+'LOB1 Costs'!B22</f>
        <v>1650</v>
      </c>
      <c r="D22" s="202">
        <f>+'Provider Charges'!B23</f>
        <v>225</v>
      </c>
      <c r="E22" s="171">
        <f t="shared" si="3"/>
        <v>371250</v>
      </c>
      <c r="F22" s="98">
        <f>+'LOB2 Costs'!F22+'LOB1 Costs'!E22</f>
        <v>168</v>
      </c>
      <c r="G22" s="171">
        <f>+'Provider Charges'!F23</f>
        <v>11250</v>
      </c>
      <c r="H22" s="171">
        <f t="shared" si="4"/>
        <v>1890000</v>
      </c>
      <c r="I22" s="98">
        <f>+'LOB2 Costs'!J22+'LOB1 Costs'!H22</f>
        <v>45</v>
      </c>
      <c r="J22" s="171">
        <f>+'Provider Charges'!J23</f>
        <v>54000</v>
      </c>
      <c r="K22" s="98">
        <f t="shared" si="5"/>
        <v>2430000</v>
      </c>
      <c r="M22" s="41" t="str">
        <f t="shared" si="6"/>
        <v>65 - 69</v>
      </c>
      <c r="N22" s="98">
        <f t="shared" si="7"/>
        <v>2825</v>
      </c>
      <c r="O22" s="451">
        <f t="shared" si="8"/>
        <v>1.135</v>
      </c>
      <c r="P22" s="69"/>
      <c r="Q22" s="98">
        <f t="shared" si="9"/>
        <v>189</v>
      </c>
      <c r="R22" s="451">
        <f t="shared" si="10"/>
        <v>2.3624999999999998</v>
      </c>
      <c r="S22" s="98"/>
      <c r="T22" s="98">
        <f t="shared" si="11"/>
        <v>65</v>
      </c>
      <c r="U22" s="451">
        <f t="shared" si="12"/>
        <v>3.51</v>
      </c>
    </row>
    <row r="23" spans="1:21" s="33" customFormat="1">
      <c r="A23" s="41" t="str">
        <f>+'Morbidity Distribution'!A37</f>
        <v>70 - 74</v>
      </c>
      <c r="B23" s="140">
        <f t="shared" si="2"/>
        <v>0.5</v>
      </c>
      <c r="C23" s="98">
        <f>+'LOB2 Costs'!B23+'LOB1 Costs'!B23</f>
        <v>0</v>
      </c>
      <c r="D23" s="202">
        <f>+'Provider Charges'!B24</f>
        <v>225</v>
      </c>
      <c r="E23" s="171">
        <f t="shared" si="3"/>
        <v>0</v>
      </c>
      <c r="F23" s="98">
        <f>+'LOB2 Costs'!F23+'LOB1 Costs'!E23</f>
        <v>0</v>
      </c>
      <c r="G23" s="171">
        <f>+'Provider Charges'!F24</f>
        <v>10350</v>
      </c>
      <c r="H23" s="171">
        <f t="shared" si="4"/>
        <v>0</v>
      </c>
      <c r="I23" s="98">
        <f>+'LOB2 Costs'!J23+'LOB1 Costs'!H23</f>
        <v>0</v>
      </c>
      <c r="J23" s="171">
        <f>+'Provider Charges'!J24</f>
        <v>31950</v>
      </c>
      <c r="K23" s="98">
        <f t="shared" si="5"/>
        <v>0</v>
      </c>
      <c r="M23" s="41" t="str">
        <f t="shared" si="6"/>
        <v>70 - 74</v>
      </c>
      <c r="N23" s="98">
        <f t="shared" si="7"/>
        <v>0</v>
      </c>
      <c r="O23" s="451">
        <f t="shared" si="8"/>
        <v>0</v>
      </c>
      <c r="P23" s="69"/>
      <c r="Q23" s="98">
        <f t="shared" si="9"/>
        <v>0</v>
      </c>
      <c r="R23" s="451">
        <f t="shared" si="10"/>
        <v>0</v>
      </c>
      <c r="S23" s="98"/>
      <c r="T23" s="98">
        <f t="shared" si="11"/>
        <v>0</v>
      </c>
      <c r="U23" s="451">
        <f t="shared" si="12"/>
        <v>0</v>
      </c>
    </row>
    <row r="24" spans="1:21" s="33" customFormat="1">
      <c r="A24" s="41" t="str">
        <f>+'Morbidity Distribution'!A38</f>
        <v>75 - 79</v>
      </c>
      <c r="B24" s="140">
        <f t="shared" si="2"/>
        <v>0.44999999999999996</v>
      </c>
      <c r="C24" s="98">
        <f>+'LOB2 Costs'!B24+'LOB1 Costs'!B24</f>
        <v>0</v>
      </c>
      <c r="D24" s="202">
        <f>+'Provider Charges'!B25</f>
        <v>225</v>
      </c>
      <c r="E24" s="171">
        <f t="shared" si="3"/>
        <v>0</v>
      </c>
      <c r="F24" s="98">
        <f>+'LOB2 Costs'!F24+'LOB1 Costs'!E24</f>
        <v>0</v>
      </c>
      <c r="G24" s="171">
        <f>+'Provider Charges'!F25</f>
        <v>10350</v>
      </c>
      <c r="H24" s="171">
        <f t="shared" si="4"/>
        <v>0</v>
      </c>
      <c r="I24" s="98">
        <f>+'LOB2 Costs'!J24+'LOB1 Costs'!H24</f>
        <v>0</v>
      </c>
      <c r="J24" s="171">
        <f>+'Provider Charges'!J25</f>
        <v>31950</v>
      </c>
      <c r="K24" s="98">
        <f t="shared" si="5"/>
        <v>0</v>
      </c>
      <c r="M24" s="41" t="str">
        <f t="shared" si="6"/>
        <v>75 - 79</v>
      </c>
      <c r="N24" s="98">
        <f t="shared" si="7"/>
        <v>0</v>
      </c>
      <c r="O24" s="451">
        <f t="shared" si="8"/>
        <v>0</v>
      </c>
      <c r="P24" s="69"/>
      <c r="Q24" s="98">
        <f t="shared" si="9"/>
        <v>0</v>
      </c>
      <c r="R24" s="451">
        <f t="shared" si="10"/>
        <v>0</v>
      </c>
      <c r="S24" s="98"/>
      <c r="T24" s="98">
        <f t="shared" si="11"/>
        <v>0</v>
      </c>
      <c r="U24" s="451">
        <f t="shared" si="12"/>
        <v>0</v>
      </c>
    </row>
    <row r="25" spans="1:21" s="33" customFormat="1">
      <c r="A25" s="41" t="str">
        <f>+'Morbidity Distribution'!A39</f>
        <v>80 - 84</v>
      </c>
      <c r="B25" s="140">
        <f t="shared" si="2"/>
        <v>0.44999999999999996</v>
      </c>
      <c r="C25" s="98">
        <f>+'LOB2 Costs'!B25+'LOB1 Costs'!B25</f>
        <v>0</v>
      </c>
      <c r="D25" s="202">
        <f>+'Provider Charges'!B26</f>
        <v>225</v>
      </c>
      <c r="E25" s="171">
        <f t="shared" si="3"/>
        <v>0</v>
      </c>
      <c r="F25" s="98">
        <f>+'LOB2 Costs'!F25+'LOB1 Costs'!E25</f>
        <v>0</v>
      </c>
      <c r="G25" s="171">
        <f>+'Provider Charges'!F26</f>
        <v>10350</v>
      </c>
      <c r="H25" s="171">
        <f t="shared" si="4"/>
        <v>0</v>
      </c>
      <c r="I25" s="98">
        <f>+'LOB2 Costs'!J25+'LOB1 Costs'!H25</f>
        <v>0</v>
      </c>
      <c r="J25" s="171">
        <f>+'Provider Charges'!J26</f>
        <v>31950</v>
      </c>
      <c r="K25" s="98">
        <f t="shared" si="5"/>
        <v>0</v>
      </c>
      <c r="M25" s="41" t="str">
        <f t="shared" si="6"/>
        <v>80 - 84</v>
      </c>
      <c r="N25" s="98">
        <f t="shared" si="7"/>
        <v>0</v>
      </c>
      <c r="O25" s="451">
        <f t="shared" si="8"/>
        <v>0</v>
      </c>
      <c r="P25" s="69"/>
      <c r="Q25" s="98">
        <f t="shared" si="9"/>
        <v>0</v>
      </c>
      <c r="R25" s="451">
        <f t="shared" si="10"/>
        <v>0</v>
      </c>
      <c r="S25" s="98"/>
      <c r="T25" s="98">
        <f t="shared" si="11"/>
        <v>0</v>
      </c>
      <c r="U25" s="451">
        <f t="shared" si="12"/>
        <v>0</v>
      </c>
    </row>
    <row r="26" spans="1:21" s="33" customFormat="1">
      <c r="A26" s="41" t="str">
        <f>+'Morbidity Distribution'!A40</f>
        <v>85+</v>
      </c>
      <c r="B26" s="140">
        <f t="shared" si="2"/>
        <v>0.44999999999999996</v>
      </c>
      <c r="C26" s="98">
        <f>+'LOB2 Costs'!B26+'LOB1 Costs'!B26</f>
        <v>0</v>
      </c>
      <c r="D26" s="202">
        <f>+'Provider Charges'!B27</f>
        <v>225</v>
      </c>
      <c r="E26" s="171">
        <f t="shared" si="3"/>
        <v>0</v>
      </c>
      <c r="F26" s="98">
        <f>+'LOB2 Costs'!F26+'LOB1 Costs'!E26</f>
        <v>0</v>
      </c>
      <c r="G26" s="171">
        <f>+'Provider Charges'!F27</f>
        <v>10350</v>
      </c>
      <c r="H26" s="171">
        <f t="shared" si="4"/>
        <v>0</v>
      </c>
      <c r="I26" s="98">
        <f>+'LOB2 Costs'!J26+'LOB1 Costs'!H26</f>
        <v>0</v>
      </c>
      <c r="J26" s="171">
        <f>+'Provider Charges'!J27</f>
        <v>31950</v>
      </c>
      <c r="K26" s="98">
        <f t="shared" si="5"/>
        <v>0</v>
      </c>
      <c r="M26" s="41" t="str">
        <f t="shared" si="6"/>
        <v>85+</v>
      </c>
      <c r="N26" s="98">
        <f t="shared" si="7"/>
        <v>0</v>
      </c>
      <c r="O26" s="451">
        <f t="shared" si="8"/>
        <v>0</v>
      </c>
      <c r="P26" s="69"/>
      <c r="Q26" s="98">
        <f t="shared" si="9"/>
        <v>0</v>
      </c>
      <c r="R26" s="451">
        <f t="shared" si="10"/>
        <v>0</v>
      </c>
      <c r="S26" s="98"/>
      <c r="T26" s="98">
        <f t="shared" si="11"/>
        <v>0</v>
      </c>
      <c r="U26" s="451">
        <f t="shared" si="12"/>
        <v>0</v>
      </c>
    </row>
    <row r="27" spans="1:21" s="33" customFormat="1" ht="5.0999999999999996" customHeight="1">
      <c r="A27" s="41"/>
      <c r="B27" s="140"/>
      <c r="C27" s="98"/>
      <c r="D27" s="202"/>
      <c r="E27" s="171"/>
      <c r="F27" s="98"/>
      <c r="G27" s="171"/>
      <c r="H27" s="171"/>
      <c r="I27" s="98"/>
      <c r="J27" s="171"/>
      <c r="K27" s="98"/>
      <c r="M27" s="41"/>
      <c r="N27" s="98"/>
      <c r="O27" s="451"/>
      <c r="P27" s="69"/>
      <c r="Q27" s="98"/>
      <c r="R27" s="451"/>
      <c r="S27" s="98"/>
      <c r="T27" s="98"/>
      <c r="U27" s="451"/>
    </row>
    <row r="28" spans="1:21" s="33" customFormat="1">
      <c r="A28" s="79" t="str">
        <f>+'Morbidity Distribution'!A41</f>
        <v>Total</v>
      </c>
      <c r="C28" s="98">
        <f>SUM(C9:C26)</f>
        <v>178738</v>
      </c>
      <c r="D28" s="202"/>
      <c r="E28" s="171">
        <f>SUM(E9:E26)</f>
        <v>32660290</v>
      </c>
      <c r="F28" s="171">
        <f>SUM(F9:F26)</f>
        <v>29425</v>
      </c>
      <c r="G28" s="171"/>
      <c r="H28" s="171">
        <f>SUM(H9:H26)</f>
        <v>441397350</v>
      </c>
      <c r="I28" s="171">
        <f>SUM(I9:I26)</f>
        <v>7220</v>
      </c>
      <c r="J28" s="171"/>
      <c r="K28" s="98">
        <f>SUM(K9:K26)</f>
        <v>437269500</v>
      </c>
      <c r="M28" s="41" t="s">
        <v>1</v>
      </c>
      <c r="N28" s="144">
        <f>SUM(N9:N26)</f>
        <v>210558</v>
      </c>
      <c r="O28" s="451">
        <f>SUM(O9:O26)</f>
        <v>57.016214999999995</v>
      </c>
      <c r="P28" s="69"/>
      <c r="Q28" s="144">
        <f>SUM(Q9:Q26)</f>
        <v>30713</v>
      </c>
      <c r="R28" s="451">
        <f>SUM(R9:R26)</f>
        <v>493.78635000000003</v>
      </c>
      <c r="S28" s="98"/>
      <c r="T28" s="144">
        <f>SUM(T9:T26)</f>
        <v>8035</v>
      </c>
      <c r="U28" s="451">
        <f>SUM(U9:U26)</f>
        <v>508.37399999999997</v>
      </c>
    </row>
    <row r="29" spans="1:21" s="33" customFormat="1">
      <c r="A29" s="79"/>
      <c r="C29" s="98"/>
      <c r="D29" s="202"/>
      <c r="E29" s="171"/>
      <c r="F29" s="171"/>
      <c r="G29" s="171"/>
      <c r="H29" s="171"/>
      <c r="I29" s="171"/>
      <c r="J29" s="171"/>
      <c r="K29" s="98"/>
      <c r="O29" s="140"/>
      <c r="P29" s="144"/>
      <c r="Q29" s="144"/>
      <c r="S29" s="98"/>
      <c r="T29" s="144"/>
      <c r="U29" s="453"/>
    </row>
    <row r="30" spans="1:21" s="33" customFormat="1">
      <c r="A30" s="37" t="s">
        <v>36</v>
      </c>
      <c r="B30" s="37" t="s">
        <v>7</v>
      </c>
      <c r="C30" s="138" t="s">
        <v>58</v>
      </c>
      <c r="D30" s="172"/>
      <c r="E30" s="172"/>
      <c r="F30" s="172" t="s">
        <v>79</v>
      </c>
      <c r="G30" s="291"/>
      <c r="H30" s="291"/>
      <c r="I30" s="289" t="s">
        <v>59</v>
      </c>
      <c r="J30" s="289"/>
      <c r="K30" s="82"/>
      <c r="U30" s="41"/>
    </row>
    <row r="31" spans="1:21" s="33" customFormat="1">
      <c r="A31" s="37" t="s">
        <v>37</v>
      </c>
      <c r="B31" s="37" t="s">
        <v>53</v>
      </c>
      <c r="C31" s="142" t="s">
        <v>34</v>
      </c>
      <c r="D31" s="229" t="s">
        <v>141</v>
      </c>
      <c r="E31" s="229" t="s">
        <v>164</v>
      </c>
      <c r="F31" s="229" t="s">
        <v>34</v>
      </c>
      <c r="G31" s="229" t="s">
        <v>141</v>
      </c>
      <c r="H31" s="229" t="s">
        <v>164</v>
      </c>
      <c r="I31" s="237" t="s">
        <v>38</v>
      </c>
      <c r="J31" s="229" t="s">
        <v>141</v>
      </c>
      <c r="K31" s="229" t="s">
        <v>164</v>
      </c>
      <c r="O31" s="140"/>
      <c r="S31" s="98"/>
      <c r="T31" s="98"/>
    </row>
    <row r="32" spans="1:21" s="33" customFormat="1">
      <c r="A32" s="37"/>
      <c r="B32" s="401">
        <f>K7-1</f>
        <v>-11</v>
      </c>
      <c r="C32" s="401">
        <f t="shared" ref="C32:H32" si="13">B32-1</f>
        <v>-12</v>
      </c>
      <c r="D32" s="401">
        <f t="shared" si="13"/>
        <v>-13</v>
      </c>
      <c r="E32" s="401">
        <f t="shared" si="13"/>
        <v>-14</v>
      </c>
      <c r="F32" s="401">
        <f t="shared" si="13"/>
        <v>-15</v>
      </c>
      <c r="G32" s="401">
        <f t="shared" si="13"/>
        <v>-16</v>
      </c>
      <c r="H32" s="401">
        <f t="shared" si="13"/>
        <v>-17</v>
      </c>
      <c r="I32" s="401">
        <f t="shared" ref="I32" si="14">H32-1</f>
        <v>-18</v>
      </c>
      <c r="J32" s="401">
        <f>I32-1</f>
        <v>-19</v>
      </c>
      <c r="K32" s="401">
        <f>J32-1</f>
        <v>-20</v>
      </c>
      <c r="O32" s="140"/>
      <c r="S32" s="98"/>
      <c r="T32" s="98"/>
    </row>
    <row r="33" spans="1:18" s="33" customFormat="1" ht="5.0999999999999996" customHeight="1">
      <c r="A33" s="37"/>
      <c r="B33" s="37"/>
      <c r="C33" s="142"/>
      <c r="D33" s="229"/>
      <c r="E33" s="229"/>
      <c r="F33" s="229"/>
      <c r="G33" s="290"/>
      <c r="H33" s="290"/>
      <c r="I33" s="237"/>
      <c r="J33" s="237"/>
      <c r="K33" s="224"/>
      <c r="Q33" s="138"/>
      <c r="R33" s="138"/>
    </row>
    <row r="34" spans="1:18" s="33" customFormat="1">
      <c r="A34" s="41" t="str">
        <f t="shared" ref="A34:A51" si="15">+A9</f>
        <v>0 - 4</v>
      </c>
      <c r="B34" s="140">
        <f>+'Distribution by Risk Class'!C9</f>
        <v>0.05</v>
      </c>
      <c r="C34" s="98">
        <f>+'LOB2 Costs'!B33+'LOB1 Costs'!B33</f>
        <v>942</v>
      </c>
      <c r="D34" s="202">
        <f>+'Provider Charges'!B33</f>
        <v>625</v>
      </c>
      <c r="E34" s="171">
        <f t="shared" ref="E34:E51" si="16">+D34*C34</f>
        <v>588750</v>
      </c>
      <c r="F34" s="98">
        <f>+'LOB2 Costs'!F33+'LOB1 Costs'!E33</f>
        <v>70</v>
      </c>
      <c r="G34" s="171">
        <f>+'Provider Charges'!F33</f>
        <v>69750</v>
      </c>
      <c r="H34" s="171">
        <f t="shared" ref="H34:H51" si="17">+G34*F34</f>
        <v>4882500</v>
      </c>
      <c r="I34" s="98">
        <f>+'LOB2 Costs'!J33+'LOB1 Costs'!H33</f>
        <v>33</v>
      </c>
      <c r="J34" s="282">
        <f>+'Provider Charges'!J33</f>
        <v>225000</v>
      </c>
      <c r="K34" s="35">
        <f t="shared" ref="K34:K51" si="18">+J34*I34</f>
        <v>7425000</v>
      </c>
      <c r="N34" s="297"/>
    </row>
    <row r="35" spans="1:18" s="33" customFormat="1">
      <c r="A35" s="41" t="str">
        <f t="shared" si="15"/>
        <v>5 - 9</v>
      </c>
      <c r="B35" s="140">
        <f>+'Distribution by Risk Class'!C10</f>
        <v>0.1</v>
      </c>
      <c r="C35" s="98">
        <f>+'LOB2 Costs'!B34+'LOB1 Costs'!B34</f>
        <v>1382</v>
      </c>
      <c r="D35" s="202">
        <f>+'Provider Charges'!B34</f>
        <v>625</v>
      </c>
      <c r="E35" s="171">
        <f t="shared" si="16"/>
        <v>863750</v>
      </c>
      <c r="F35" s="98">
        <f>+'LOB2 Costs'!F34+'LOB1 Costs'!E34</f>
        <v>33</v>
      </c>
      <c r="G35" s="171">
        <f>+'Provider Charges'!F34</f>
        <v>36000</v>
      </c>
      <c r="H35" s="171">
        <f t="shared" si="17"/>
        <v>1188000</v>
      </c>
      <c r="I35" s="98">
        <f>+'LOB2 Costs'!J34+'LOB1 Costs'!H34</f>
        <v>13</v>
      </c>
      <c r="J35" s="282">
        <f>+'Provider Charges'!J34</f>
        <v>135000</v>
      </c>
      <c r="K35" s="35">
        <f t="shared" si="18"/>
        <v>1755000</v>
      </c>
      <c r="N35" s="56"/>
      <c r="O35" s="202"/>
    </row>
    <row r="36" spans="1:18">
      <c r="A36" s="41" t="str">
        <f t="shared" si="15"/>
        <v>10 - 14</v>
      </c>
      <c r="B36" s="140">
        <f>+'Distribution by Risk Class'!C11</f>
        <v>0.1</v>
      </c>
      <c r="C36" s="98">
        <f>+'LOB2 Costs'!B35+'LOB1 Costs'!B35</f>
        <v>1496</v>
      </c>
      <c r="D36" s="202">
        <f>+'Provider Charges'!B35</f>
        <v>625</v>
      </c>
      <c r="E36" s="171">
        <f t="shared" si="16"/>
        <v>935000</v>
      </c>
      <c r="F36" s="98">
        <f>+'LOB2 Costs'!F35+'LOB1 Costs'!E35</f>
        <v>35</v>
      </c>
      <c r="G36" s="171">
        <f>+'Provider Charges'!F35</f>
        <v>36000</v>
      </c>
      <c r="H36" s="171">
        <f t="shared" si="17"/>
        <v>1260000</v>
      </c>
      <c r="I36" s="98">
        <f>+'LOB2 Costs'!J35+'LOB1 Costs'!H35</f>
        <v>14</v>
      </c>
      <c r="J36" s="282">
        <f>+'Provider Charges'!J35</f>
        <v>135000</v>
      </c>
      <c r="K36" s="35">
        <f t="shared" si="18"/>
        <v>1890000</v>
      </c>
      <c r="N36" s="98"/>
      <c r="O36" s="202"/>
    </row>
    <row r="37" spans="1:18">
      <c r="A37" s="41" t="str">
        <f t="shared" si="15"/>
        <v>15 - 19</v>
      </c>
      <c r="B37" s="140">
        <f>+'Distribution by Risk Class'!C12</f>
        <v>0.1</v>
      </c>
      <c r="C37" s="98">
        <f>+'LOB2 Costs'!B36+'LOB1 Costs'!B36</f>
        <v>1459</v>
      </c>
      <c r="D37" s="202">
        <f>+'Provider Charges'!B36</f>
        <v>625</v>
      </c>
      <c r="E37" s="171">
        <f t="shared" si="16"/>
        <v>911875</v>
      </c>
      <c r="F37" s="98">
        <f>+'LOB2 Costs'!F36+'LOB1 Costs'!E36</f>
        <v>68</v>
      </c>
      <c r="G37" s="171">
        <f>+'Provider Charges'!F36</f>
        <v>36000</v>
      </c>
      <c r="H37" s="171">
        <f t="shared" si="17"/>
        <v>2448000</v>
      </c>
      <c r="I37" s="98">
        <f>+'LOB2 Costs'!J36+'LOB1 Costs'!H36</f>
        <v>42</v>
      </c>
      <c r="J37" s="282">
        <f>+'Provider Charges'!J36</f>
        <v>135000</v>
      </c>
      <c r="K37" s="35">
        <f t="shared" si="18"/>
        <v>5670000</v>
      </c>
      <c r="N37" s="98"/>
      <c r="O37" s="202"/>
    </row>
    <row r="38" spans="1:18">
      <c r="A38" s="41" t="str">
        <f t="shared" si="15"/>
        <v>20 - 24</v>
      </c>
      <c r="B38" s="140">
        <f>+'Distribution by Risk Class'!C13</f>
        <v>0.15</v>
      </c>
      <c r="C38" s="98">
        <f>+'LOB2 Costs'!B37+'LOB1 Costs'!B37</f>
        <v>2436</v>
      </c>
      <c r="D38" s="202">
        <f>+'Provider Charges'!B37</f>
        <v>800</v>
      </c>
      <c r="E38" s="171">
        <f t="shared" si="16"/>
        <v>1948800</v>
      </c>
      <c r="F38" s="98">
        <f>+'LOB2 Costs'!F37+'LOB1 Costs'!E37</f>
        <v>147</v>
      </c>
      <c r="G38" s="171">
        <f>+'Provider Charges'!F37</f>
        <v>40500</v>
      </c>
      <c r="H38" s="171">
        <f t="shared" si="17"/>
        <v>5953500</v>
      </c>
      <c r="I38" s="98">
        <f>+'LOB2 Costs'!J37+'LOB1 Costs'!H37</f>
        <v>89</v>
      </c>
      <c r="J38" s="171">
        <f>+'Provider Charges'!J37</f>
        <v>67500</v>
      </c>
      <c r="K38" s="98">
        <f t="shared" si="18"/>
        <v>6007500</v>
      </c>
      <c r="N38" s="98"/>
      <c r="O38" s="33"/>
    </row>
    <row r="39" spans="1:18">
      <c r="A39" s="41" t="str">
        <f t="shared" si="15"/>
        <v>25 - 29</v>
      </c>
      <c r="B39" s="140">
        <f>+'Distribution by Risk Class'!C14</f>
        <v>0.15</v>
      </c>
      <c r="C39" s="98">
        <f>+'LOB2 Costs'!B38+'LOB1 Costs'!B38</f>
        <v>2252</v>
      </c>
      <c r="D39" s="202">
        <f>+'Provider Charges'!B38</f>
        <v>800</v>
      </c>
      <c r="E39" s="171">
        <f t="shared" si="16"/>
        <v>1801600</v>
      </c>
      <c r="F39" s="98">
        <f>+'LOB2 Costs'!F38+'LOB1 Costs'!E38</f>
        <v>176</v>
      </c>
      <c r="G39" s="171">
        <f>+'Provider Charges'!F38</f>
        <v>40500</v>
      </c>
      <c r="H39" s="171">
        <f t="shared" si="17"/>
        <v>7128000</v>
      </c>
      <c r="I39" s="98">
        <f>+'LOB2 Costs'!J38+'LOB1 Costs'!H38</f>
        <v>123</v>
      </c>
      <c r="J39" s="171">
        <f>+'Provider Charges'!J38</f>
        <v>67500</v>
      </c>
      <c r="K39" s="98">
        <f t="shared" si="18"/>
        <v>8302500</v>
      </c>
      <c r="O39" s="33"/>
    </row>
    <row r="40" spans="1:18">
      <c r="A40" s="41" t="str">
        <f t="shared" si="15"/>
        <v>30 - 34</v>
      </c>
      <c r="B40" s="140">
        <f>+'Distribution by Risk Class'!C15</f>
        <v>0.15</v>
      </c>
      <c r="C40" s="98">
        <f>+'LOB2 Costs'!B39+'LOB1 Costs'!B39</f>
        <v>2375</v>
      </c>
      <c r="D40" s="202">
        <f>+'Provider Charges'!B39</f>
        <v>800</v>
      </c>
      <c r="E40" s="171">
        <f t="shared" si="16"/>
        <v>1900000</v>
      </c>
      <c r="F40" s="98">
        <f>+'LOB2 Costs'!F39+'LOB1 Costs'!E39</f>
        <v>185</v>
      </c>
      <c r="G40" s="171">
        <f>+'Provider Charges'!F39</f>
        <v>40500</v>
      </c>
      <c r="H40" s="171">
        <f t="shared" si="17"/>
        <v>7492500</v>
      </c>
      <c r="I40" s="98">
        <f>+'LOB2 Costs'!J39+'LOB1 Costs'!H39</f>
        <v>130</v>
      </c>
      <c r="J40" s="171">
        <f>+'Provider Charges'!J39</f>
        <v>67500</v>
      </c>
      <c r="K40" s="98">
        <f t="shared" si="18"/>
        <v>8775000</v>
      </c>
      <c r="O40" s="33"/>
    </row>
    <row r="41" spans="1:18">
      <c r="A41" s="41" t="str">
        <f t="shared" si="15"/>
        <v>35 - 39</v>
      </c>
      <c r="B41" s="140">
        <f>+'Distribution by Risk Class'!C16</f>
        <v>0.15</v>
      </c>
      <c r="C41" s="98">
        <f>+'LOB2 Costs'!B40+'LOB1 Costs'!B40</f>
        <v>2476</v>
      </c>
      <c r="D41" s="202">
        <f>+'Provider Charges'!B40</f>
        <v>800</v>
      </c>
      <c r="E41" s="171">
        <f t="shared" si="16"/>
        <v>1980800</v>
      </c>
      <c r="F41" s="98">
        <f>+'LOB2 Costs'!F40+'LOB1 Costs'!E40</f>
        <v>149</v>
      </c>
      <c r="G41" s="171">
        <f>+'Provider Charges'!F40</f>
        <v>40500</v>
      </c>
      <c r="H41" s="171">
        <f t="shared" si="17"/>
        <v>6034500</v>
      </c>
      <c r="I41" s="98">
        <f>+'LOB2 Costs'!J40+'LOB1 Costs'!H40</f>
        <v>77</v>
      </c>
      <c r="J41" s="171">
        <f>+'Provider Charges'!J40</f>
        <v>67500</v>
      </c>
      <c r="K41" s="98">
        <f t="shared" si="18"/>
        <v>5197500</v>
      </c>
      <c r="O41" s="33"/>
    </row>
    <row r="42" spans="1:18">
      <c r="A42" s="41" t="str">
        <f t="shared" si="15"/>
        <v>40 - 44</v>
      </c>
      <c r="B42" s="140">
        <f>+'Distribution by Risk Class'!C17</f>
        <v>0.15</v>
      </c>
      <c r="C42" s="98">
        <f>+'LOB2 Costs'!B41+'LOB1 Costs'!B41</f>
        <v>2707</v>
      </c>
      <c r="D42" s="202">
        <f>+'Provider Charges'!B41</f>
        <v>800</v>
      </c>
      <c r="E42" s="171">
        <f t="shared" si="16"/>
        <v>2165600</v>
      </c>
      <c r="F42" s="98">
        <f>+'LOB2 Costs'!F41+'LOB1 Costs'!E41</f>
        <v>114</v>
      </c>
      <c r="G42" s="171">
        <f>+'Provider Charges'!F41</f>
        <v>40500</v>
      </c>
      <c r="H42" s="171">
        <f t="shared" si="17"/>
        <v>4617000</v>
      </c>
      <c r="I42" s="98">
        <f>+'LOB2 Costs'!J41+'LOB1 Costs'!H41</f>
        <v>68</v>
      </c>
      <c r="J42" s="171">
        <f>+'Provider Charges'!J41</f>
        <v>67500</v>
      </c>
      <c r="K42" s="98">
        <f t="shared" si="18"/>
        <v>4590000</v>
      </c>
      <c r="O42" s="33"/>
    </row>
    <row r="43" spans="1:18">
      <c r="A43" s="41" t="str">
        <f t="shared" si="15"/>
        <v>45 - 49</v>
      </c>
      <c r="B43" s="140">
        <f>+'Distribution by Risk Class'!C18</f>
        <v>0.2</v>
      </c>
      <c r="C43" s="98">
        <f>+'LOB2 Costs'!B42+'LOB1 Costs'!B42</f>
        <v>3490</v>
      </c>
      <c r="D43" s="202">
        <f>+'Provider Charges'!B42</f>
        <v>800</v>
      </c>
      <c r="E43" s="171">
        <f t="shared" si="16"/>
        <v>2792000</v>
      </c>
      <c r="F43" s="98">
        <f>+'LOB2 Costs'!F42+'LOB1 Costs'!E42</f>
        <v>105</v>
      </c>
      <c r="G43" s="171">
        <f>+'Provider Charges'!F42</f>
        <v>40500</v>
      </c>
      <c r="H43" s="171">
        <f t="shared" si="17"/>
        <v>4252500</v>
      </c>
      <c r="I43" s="98">
        <f>+'LOB2 Costs'!J42+'LOB1 Costs'!H42</f>
        <v>68</v>
      </c>
      <c r="J43" s="171">
        <f>+'Provider Charges'!J42</f>
        <v>81000</v>
      </c>
      <c r="K43" s="98">
        <f t="shared" si="18"/>
        <v>5508000</v>
      </c>
      <c r="O43" s="33"/>
    </row>
    <row r="44" spans="1:18">
      <c r="A44" s="41" t="str">
        <f t="shared" si="15"/>
        <v>50 - 54</v>
      </c>
      <c r="B44" s="140">
        <f>+'Distribution by Risk Class'!C19</f>
        <v>0.25</v>
      </c>
      <c r="C44" s="98">
        <f>+'LOB2 Costs'!B43+'LOB1 Costs'!B43</f>
        <v>3848</v>
      </c>
      <c r="D44" s="202">
        <f>+'Provider Charges'!B43</f>
        <v>800</v>
      </c>
      <c r="E44" s="171">
        <f t="shared" si="16"/>
        <v>3078400</v>
      </c>
      <c r="F44" s="98">
        <f>+'LOB2 Costs'!F43+'LOB1 Costs'!E43</f>
        <v>80</v>
      </c>
      <c r="G44" s="171">
        <f>+'Provider Charges'!F43</f>
        <v>36000</v>
      </c>
      <c r="H44" s="171">
        <f t="shared" si="17"/>
        <v>2880000</v>
      </c>
      <c r="I44" s="98">
        <f>+'LOB2 Costs'!J43+'LOB1 Costs'!H43</f>
        <v>54</v>
      </c>
      <c r="J44" s="171">
        <f>+'Provider Charges'!J43</f>
        <v>108000</v>
      </c>
      <c r="K44" s="98">
        <f t="shared" si="18"/>
        <v>5832000</v>
      </c>
      <c r="O44" s="33"/>
    </row>
    <row r="45" spans="1:18">
      <c r="A45" s="41" t="str">
        <f t="shared" si="15"/>
        <v>55 - 59</v>
      </c>
      <c r="B45" s="140">
        <f>+'Distribution by Risk Class'!C20</f>
        <v>0.35</v>
      </c>
      <c r="C45" s="98">
        <f>+'LOB2 Costs'!B44+'LOB1 Costs'!B44</f>
        <v>3568</v>
      </c>
      <c r="D45" s="202">
        <f>+'Provider Charges'!B44</f>
        <v>800</v>
      </c>
      <c r="E45" s="171">
        <f t="shared" si="16"/>
        <v>2854400</v>
      </c>
      <c r="F45" s="98">
        <f>+'LOB2 Costs'!F44+'LOB1 Costs'!E44</f>
        <v>68</v>
      </c>
      <c r="G45" s="171">
        <f>+'Provider Charges'!F44</f>
        <v>36000</v>
      </c>
      <c r="H45" s="171">
        <f t="shared" si="17"/>
        <v>2448000</v>
      </c>
      <c r="I45" s="98">
        <f>+'LOB2 Costs'!J44+'LOB1 Costs'!H44</f>
        <v>51</v>
      </c>
      <c r="J45" s="171">
        <f>+'Provider Charges'!J44</f>
        <v>108000</v>
      </c>
      <c r="K45" s="98">
        <f t="shared" si="18"/>
        <v>5508000</v>
      </c>
      <c r="O45" s="33"/>
    </row>
    <row r="46" spans="1:18">
      <c r="A46" s="41" t="str">
        <f t="shared" si="15"/>
        <v>60 - 64</v>
      </c>
      <c r="B46" s="140">
        <f>+'Distribution by Risk Class'!C21</f>
        <v>0.4</v>
      </c>
      <c r="C46" s="98">
        <f>+'LOB2 Costs'!B45+'LOB1 Costs'!B45</f>
        <v>2214</v>
      </c>
      <c r="D46" s="202">
        <f>+'Provider Charges'!B45</f>
        <v>800</v>
      </c>
      <c r="E46" s="171">
        <f t="shared" si="16"/>
        <v>1771200</v>
      </c>
      <c r="F46" s="98">
        <f>+'LOB2 Costs'!F45+'LOB1 Costs'!E45</f>
        <v>37</v>
      </c>
      <c r="G46" s="171">
        <f>+'Provider Charges'!F45</f>
        <v>36000</v>
      </c>
      <c r="H46" s="171">
        <f t="shared" si="17"/>
        <v>1332000</v>
      </c>
      <c r="I46" s="98">
        <f>+'LOB2 Costs'!J45+'LOB1 Costs'!H45</f>
        <v>33</v>
      </c>
      <c r="J46" s="171">
        <f>+'Provider Charges'!J45</f>
        <v>108000</v>
      </c>
      <c r="K46" s="98">
        <f t="shared" si="18"/>
        <v>3564000</v>
      </c>
      <c r="O46" s="33"/>
    </row>
    <row r="47" spans="1:18">
      <c r="A47" s="41" t="str">
        <f t="shared" si="15"/>
        <v>65 - 69</v>
      </c>
      <c r="B47" s="140">
        <f>+'Distribution by Risk Class'!C22</f>
        <v>0.45</v>
      </c>
      <c r="C47" s="98">
        <f>+'LOB2 Costs'!B46+'LOB1 Costs'!B46</f>
        <v>1175</v>
      </c>
      <c r="D47" s="202">
        <f>+'Provider Charges'!B46</f>
        <v>650</v>
      </c>
      <c r="E47" s="171">
        <f t="shared" si="16"/>
        <v>763750</v>
      </c>
      <c r="F47" s="98">
        <f>+'LOB2 Costs'!F46+'LOB1 Costs'!E46</f>
        <v>21</v>
      </c>
      <c r="G47" s="171">
        <f>+'Provider Charges'!F46</f>
        <v>22500</v>
      </c>
      <c r="H47" s="171">
        <f t="shared" si="17"/>
        <v>472500</v>
      </c>
      <c r="I47" s="98">
        <f>+'LOB2 Costs'!J46+'LOB1 Costs'!H46</f>
        <v>20</v>
      </c>
      <c r="J47" s="171">
        <f>+'Provider Charges'!J46</f>
        <v>54000</v>
      </c>
      <c r="K47" s="98">
        <f t="shared" si="18"/>
        <v>1080000</v>
      </c>
      <c r="O47" s="33"/>
    </row>
    <row r="48" spans="1:18">
      <c r="A48" s="41" t="str">
        <f t="shared" si="15"/>
        <v>70 - 74</v>
      </c>
      <c r="B48" s="140">
        <f>+'Distribution by Risk Class'!C23</f>
        <v>0.5</v>
      </c>
      <c r="C48" s="98">
        <f>+'LOB2 Costs'!B47+'LOB1 Costs'!B47</f>
        <v>0</v>
      </c>
      <c r="D48" s="202">
        <f>+'Provider Charges'!B47</f>
        <v>500</v>
      </c>
      <c r="E48" s="171">
        <f t="shared" si="16"/>
        <v>0</v>
      </c>
      <c r="F48" s="98">
        <f>+'LOB2 Costs'!F47+'LOB1 Costs'!E47</f>
        <v>0</v>
      </c>
      <c r="G48" s="171">
        <f>+'Provider Charges'!F47</f>
        <v>13500</v>
      </c>
      <c r="H48" s="171">
        <f t="shared" si="17"/>
        <v>0</v>
      </c>
      <c r="I48" s="98">
        <f>+'LOB2 Costs'!J47+'LOB1 Costs'!H47</f>
        <v>0</v>
      </c>
      <c r="J48" s="171">
        <f>+'Provider Charges'!J47</f>
        <v>31950</v>
      </c>
      <c r="K48" s="98">
        <f t="shared" si="18"/>
        <v>0</v>
      </c>
      <c r="O48" s="33"/>
    </row>
    <row r="49" spans="1:15">
      <c r="A49" s="41" t="str">
        <f t="shared" si="15"/>
        <v>75 - 79</v>
      </c>
      <c r="B49" s="140">
        <f>+'Distribution by Risk Class'!C24</f>
        <v>0.55000000000000004</v>
      </c>
      <c r="C49" s="98">
        <f>+'LOB2 Costs'!B48+'LOB1 Costs'!B48</f>
        <v>0</v>
      </c>
      <c r="D49" s="202">
        <f>+'Provider Charges'!B48</f>
        <v>500</v>
      </c>
      <c r="E49" s="171">
        <f t="shared" si="16"/>
        <v>0</v>
      </c>
      <c r="F49" s="98">
        <f>+'LOB2 Costs'!F48+'LOB1 Costs'!E48</f>
        <v>0</v>
      </c>
      <c r="G49" s="171">
        <f>+'Provider Charges'!F48</f>
        <v>13500</v>
      </c>
      <c r="H49" s="171">
        <f t="shared" si="17"/>
        <v>0</v>
      </c>
      <c r="I49" s="98">
        <f>+'LOB2 Costs'!J48+'LOB1 Costs'!H48</f>
        <v>0</v>
      </c>
      <c r="J49" s="171">
        <f>+'Provider Charges'!J48</f>
        <v>31950</v>
      </c>
      <c r="K49" s="98">
        <f t="shared" si="18"/>
        <v>0</v>
      </c>
      <c r="O49" s="33"/>
    </row>
    <row r="50" spans="1:15">
      <c r="A50" s="41" t="str">
        <f t="shared" si="15"/>
        <v>80 - 84</v>
      </c>
      <c r="B50" s="140">
        <f>+'Distribution by Risk Class'!C25</f>
        <v>0.55000000000000004</v>
      </c>
      <c r="C50" s="98">
        <f>+'LOB2 Costs'!B49+'LOB1 Costs'!B49</f>
        <v>0</v>
      </c>
      <c r="D50" s="202">
        <f>+'Provider Charges'!B49</f>
        <v>500</v>
      </c>
      <c r="E50" s="171">
        <f t="shared" si="16"/>
        <v>0</v>
      </c>
      <c r="F50" s="98">
        <f>+'LOB2 Costs'!F49+'LOB1 Costs'!E49</f>
        <v>0</v>
      </c>
      <c r="G50" s="171">
        <f>+'Provider Charges'!F49</f>
        <v>13500</v>
      </c>
      <c r="H50" s="171">
        <f t="shared" si="17"/>
        <v>0</v>
      </c>
      <c r="I50" s="98">
        <f>+'LOB2 Costs'!J49+'LOB1 Costs'!H49</f>
        <v>0</v>
      </c>
      <c r="J50" s="171">
        <f>+'Provider Charges'!J49</f>
        <v>31950</v>
      </c>
      <c r="K50" s="98">
        <f t="shared" si="18"/>
        <v>0</v>
      </c>
      <c r="O50" s="33"/>
    </row>
    <row r="51" spans="1:15">
      <c r="A51" s="41" t="str">
        <f t="shared" si="15"/>
        <v>85+</v>
      </c>
      <c r="B51" s="140">
        <f>+'Distribution by Risk Class'!C26</f>
        <v>0.55000000000000004</v>
      </c>
      <c r="C51" s="98">
        <f>+'LOB2 Costs'!B50+'LOB1 Costs'!B50</f>
        <v>0</v>
      </c>
      <c r="D51" s="202">
        <f>+'Provider Charges'!B50</f>
        <v>500</v>
      </c>
      <c r="E51" s="171">
        <f t="shared" si="16"/>
        <v>0</v>
      </c>
      <c r="F51" s="98">
        <f>+'LOB2 Costs'!F50+'LOB1 Costs'!E50</f>
        <v>0</v>
      </c>
      <c r="G51" s="171">
        <f>+'Provider Charges'!F50</f>
        <v>13500</v>
      </c>
      <c r="H51" s="171">
        <f t="shared" si="17"/>
        <v>0</v>
      </c>
      <c r="I51" s="98">
        <f>+'LOB2 Costs'!J50+'LOB1 Costs'!H50</f>
        <v>0</v>
      </c>
      <c r="J51" s="171">
        <f>+'Provider Charges'!J50</f>
        <v>31950</v>
      </c>
      <c r="K51" s="98">
        <f t="shared" si="18"/>
        <v>0</v>
      </c>
      <c r="O51" s="33"/>
    </row>
    <row r="52" spans="1:15" s="33" customFormat="1">
      <c r="A52" s="79" t="str">
        <f>+A28</f>
        <v>Total</v>
      </c>
      <c r="C52" s="98">
        <f>SUM(C34:C51)</f>
        <v>31820</v>
      </c>
      <c r="D52" s="20"/>
      <c r="E52" s="98">
        <f>SUM(E34:E51)</f>
        <v>24355925</v>
      </c>
      <c r="F52" s="98">
        <f>SUM(F34:F51)</f>
        <v>1288</v>
      </c>
      <c r="G52" s="56"/>
      <c r="H52" s="98">
        <f>SUM(H34:H51)</f>
        <v>52389000</v>
      </c>
      <c r="I52" s="98">
        <f>SUM(I34:I51)</f>
        <v>815</v>
      </c>
      <c r="J52" s="56"/>
      <c r="K52" s="98">
        <f>SUM(K34:K51)</f>
        <v>71104500</v>
      </c>
    </row>
    <row r="53" spans="1:15" s="33" customFormat="1">
      <c r="A53" s="79"/>
      <c r="C53" s="98"/>
      <c r="D53" s="20"/>
      <c r="E53" s="98"/>
      <c r="F53" s="98"/>
      <c r="G53" s="56"/>
      <c r="H53" s="98"/>
      <c r="I53" s="98"/>
      <c r="J53" s="56"/>
      <c r="K53" s="98"/>
    </row>
    <row r="54" spans="1:15">
      <c r="A54" s="79"/>
      <c r="B54" s="45" t="s">
        <v>9</v>
      </c>
      <c r="C54" s="98"/>
      <c r="D54" s="20"/>
      <c r="E54" s="162"/>
      <c r="F54" s="35"/>
      <c r="J54" s="98"/>
      <c r="K54" s="56"/>
      <c r="L54" s="98"/>
      <c r="O54" s="33"/>
    </row>
    <row r="55" spans="1:15">
      <c r="A55" s="384">
        <v>-1</v>
      </c>
      <c r="B55" s="202" t="str">
        <f xml:space="preserve"> "1 - (11)"</f>
        <v>1 - (11)</v>
      </c>
      <c r="E55" s="144"/>
      <c r="G55" s="383">
        <f>+A64-1</f>
        <v>-11</v>
      </c>
      <c r="H55" s="33" t="str">
        <f>'Distribution by Risk Class'!M1 &amp; ": Column (2)"</f>
        <v>Tab:: Distribution by Risk Class: Column (2)</v>
      </c>
      <c r="I55" s="140"/>
      <c r="O55" s="33"/>
    </row>
    <row r="56" spans="1:15">
      <c r="A56" s="383">
        <f t="shared" ref="A56:A59" si="19">+A55-1</f>
        <v>-2</v>
      </c>
      <c r="B56" s="33" t="str">
        <f>'LOB1 Costs'!K1&amp;": Column (1) + "&amp;'LOB2 Sum'!J1&amp;": Column (1)"</f>
        <v>Tab:: LOB1 Costs: Column (1) + Tab:: LOB2 Sum: Column (1)</v>
      </c>
      <c r="G56" s="383">
        <f t="shared" ref="G56:G64" si="20">+G55-1</f>
        <v>-12</v>
      </c>
      <c r="H56" s="33" t="str">
        <f>'LOB1 Costs'!K1&amp;": Column (10) + "&amp;'LOB2 Sum'!J1&amp;": Column (10)"</f>
        <v>Tab:: LOB1 Costs: Column (10) + Tab:: LOB2 Sum: Column (10)</v>
      </c>
      <c r="I56" s="140"/>
      <c r="O56" s="33"/>
    </row>
    <row r="57" spans="1:15">
      <c r="A57" s="383">
        <f t="shared" si="19"/>
        <v>-3</v>
      </c>
      <c r="B57" s="403" t="str">
        <f>'Provider Charges'!$N$1 &amp; ": Column (1)"</f>
        <v>Tab:: Provider Charges: Column (1)</v>
      </c>
      <c r="G57" s="383">
        <f t="shared" si="20"/>
        <v>-13</v>
      </c>
      <c r="H57" s="403" t="str">
        <f>'Provider Charges'!$N$1 &amp; ": Column (13)"</f>
        <v>Tab:: Provider Charges: Column (13)</v>
      </c>
      <c r="I57" s="140"/>
    </row>
    <row r="58" spans="1:15">
      <c r="A58" s="383">
        <f t="shared" si="19"/>
        <v>-4</v>
      </c>
      <c r="B58" s="202" t="s">
        <v>309</v>
      </c>
      <c r="G58" s="383">
        <f t="shared" si="20"/>
        <v>-14</v>
      </c>
      <c r="H58" s="202" t="str">
        <f>TEXT(-C32,"(0)") &amp; " * " &amp; TEXT(-D32,"(0)")</f>
        <v>(12) * (13)</v>
      </c>
      <c r="I58" s="140"/>
    </row>
    <row r="59" spans="1:15">
      <c r="A59" s="383">
        <f t="shared" si="19"/>
        <v>-5</v>
      </c>
      <c r="B59" s="33" t="str">
        <f>'LOB1 Costs'!K1&amp;": Column (4) + "&amp;'LOB2 Sum'!J1&amp;": Column (4)"</f>
        <v>Tab:: LOB1 Costs: Column (4) + Tab:: LOB2 Sum: Column (4)</v>
      </c>
      <c r="G59" s="383">
        <f t="shared" si="20"/>
        <v>-15</v>
      </c>
      <c r="H59" s="33" t="str">
        <f>'LOB1 Costs'!K1&amp;": Column (13) + "&amp;'LOB2 Sum'!J1&amp;": Column (13)"</f>
        <v>Tab:: LOB1 Costs: Column (13) + Tab:: LOB2 Sum: Column (13)</v>
      </c>
      <c r="I59" s="140"/>
    </row>
    <row r="60" spans="1:15">
      <c r="A60" s="383">
        <f>+A59-1</f>
        <v>-6</v>
      </c>
      <c r="B60" s="403" t="str">
        <f>'Provider Charges'!$N$1 &amp; ": Column (5)"</f>
        <v>Tab:: Provider Charges: Column (5)</v>
      </c>
      <c r="G60" s="383">
        <f t="shared" si="20"/>
        <v>-16</v>
      </c>
      <c r="H60" s="403" t="str">
        <f>'Provider Charges'!$N$1 &amp; ": Column (17)"</f>
        <v>Tab:: Provider Charges: Column (17)</v>
      </c>
      <c r="I60" s="140"/>
    </row>
    <row r="61" spans="1:15">
      <c r="A61" s="383">
        <f>+A60-1</f>
        <v>-7</v>
      </c>
      <c r="B61" s="202" t="s">
        <v>310</v>
      </c>
      <c r="G61" s="383">
        <f t="shared" si="20"/>
        <v>-17</v>
      </c>
      <c r="H61" s="202" t="s">
        <v>312</v>
      </c>
      <c r="I61" s="140"/>
    </row>
    <row r="62" spans="1:15">
      <c r="A62" s="383">
        <f>+A61-1</f>
        <v>-8</v>
      </c>
      <c r="B62" s="33" t="str">
        <f>'LOB1 Costs'!K1&amp;": Column (7) + "&amp;'LOB2 Sum'!J1&amp;": Column (7)"</f>
        <v>Tab:: LOB1 Costs: Column (7) + Tab:: LOB2 Sum: Column (7)</v>
      </c>
      <c r="G62" s="383">
        <f t="shared" si="20"/>
        <v>-18</v>
      </c>
      <c r="H62" s="33" t="str">
        <f>'LOB1 Costs'!K1&amp;": Column (16) + "&amp;'LOB2 Sum'!J1&amp;": Column (16)"</f>
        <v>Tab:: LOB1 Costs: Column (16) + Tab:: LOB2 Sum: Column (16)</v>
      </c>
      <c r="I62" s="140"/>
    </row>
    <row r="63" spans="1:15">
      <c r="A63" s="383">
        <f>+A62-1</f>
        <v>-9</v>
      </c>
      <c r="B63" s="403" t="str">
        <f>'Provider Charges'!$N$1 &amp; ": Column (9)"</f>
        <v>Tab:: Provider Charges: Column (9)</v>
      </c>
      <c r="G63" s="383">
        <f t="shared" si="20"/>
        <v>-19</v>
      </c>
      <c r="H63" s="403" t="str">
        <f>'Provider Charges'!$N$1 &amp; ": Column (21)"</f>
        <v>Tab:: Provider Charges: Column (21)</v>
      </c>
      <c r="I63" s="140"/>
    </row>
    <row r="64" spans="1:15">
      <c r="A64" s="383">
        <f t="shared" ref="A64" si="21">+A63-1</f>
        <v>-10</v>
      </c>
      <c r="B64" s="202" t="s">
        <v>311</v>
      </c>
      <c r="G64" s="383">
        <f t="shared" si="20"/>
        <v>-20</v>
      </c>
      <c r="H64" s="202" t="s">
        <v>313</v>
      </c>
      <c r="I64" s="140"/>
    </row>
    <row r="66" spans="1:12">
      <c r="A66" s="3"/>
      <c r="B66" s="3"/>
      <c r="C66" s="3"/>
    </row>
    <row r="67" spans="1:12">
      <c r="A67" s="3"/>
      <c r="B67" s="3"/>
      <c r="C67" s="3"/>
    </row>
    <row r="76" spans="1:12">
      <c r="A76" s="41"/>
    </row>
    <row r="77" spans="1:12">
      <c r="A77" s="41"/>
    </row>
    <row r="78" spans="1:12">
      <c r="L78" s="144"/>
    </row>
  </sheetData>
  <phoneticPr fontId="0" type="noConversion"/>
  <printOptions horizontalCentered="1"/>
  <pageMargins left="0.5" right="0.5" top="0.5" bottom="0.75" header="0.5" footer="0.35"/>
  <pageSetup scale="67" orientation="landscape" r:id="rId1"/>
  <headerFooter alignWithMargins="0">
    <oddFooter>&amp;L&amp;8&amp;F 
&amp;A&amp;C&amp;8MBA Actuaries, Inc.&amp;R&amp;8&amp;D 
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J90"/>
  <sheetViews>
    <sheetView zoomScaleNormal="100" workbookViewId="0">
      <selection activeCell="A4" sqref="A4"/>
    </sheetView>
  </sheetViews>
  <sheetFormatPr defaultRowHeight="12.75"/>
  <cols>
    <col min="1" max="1" width="4.42578125" style="274" customWidth="1"/>
    <col min="2" max="2" width="0.85546875" style="274" customWidth="1"/>
    <col min="3" max="3" width="19.7109375" style="404" customWidth="1"/>
    <col min="4" max="4" width="0.28515625" style="404" customWidth="1"/>
    <col min="5" max="5" width="14.7109375" style="519" customWidth="1"/>
    <col min="6" max="8" width="14.7109375" style="404" customWidth="1"/>
    <col min="9" max="9" width="1.42578125" style="274" customWidth="1"/>
    <col min="10" max="10" width="9.7109375" style="274" customWidth="1"/>
    <col min="11" max="11" width="11.42578125" style="274" customWidth="1"/>
    <col min="12" max="12" width="14.42578125" style="274" bestFit="1" customWidth="1"/>
    <col min="13" max="16384" width="9.140625" style="274"/>
  </cols>
  <sheetData>
    <row r="1" spans="1:10">
      <c r="A1" s="446" t="str">
        <f>scenario</f>
        <v>Severe Scenario, V\ Curve</v>
      </c>
      <c r="I1" s="164" t="s">
        <v>385</v>
      </c>
      <c r="J1" s="276"/>
    </row>
    <row r="2" spans="1:10">
      <c r="I2" s="276"/>
      <c r="J2" s="276"/>
    </row>
    <row r="3" spans="1:10" ht="15.75">
      <c r="A3" s="52" t="s">
        <v>406</v>
      </c>
      <c r="B3" s="52"/>
      <c r="C3" s="456"/>
      <c r="D3" s="456"/>
      <c r="E3" s="456"/>
      <c r="F3" s="456"/>
      <c r="G3" s="456"/>
      <c r="H3" s="456"/>
      <c r="I3" s="16"/>
      <c r="J3" s="16"/>
    </row>
    <row r="4" spans="1:10" ht="5.0999999999999996" customHeight="1">
      <c r="B4" s="128"/>
      <c r="C4" s="456"/>
      <c r="D4" s="456"/>
      <c r="E4" s="456"/>
      <c r="F4" s="456"/>
      <c r="G4" s="456"/>
      <c r="H4" s="456"/>
      <c r="I4" s="20"/>
      <c r="J4" s="20"/>
    </row>
    <row r="5" spans="1:10">
      <c r="C5" s="403"/>
      <c r="D5" s="457" t="s">
        <v>194</v>
      </c>
      <c r="E5" s="520"/>
      <c r="F5" s="459"/>
      <c r="G5" s="459"/>
      <c r="H5" s="459"/>
    </row>
    <row r="6" spans="1:10">
      <c r="C6" s="403"/>
      <c r="D6" s="403"/>
      <c r="E6" s="512" t="str">
        <f>Severity</f>
        <v>Severe</v>
      </c>
      <c r="F6" s="237" t="s">
        <v>56</v>
      </c>
      <c r="G6" s="237" t="s">
        <v>6</v>
      </c>
      <c r="H6" s="237" t="s">
        <v>5</v>
      </c>
    </row>
    <row r="7" spans="1:10">
      <c r="C7" s="403"/>
      <c r="D7" s="403"/>
      <c r="E7" s="512" t="str">
        <f>Curve&amp; " Curve"</f>
        <v>V\ Curve</v>
      </c>
      <c r="F7" s="237"/>
      <c r="G7" s="237"/>
      <c r="H7" s="237"/>
    </row>
    <row r="8" spans="1:10" ht="5.0999999999999996" customHeight="1">
      <c r="C8" s="403"/>
      <c r="D8" s="403"/>
      <c r="E8" s="237"/>
      <c r="F8" s="237"/>
      <c r="G8" s="237"/>
      <c r="H8" s="237"/>
    </row>
    <row r="9" spans="1:10">
      <c r="A9" s="181">
        <v>-1</v>
      </c>
      <c r="B9" s="181"/>
      <c r="C9" s="210" t="s">
        <v>43</v>
      </c>
      <c r="E9" s="455">
        <f>+'LOB1 Sum'!E9+'LOB2 Sum'!E9</f>
        <v>57.016215000000003</v>
      </c>
      <c r="F9" s="455"/>
      <c r="G9" s="455"/>
      <c r="H9" s="455"/>
    </row>
    <row r="10" spans="1:10">
      <c r="A10" s="400">
        <f t="shared" ref="A10:A12" si="0">+A9-1</f>
        <v>-2</v>
      </c>
      <c r="B10" s="400"/>
      <c r="C10" s="210" t="s">
        <v>41</v>
      </c>
      <c r="E10" s="123">
        <f>+'LOB1 Sum'!E10+'LOB2 Sum'!E10</f>
        <v>493.78634999999997</v>
      </c>
      <c r="F10" s="123"/>
      <c r="G10" s="123"/>
      <c r="H10" s="123"/>
    </row>
    <row r="11" spans="1:10">
      <c r="A11" s="400">
        <f t="shared" si="0"/>
        <v>-3</v>
      </c>
      <c r="B11" s="400"/>
      <c r="C11" s="461" t="s">
        <v>148</v>
      </c>
      <c r="D11" s="462"/>
      <c r="E11" s="463">
        <f>+'LOB1 Sum'!E11+'LOB2 Sum'!E11</f>
        <v>508.37400000000002</v>
      </c>
      <c r="F11" s="463"/>
      <c r="G11" s="463"/>
      <c r="H11" s="463"/>
    </row>
    <row r="12" spans="1:10">
      <c r="A12" s="400">
        <f t="shared" si="0"/>
        <v>-4</v>
      </c>
      <c r="B12" s="400"/>
      <c r="C12" s="210" t="s">
        <v>159</v>
      </c>
      <c r="E12" s="464">
        <f>+'LOB1 Sum'!E12+'LOB2 Sum'!E12</f>
        <v>1059.176565</v>
      </c>
      <c r="F12" s="464"/>
      <c r="G12" s="464"/>
      <c r="H12" s="464"/>
    </row>
    <row r="13" spans="1:10" ht="5.0999999999999996" customHeight="1">
      <c r="C13" s="403"/>
      <c r="D13" s="210"/>
      <c r="E13" s="465"/>
      <c r="F13" s="465"/>
      <c r="G13" s="465"/>
      <c r="H13" s="465"/>
    </row>
    <row r="14" spans="1:10">
      <c r="A14" s="400">
        <f>+A12-1</f>
        <v>-5</v>
      </c>
      <c r="B14" s="400"/>
      <c r="C14" s="210" t="s">
        <v>188</v>
      </c>
      <c r="E14" s="455">
        <f>+'LOB1 Sum'!E14+'LOB2 Sum'!E14</f>
        <v>13.920091809765307</v>
      </c>
      <c r="F14" s="455"/>
      <c r="G14" s="455"/>
      <c r="H14" s="455"/>
    </row>
    <row r="15" spans="1:10" ht="5.0999999999999996" customHeight="1">
      <c r="C15" s="210"/>
      <c r="E15" s="466"/>
      <c r="F15" s="466"/>
      <c r="G15" s="466"/>
      <c r="H15" s="466"/>
    </row>
    <row r="16" spans="1:10">
      <c r="C16" s="210" t="s">
        <v>184</v>
      </c>
      <c r="E16" s="466"/>
      <c r="F16" s="466"/>
      <c r="G16" s="466"/>
      <c r="H16" s="466"/>
    </row>
    <row r="17" spans="1:8">
      <c r="A17" s="400">
        <f>A14-1</f>
        <v>-6</v>
      </c>
      <c r="B17" s="400"/>
      <c r="C17" s="210" t="s">
        <v>185</v>
      </c>
      <c r="E17" s="455">
        <f>+'LOB1 Sum'!E17+'LOB2 Sum'!E17</f>
        <v>332.24656602772455</v>
      </c>
      <c r="F17" s="455"/>
      <c r="G17" s="455"/>
      <c r="H17" s="455"/>
    </row>
    <row r="18" spans="1:8" ht="5.0999999999999996" customHeight="1">
      <c r="C18" s="210"/>
      <c r="E18" s="466"/>
      <c r="F18" s="466"/>
      <c r="G18" s="466"/>
      <c r="H18" s="466"/>
    </row>
    <row r="19" spans="1:8">
      <c r="A19" s="400">
        <f>+A17-1</f>
        <v>-7</v>
      </c>
      <c r="B19" s="400"/>
      <c r="C19" s="210" t="s">
        <v>195</v>
      </c>
      <c r="E19" s="455">
        <f>+E12+E14-E17</f>
        <v>740.85009078204075</v>
      </c>
      <c r="F19" s="455"/>
      <c r="G19" s="455"/>
      <c r="H19" s="455"/>
    </row>
    <row r="20" spans="1:8" ht="5.0999999999999996" customHeight="1">
      <c r="C20" s="210"/>
      <c r="E20" s="466"/>
      <c r="F20" s="466"/>
      <c r="G20" s="466"/>
      <c r="H20" s="466"/>
    </row>
    <row r="21" spans="1:8">
      <c r="A21" s="400">
        <f>+A19-1</f>
        <v>-8</v>
      </c>
      <c r="B21" s="400"/>
      <c r="C21" s="210" t="s">
        <v>183</v>
      </c>
      <c r="E21" s="467">
        <f>inflation</f>
        <v>0.60578147647843017</v>
      </c>
      <c r="F21" s="467"/>
      <c r="G21" s="467"/>
      <c r="H21" s="467"/>
    </row>
    <row r="22" spans="1:8">
      <c r="A22" s="400"/>
      <c r="B22" s="400"/>
      <c r="C22" s="210"/>
      <c r="E22" s="467"/>
      <c r="F22" s="467"/>
      <c r="G22" s="467"/>
      <c r="H22" s="467"/>
    </row>
    <row r="23" spans="1:8">
      <c r="C23" s="403"/>
      <c r="D23" s="457" t="s">
        <v>362</v>
      </c>
      <c r="E23" s="520"/>
      <c r="F23" s="520"/>
      <c r="G23" s="520"/>
      <c r="H23" s="520"/>
    </row>
    <row r="24" spans="1:8">
      <c r="C24" s="403"/>
      <c r="D24" s="403"/>
      <c r="E24" s="512" t="str">
        <f>Severity</f>
        <v>Severe</v>
      </c>
      <c r="F24" s="512" t="s">
        <v>56</v>
      </c>
      <c r="G24" s="512" t="s">
        <v>6</v>
      </c>
      <c r="H24" s="512" t="s">
        <v>5</v>
      </c>
    </row>
    <row r="25" spans="1:8">
      <c r="C25" s="403"/>
      <c r="D25" s="403"/>
      <c r="E25" s="512" t="str">
        <f>Curve&amp; " Curve"</f>
        <v>V\ Curve</v>
      </c>
      <c r="F25" s="512"/>
      <c r="G25" s="512"/>
      <c r="H25" s="512"/>
    </row>
    <row r="26" spans="1:8" ht="5.0999999999999996" customHeight="1">
      <c r="C26" s="210"/>
      <c r="E26" s="468"/>
      <c r="F26" s="468"/>
      <c r="G26" s="468"/>
      <c r="H26" s="468"/>
    </row>
    <row r="27" spans="1:8">
      <c r="A27" s="400">
        <f>+A21-1</f>
        <v>-9</v>
      </c>
      <c r="B27" s="400"/>
      <c r="C27" s="338" t="s">
        <v>336</v>
      </c>
      <c r="E27" s="455">
        <f>+E19*(E21+1)</f>
        <v>1189.6433526251644</v>
      </c>
      <c r="F27" s="455"/>
      <c r="G27" s="455"/>
      <c r="H27" s="455"/>
    </row>
    <row r="28" spans="1:8" ht="5.0999999999999996" customHeight="1">
      <c r="A28" s="400"/>
      <c r="B28" s="400"/>
      <c r="C28" s="338"/>
      <c r="E28" s="455"/>
      <c r="F28" s="455"/>
      <c r="G28" s="455"/>
      <c r="H28" s="455"/>
    </row>
    <row r="29" spans="1:8">
      <c r="A29" s="400">
        <f t="shared" ref="A29" si="1">+A27-1</f>
        <v>-10</v>
      </c>
      <c r="B29" s="400"/>
      <c r="C29" s="338" t="s">
        <v>189</v>
      </c>
      <c r="E29" s="455">
        <f>+'LOB1 Sum'!E35+'LOB2 Sum'!E35</f>
        <v>139.71</v>
      </c>
      <c r="F29" s="455"/>
      <c r="G29" s="455"/>
      <c r="H29" s="455"/>
    </row>
    <row r="30" spans="1:8">
      <c r="A30" s="400">
        <f>+A29-1</f>
        <v>-11</v>
      </c>
      <c r="B30" s="400"/>
      <c r="C30" s="476" t="s">
        <v>193</v>
      </c>
      <c r="E30" s="467">
        <f>E29/E27</f>
        <v>0.11743855811214721</v>
      </c>
      <c r="F30" s="467"/>
      <c r="G30" s="467"/>
      <c r="H30" s="467"/>
    </row>
    <row r="31" spans="1:8" ht="5.0999999999999996" customHeight="1">
      <c r="C31" s="476"/>
      <c r="E31" s="455"/>
      <c r="F31" s="455"/>
      <c r="G31" s="455"/>
      <c r="H31" s="455"/>
    </row>
    <row r="32" spans="1:8">
      <c r="A32" s="400">
        <f>+A30-1</f>
        <v>-12</v>
      </c>
      <c r="B32" s="400"/>
      <c r="C32" s="338" t="s">
        <v>304</v>
      </c>
      <c r="E32" s="455">
        <f>+E27-E29</f>
        <v>1049.9333526251644</v>
      </c>
      <c r="F32" s="455"/>
      <c r="G32" s="455"/>
      <c r="H32" s="455"/>
    </row>
    <row r="33" spans="1:8" ht="5.0999999999999996" customHeight="1">
      <c r="C33" s="210"/>
      <c r="E33" s="455"/>
      <c r="F33" s="455"/>
      <c r="G33" s="455"/>
      <c r="H33" s="455"/>
    </row>
    <row r="34" spans="1:8">
      <c r="A34" s="400">
        <f>+A32-1</f>
        <v>-13</v>
      </c>
      <c r="B34" s="400"/>
      <c r="C34" s="338" t="s">
        <v>305</v>
      </c>
      <c r="E34" s="455">
        <f>+E32*(1-TaxRate)</f>
        <v>682.45667920635685</v>
      </c>
      <c r="F34" s="455"/>
      <c r="G34" s="455"/>
      <c r="H34" s="455"/>
    </row>
    <row r="35" spans="1:8" ht="5.0999999999999996" customHeight="1">
      <c r="A35" s="400"/>
      <c r="B35" s="400"/>
      <c r="C35" s="338"/>
      <c r="E35" s="455"/>
      <c r="F35" s="455"/>
      <c r="G35" s="455"/>
      <c r="H35" s="455"/>
    </row>
    <row r="36" spans="1:8">
      <c r="A36" s="400">
        <f>+A34-1</f>
        <v>-14</v>
      </c>
      <c r="B36" s="400"/>
      <c r="C36" s="338" t="s">
        <v>356</v>
      </c>
      <c r="E36" s="491">
        <f>+E34*1000000/InsPop/12</f>
        <v>32.497937105064615</v>
      </c>
      <c r="F36" s="491"/>
      <c r="G36" s="491"/>
      <c r="H36" s="491"/>
    </row>
    <row r="37" spans="1:8">
      <c r="A37" s="400"/>
      <c r="B37" s="400"/>
      <c r="C37" s="338"/>
      <c r="E37" s="455"/>
      <c r="F37" s="455"/>
      <c r="G37" s="455"/>
      <c r="H37" s="455"/>
    </row>
    <row r="38" spans="1:8">
      <c r="C38" s="338"/>
      <c r="E38" s="382"/>
      <c r="F38" s="382"/>
      <c r="G38" s="382"/>
      <c r="H38" s="382"/>
    </row>
    <row r="40" spans="1:8">
      <c r="C40" s="45" t="s">
        <v>335</v>
      </c>
    </row>
    <row r="41" spans="1:8">
      <c r="A41" s="384">
        <v>-1</v>
      </c>
      <c r="B41" s="384"/>
      <c r="C41" s="404" t="str">
        <f>'Total Costs'!$L$1&amp; ": Column "&amp; TEXT(-'Total Costs'!E7,"(0)") &amp;" + Column " &amp; TEXT(-'Total Costs'!E32,"(0)")</f>
        <v>Tab:: Total Costs: Column (4) + Column (14)</v>
      </c>
    </row>
    <row r="42" spans="1:8">
      <c r="A42" s="383">
        <f t="shared" ref="A42:A47" si="2">+A41-1</f>
        <v>-2</v>
      </c>
      <c r="B42" s="383"/>
      <c r="C42" s="404" t="str">
        <f>'Total Costs'!$L$1&amp; ": Column "&amp; TEXT(-'Total Costs'!H7,"(0)") &amp;" + Column " &amp; TEXT(-'Total Costs'!H32,"(0)")</f>
        <v>Tab:: Total Costs: Column (7) + Column (17)</v>
      </c>
    </row>
    <row r="43" spans="1:8">
      <c r="A43" s="383">
        <f t="shared" si="2"/>
        <v>-3</v>
      </c>
      <c r="B43" s="383"/>
      <c r="C43" s="404" t="str">
        <f>'Total Costs'!$L$1&amp; ": Column "&amp; TEXT(-'Total Costs'!K7,"(0)") &amp;" + Column " &amp; TEXT(-'Total Costs'!K32,"(0)")</f>
        <v>Tab:: Total Costs: Column (10) + Column (20)</v>
      </c>
    </row>
    <row r="44" spans="1:8">
      <c r="A44" s="383">
        <f t="shared" si="2"/>
        <v>-4</v>
      </c>
      <c r="B44" s="383"/>
      <c r="C44" s="404" t="s">
        <v>306</v>
      </c>
    </row>
    <row r="45" spans="1:8">
      <c r="A45" s="383">
        <f t="shared" si="2"/>
        <v>-5</v>
      </c>
      <c r="B45" s="383"/>
      <c r="C45" s="404" t="str">
        <f>'LOB1 Sum'!J1&amp;": Row (5) + "&amp;'LOB2 Sum'!J1&amp; ": Row (5)"</f>
        <v>Tab:: LOB1 Sum: Row (5) + Tab:: LOB2 Sum: Row (5)</v>
      </c>
    </row>
    <row r="46" spans="1:8">
      <c r="A46" s="383">
        <f t="shared" si="2"/>
        <v>-6</v>
      </c>
      <c r="B46" s="383"/>
      <c r="C46" s="405" t="str">
        <f>'LOB1 Sum'!J1&amp;": Row (6) + "&amp;'LOB2 Sum'!J1&amp; ": Row (6)"</f>
        <v>Tab:: LOB1 Sum: Row (6) + Tab:: LOB2 Sum: Row (6)</v>
      </c>
    </row>
    <row r="47" spans="1:8">
      <c r="A47" s="383">
        <f t="shared" si="2"/>
        <v>-7</v>
      </c>
      <c r="B47" s="383"/>
      <c r="C47" s="404" t="s">
        <v>307</v>
      </c>
    </row>
    <row r="48" spans="1:8">
      <c r="A48" s="383">
        <f>+A47-1</f>
        <v>-8</v>
      </c>
      <c r="B48" s="383"/>
      <c r="C48" s="404" t="str">
        <f>"Insurance inflation rate based on annual "&amp;InfRate*100&amp;"% increase since 2003"</f>
        <v>Insurance inflation rate based on annual 7% increase since 2003</v>
      </c>
    </row>
    <row r="49" spans="1:8">
      <c r="A49" s="383">
        <f>+A48-1</f>
        <v>-9</v>
      </c>
      <c r="B49" s="383"/>
      <c r="C49" s="404" t="s">
        <v>308</v>
      </c>
    </row>
    <row r="50" spans="1:8">
      <c r="A50" s="383">
        <f t="shared" ref="A50:A53" si="3">+A49-1</f>
        <v>-10</v>
      </c>
      <c r="B50" s="383"/>
      <c r="C50" s="404" t="str">
        <f>'LOB1 Sum'!J1&amp;": Row (13) + "&amp;'LOB2 Sum'!J1&amp; ": Row (13)"</f>
        <v>Tab:: LOB1 Sum: Row (13) + Tab:: LOB2 Sum: Row (13)</v>
      </c>
    </row>
    <row r="51" spans="1:8">
      <c r="A51" s="383">
        <f t="shared" si="3"/>
        <v>-11</v>
      </c>
      <c r="B51" s="383"/>
      <c r="C51" s="404" t="s">
        <v>373</v>
      </c>
    </row>
    <row r="52" spans="1:8">
      <c r="A52" s="383">
        <f t="shared" si="3"/>
        <v>-12</v>
      </c>
      <c r="B52" s="383"/>
      <c r="C52" s="404" t="s">
        <v>374</v>
      </c>
    </row>
    <row r="53" spans="1:8">
      <c r="A53" s="383">
        <f t="shared" si="3"/>
        <v>-13</v>
      </c>
      <c r="B53" s="383"/>
      <c r="C53" s="404" t="str">
        <f>"(12) * (1 - "&amp;TaxRate&amp;" )"</f>
        <v>(12) * (1 - 0.35 )</v>
      </c>
    </row>
    <row r="54" spans="1:8">
      <c r="A54" s="383">
        <f>+A53-1</f>
        <v>-14</v>
      </c>
      <c r="B54" s="383"/>
      <c r="C54" s="404" t="s">
        <v>375</v>
      </c>
    </row>
    <row r="56" spans="1:8">
      <c r="D56" s="485" t="s">
        <v>352</v>
      </c>
      <c r="E56" s="520"/>
      <c r="F56" s="458"/>
      <c r="G56" s="458"/>
      <c r="H56" s="458"/>
    </row>
    <row r="57" spans="1:8">
      <c r="E57" s="390" t="str">
        <f>Severity</f>
        <v>Severe</v>
      </c>
      <c r="F57" s="486"/>
      <c r="G57" s="486" t="s">
        <v>6</v>
      </c>
      <c r="H57" s="486"/>
    </row>
    <row r="58" spans="1:8">
      <c r="E58" s="390" t="s">
        <v>203</v>
      </c>
      <c r="F58" s="486"/>
      <c r="G58" s="486" t="s">
        <v>203</v>
      </c>
      <c r="H58" s="486"/>
    </row>
    <row r="59" spans="1:8">
      <c r="C59" s="487" t="s">
        <v>38</v>
      </c>
      <c r="E59" s="282">
        <f>+XSDths</f>
        <v>1944148.5794200001</v>
      </c>
      <c r="F59" s="292"/>
      <c r="G59" s="292">
        <v>213045.19967499998</v>
      </c>
      <c r="H59" s="292"/>
    </row>
    <row r="60" spans="1:8">
      <c r="C60" s="487" t="s">
        <v>200</v>
      </c>
      <c r="E60" s="282">
        <f>+'Distribution by Provider'!K27</f>
        <v>7912135</v>
      </c>
      <c r="F60" s="292"/>
      <c r="G60" s="292">
        <v>889388</v>
      </c>
      <c r="H60" s="292"/>
    </row>
    <row r="61" spans="1:8">
      <c r="C61" s="487" t="s">
        <v>198</v>
      </c>
      <c r="E61" s="282">
        <f>+'ACF Costs'!C30</f>
        <v>868043</v>
      </c>
      <c r="F61" s="292"/>
      <c r="G61" s="292">
        <v>0</v>
      </c>
      <c r="H61" s="292"/>
    </row>
    <row r="62" spans="1:8">
      <c r="C62" s="487" t="s">
        <v>43</v>
      </c>
      <c r="E62" s="282">
        <f>+'Distribution by Provider'!J27</f>
        <v>39241739</v>
      </c>
      <c r="F62" s="292"/>
      <c r="G62" s="292">
        <v>43788999</v>
      </c>
      <c r="H62" s="292"/>
    </row>
    <row r="63" spans="1:8">
      <c r="C63" s="487" t="s">
        <v>199</v>
      </c>
      <c r="E63" s="282">
        <f>+'Distribution by Provider'!I27</f>
        <v>40736086</v>
      </c>
      <c r="F63" s="292"/>
      <c r="G63" s="292">
        <v>45098663</v>
      </c>
      <c r="H63" s="292"/>
    </row>
    <row r="64" spans="1:8">
      <c r="C64" s="487" t="s">
        <v>1</v>
      </c>
      <c r="E64" s="282">
        <f>SUM(E59:E63)-E61</f>
        <v>89834108.57942</v>
      </c>
      <c r="F64" s="292"/>
      <c r="G64" s="292">
        <v>89990095.199674994</v>
      </c>
      <c r="H64" s="292"/>
    </row>
    <row r="66" spans="3:8">
      <c r="C66" s="487" t="s">
        <v>0</v>
      </c>
      <c r="E66" s="282">
        <f>+Population</f>
        <v>300000000</v>
      </c>
      <c r="F66" s="292"/>
      <c r="G66" s="292">
        <v>300000000</v>
      </c>
      <c r="H66" s="292"/>
    </row>
    <row r="68" spans="3:8">
      <c r="C68" s="487" t="s">
        <v>38</v>
      </c>
      <c r="E68" s="521">
        <f t="shared" ref="E68:E73" si="4">+E59/$E$66</f>
        <v>6.4804952647333335E-3</v>
      </c>
      <c r="F68" s="488"/>
      <c r="G68" s="488">
        <v>7.1015066558333324E-4</v>
      </c>
      <c r="H68" s="488"/>
    </row>
    <row r="69" spans="3:8">
      <c r="C69" s="487" t="s">
        <v>200</v>
      </c>
      <c r="E69" s="521">
        <f t="shared" si="4"/>
        <v>2.6373783333333334E-2</v>
      </c>
      <c r="F69" s="488"/>
      <c r="G69" s="488">
        <v>2.9646266666666665E-3</v>
      </c>
      <c r="H69" s="488"/>
    </row>
    <row r="70" spans="3:8">
      <c r="C70" s="487" t="s">
        <v>198</v>
      </c>
      <c r="E70" s="521">
        <f t="shared" si="4"/>
        <v>2.8934766666666666E-3</v>
      </c>
      <c r="F70" s="488"/>
      <c r="G70" s="488">
        <v>0</v>
      </c>
      <c r="H70" s="488"/>
    </row>
    <row r="71" spans="3:8">
      <c r="C71" s="487" t="s">
        <v>43</v>
      </c>
      <c r="E71" s="521">
        <f t="shared" si="4"/>
        <v>0.13080579666666667</v>
      </c>
      <c r="F71" s="488"/>
      <c r="G71" s="488">
        <v>0.14596333</v>
      </c>
      <c r="H71" s="488"/>
    </row>
    <row r="72" spans="3:8">
      <c r="C72" s="487" t="s">
        <v>199</v>
      </c>
      <c r="E72" s="521">
        <f t="shared" si="4"/>
        <v>0.13578695333333332</v>
      </c>
      <c r="F72" s="488"/>
      <c r="G72" s="488">
        <v>0.15032887666666667</v>
      </c>
      <c r="H72" s="488"/>
    </row>
    <row r="73" spans="3:8">
      <c r="C73" s="487" t="s">
        <v>1</v>
      </c>
      <c r="E73" s="521">
        <f t="shared" si="4"/>
        <v>0.29944702859806666</v>
      </c>
      <c r="F73" s="488"/>
      <c r="G73" s="488">
        <v>0.29996698399891664</v>
      </c>
      <c r="H73" s="488"/>
    </row>
    <row r="75" spans="3:8">
      <c r="C75" s="489"/>
      <c r="D75" s="485" t="s">
        <v>361</v>
      </c>
      <c r="E75" s="520"/>
      <c r="F75" s="458"/>
      <c r="G75" s="458"/>
      <c r="H75" s="458"/>
    </row>
    <row r="76" spans="3:8">
      <c r="C76" s="487" t="s">
        <v>38</v>
      </c>
      <c r="E76" s="282">
        <f>+'Total Costs'!T28</f>
        <v>8035</v>
      </c>
      <c r="G76" s="404">
        <v>357</v>
      </c>
    </row>
    <row r="77" spans="3:8">
      <c r="C77" s="487" t="s">
        <v>200</v>
      </c>
      <c r="E77" s="282">
        <f>+'Total Costs'!Q28</f>
        <v>30713</v>
      </c>
      <c r="G77" s="404">
        <v>3864</v>
      </c>
    </row>
    <row r="78" spans="3:8">
      <c r="C78" s="487" t="s">
        <v>198</v>
      </c>
      <c r="E78" s="282">
        <f>+'LOB2 Dist'!F54+'LOB1 Dist'!F54</f>
        <v>5566</v>
      </c>
      <c r="G78" s="404">
        <v>0</v>
      </c>
    </row>
    <row r="79" spans="3:8">
      <c r="C79" s="487" t="s">
        <v>43</v>
      </c>
      <c r="E79" s="282">
        <f>+'Total Costs'!N28</f>
        <v>210558</v>
      </c>
      <c r="G79" s="404">
        <v>236172</v>
      </c>
    </row>
    <row r="80" spans="3:8">
      <c r="C80" s="487" t="s">
        <v>199</v>
      </c>
      <c r="E80" s="282">
        <f>+'LOB2 Dist'!J30+'LOB1 Dist'!J30</f>
        <v>268713</v>
      </c>
      <c r="G80" s="404">
        <v>284598</v>
      </c>
    </row>
    <row r="81" spans="3:7">
      <c r="C81" s="487" t="s">
        <v>1</v>
      </c>
      <c r="E81" s="282">
        <f>SUM(E76:E80)</f>
        <v>523585</v>
      </c>
      <c r="G81" s="404">
        <v>524991</v>
      </c>
    </row>
    <row r="82" spans="3:7">
      <c r="E82" s="282"/>
    </row>
    <row r="83" spans="3:7">
      <c r="C83" s="487" t="s">
        <v>0</v>
      </c>
      <c r="E83" s="282">
        <f>InsPop</f>
        <v>1750000</v>
      </c>
      <c r="G83" s="404">
        <v>1750000</v>
      </c>
    </row>
    <row r="84" spans="3:7">
      <c r="E84" s="282"/>
    </row>
    <row r="85" spans="3:7">
      <c r="C85" s="487" t="s">
        <v>38</v>
      </c>
      <c r="E85" s="521">
        <f t="shared" ref="E85:E90" si="5">+E76/$E$83</f>
        <v>4.5914285714285718E-3</v>
      </c>
      <c r="G85" s="404">
        <v>2.04E-4</v>
      </c>
    </row>
    <row r="86" spans="3:7">
      <c r="C86" s="487" t="s">
        <v>200</v>
      </c>
      <c r="E86" s="521">
        <f t="shared" si="5"/>
        <v>1.7550285714285713E-2</v>
      </c>
      <c r="G86" s="404">
        <v>2.2079999999999999E-3</v>
      </c>
    </row>
    <row r="87" spans="3:7">
      <c r="C87" s="487" t="s">
        <v>198</v>
      </c>
      <c r="E87" s="521">
        <f t="shared" si="5"/>
        <v>3.1805714285714284E-3</v>
      </c>
      <c r="G87" s="404">
        <v>0</v>
      </c>
    </row>
    <row r="88" spans="3:7">
      <c r="C88" s="487" t="s">
        <v>43</v>
      </c>
      <c r="E88" s="521">
        <f t="shared" si="5"/>
        <v>0.12031885714285714</v>
      </c>
      <c r="G88" s="404">
        <v>0.13495542857142856</v>
      </c>
    </row>
    <row r="89" spans="3:7">
      <c r="C89" s="487" t="s">
        <v>199</v>
      </c>
      <c r="E89" s="521">
        <f t="shared" si="5"/>
        <v>0.15355028571428572</v>
      </c>
      <c r="G89" s="404">
        <v>0.16262742857142856</v>
      </c>
    </row>
    <row r="90" spans="3:7">
      <c r="C90" s="487" t="s">
        <v>1</v>
      </c>
      <c r="E90" s="521">
        <f t="shared" si="5"/>
        <v>0.29919142857142855</v>
      </c>
      <c r="G90" s="404">
        <v>0.29999485714285712</v>
      </c>
    </row>
  </sheetData>
  <printOptions horizontalCentered="1"/>
  <pageMargins left="0.5" right="0.5" top="0.75" bottom="0.7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3"/>
  <sheetViews>
    <sheetView workbookViewId="0">
      <selection activeCell="D4" sqref="D4"/>
    </sheetView>
  </sheetViews>
  <sheetFormatPr defaultRowHeight="12.75"/>
  <cols>
    <col min="1" max="16384" width="9.140625" style="274"/>
  </cols>
  <sheetData>
    <row r="23" spans="1:1">
      <c r="A23" s="275"/>
    </row>
  </sheetData>
  <pageMargins left="0.5" right="0.5" top="0.75" bottom="0.7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R58"/>
  <sheetViews>
    <sheetView zoomScale="85" zoomScaleNormal="85" workbookViewId="0">
      <selection activeCell="D4" sqref="D4"/>
    </sheetView>
  </sheetViews>
  <sheetFormatPr defaultRowHeight="12.75"/>
  <cols>
    <col min="1" max="1" width="10.7109375" customWidth="1"/>
    <col min="2" max="12" width="12.7109375" customWidth="1"/>
    <col min="13" max="13" width="1" customWidth="1"/>
    <col min="14" max="14" width="12.5703125" bestFit="1" customWidth="1"/>
    <col min="17" max="17" width="10.28515625" customWidth="1"/>
  </cols>
  <sheetData>
    <row r="1" spans="1:18">
      <c r="A1" s="446" t="str">
        <f>scenario</f>
        <v>Severe Scenario, V\ Curve</v>
      </c>
      <c r="M1" s="164" t="s">
        <v>387</v>
      </c>
    </row>
    <row r="2" spans="1:18" ht="15.75">
      <c r="A2" s="52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8" ht="15">
      <c r="A3" s="128" t="s">
        <v>67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8" ht="15.75" customHeight="1">
      <c r="A4" s="52"/>
      <c r="B4" s="13"/>
      <c r="C4" s="13"/>
      <c r="D4" s="13"/>
      <c r="E4" s="13"/>
      <c r="F4" s="13"/>
      <c r="M4" s="274"/>
    </row>
    <row r="5" spans="1:18">
      <c r="B5" s="47" t="s">
        <v>372</v>
      </c>
      <c r="D5" s="12" t="str">
        <f>+Scenario!D10</f>
        <v>Seasonal</v>
      </c>
      <c r="E5" s="17" t="str">
        <f>+Scenario!E10</f>
        <v>Moderate</v>
      </c>
      <c r="F5" s="17" t="str">
        <f>+Scenario!F10</f>
        <v>Severe</v>
      </c>
      <c r="M5" s="274"/>
      <c r="N5" s="13"/>
      <c r="O5" s="13"/>
    </row>
    <row r="6" spans="1:18">
      <c r="B6" s="511" t="s">
        <v>371</v>
      </c>
      <c r="C6" s="114">
        <f>HLOOKUP(Severity,$D$5:$F$6,2,0)</f>
        <v>6.48</v>
      </c>
      <c r="D6" s="423">
        <v>0.14000000000000001</v>
      </c>
      <c r="E6" s="423">
        <v>0.71</v>
      </c>
      <c r="F6" s="424">
        <v>6.48</v>
      </c>
      <c r="G6" s="43"/>
      <c r="M6" s="274"/>
      <c r="N6" s="12"/>
      <c r="O6" s="12"/>
      <c r="P6" s="12"/>
      <c r="Q6" s="51"/>
      <c r="R6" s="3"/>
    </row>
    <row r="7" spans="1:18">
      <c r="C7" s="58"/>
      <c r="N7" s="38"/>
      <c r="O7" s="30"/>
      <c r="P7" s="42"/>
      <c r="Q7" s="6"/>
      <c r="R7" s="3"/>
    </row>
    <row r="8" spans="1:18">
      <c r="B8" s="2" t="s">
        <v>42</v>
      </c>
      <c r="C8" s="145" t="str">
        <f>Curve</f>
        <v>V\</v>
      </c>
      <c r="D8" s="40" t="s">
        <v>206</v>
      </c>
      <c r="F8" s="46"/>
      <c r="N8" s="38"/>
      <c r="O8" s="30"/>
      <c r="P8" s="34"/>
      <c r="Q8" s="6"/>
      <c r="R8" s="3"/>
    </row>
    <row r="9" spans="1:18">
      <c r="B9" s="48"/>
      <c r="C9" s="116"/>
      <c r="E9" s="85"/>
      <c r="F9" s="86"/>
      <c r="O9" s="34"/>
      <c r="P9" s="34"/>
    </row>
    <row r="10" spans="1:18">
      <c r="B10" s="53" t="s">
        <v>30</v>
      </c>
      <c r="C10" s="117"/>
      <c r="D10" s="12" t="str">
        <f>+Scenario!D10</f>
        <v>Seasonal</v>
      </c>
      <c r="E10" s="17" t="str">
        <f>+Scenario!E10</f>
        <v>Moderate</v>
      </c>
      <c r="F10" s="17" t="str">
        <f>+Scenario!F10</f>
        <v>Severe</v>
      </c>
      <c r="O10" s="34"/>
      <c r="P10" s="34"/>
    </row>
    <row r="11" spans="1:18">
      <c r="B11" s="53" t="s">
        <v>48</v>
      </c>
      <c r="C11" s="147">
        <f>HLOOKUP(Severity,$D$10:$F$11,2,0)</f>
        <v>0.76900000000000002</v>
      </c>
      <c r="D11" s="425">
        <v>0.57099999999999995</v>
      </c>
      <c r="E11" s="425">
        <v>0.57099999999999995</v>
      </c>
      <c r="F11" s="425">
        <v>0.76900000000000002</v>
      </c>
      <c r="G11" s="43"/>
      <c r="K11" s="33"/>
      <c r="L11" s="274"/>
      <c r="M11" s="274"/>
      <c r="O11" s="34"/>
      <c r="P11" s="34"/>
    </row>
    <row r="12" spans="1:18">
      <c r="A12" s="53"/>
      <c r="B12" s="122"/>
      <c r="C12" s="67"/>
      <c r="D12" s="67"/>
      <c r="E12" s="67"/>
      <c r="F12" s="96"/>
      <c r="O12" s="34"/>
      <c r="P12" s="34"/>
    </row>
    <row r="13" spans="1:18" ht="15.75" customHeight="1">
      <c r="A13" s="48"/>
      <c r="B13" s="49"/>
      <c r="F13" s="165"/>
    </row>
    <row r="14" spans="1:18">
      <c r="C14" s="104" t="s">
        <v>49</v>
      </c>
      <c r="D14" s="110"/>
      <c r="E14" s="110"/>
      <c r="F14" s="110"/>
      <c r="G14" s="111"/>
      <c r="H14" s="112"/>
      <c r="I14" s="111"/>
      <c r="J14" s="112"/>
    </row>
    <row r="15" spans="1:18">
      <c r="A15" s="12"/>
      <c r="B15" s="194"/>
      <c r="C15" s="59" t="str">
        <f>+Scenario!D14&amp;" Curve"</f>
        <v>Seasonal "U" Curve</v>
      </c>
      <c r="D15" s="60"/>
      <c r="E15" s="59" t="str">
        <f>+Scenario!E14&amp;" Curve"</f>
        <v>Moderate "U" Curve</v>
      </c>
      <c r="F15" s="60"/>
      <c r="G15" s="59" t="str">
        <f>+Scenario!F14&amp;" Curve"</f>
        <v>Hypothetical "W" Curve</v>
      </c>
      <c r="H15" s="60"/>
      <c r="I15" s="70" t="str">
        <f>+Scenario!G14&amp;" Curve"</f>
        <v>1918 "V\" Curve</v>
      </c>
      <c r="J15" s="70"/>
      <c r="K15" s="87" t="s">
        <v>50</v>
      </c>
      <c r="L15" s="93" t="s">
        <v>1</v>
      </c>
      <c r="N15" s="12">
        <v>2004</v>
      </c>
    </row>
    <row r="16" spans="1:18">
      <c r="A16" s="1" t="s">
        <v>3</v>
      </c>
      <c r="B16" s="88" t="s">
        <v>0</v>
      </c>
      <c r="C16" s="61" t="s">
        <v>27</v>
      </c>
      <c r="D16" s="89" t="s">
        <v>2</v>
      </c>
      <c r="E16" s="61" t="s">
        <v>27</v>
      </c>
      <c r="F16" s="65" t="s">
        <v>2</v>
      </c>
      <c r="G16" s="61" t="s">
        <v>27</v>
      </c>
      <c r="H16" s="65" t="s">
        <v>2</v>
      </c>
      <c r="I16" s="61" t="s">
        <v>27</v>
      </c>
      <c r="J16" s="65" t="s">
        <v>2</v>
      </c>
      <c r="K16" s="88" t="s">
        <v>4</v>
      </c>
      <c r="L16" s="328" t="s">
        <v>38</v>
      </c>
      <c r="N16" s="17" t="s">
        <v>29</v>
      </c>
    </row>
    <row r="17" spans="1:15">
      <c r="A17" s="14"/>
      <c r="B17" s="63">
        <v>-4</v>
      </c>
      <c r="C17" s="63">
        <f t="shared" ref="C17:L17" si="0">+B17-1</f>
        <v>-5</v>
      </c>
      <c r="D17" s="64">
        <f t="shared" si="0"/>
        <v>-6</v>
      </c>
      <c r="E17" s="63">
        <f t="shared" si="0"/>
        <v>-7</v>
      </c>
      <c r="F17" s="64">
        <f t="shared" si="0"/>
        <v>-8</v>
      </c>
      <c r="G17" s="63">
        <f t="shared" si="0"/>
        <v>-9</v>
      </c>
      <c r="H17" s="64">
        <f t="shared" si="0"/>
        <v>-10</v>
      </c>
      <c r="I17" s="63">
        <f t="shared" si="0"/>
        <v>-11</v>
      </c>
      <c r="J17" s="64">
        <f t="shared" si="0"/>
        <v>-12</v>
      </c>
      <c r="K17" s="63">
        <f t="shared" si="0"/>
        <v>-13</v>
      </c>
      <c r="L17" s="64">
        <f t="shared" si="0"/>
        <v>-14</v>
      </c>
      <c r="N17" s="19" t="s">
        <v>0</v>
      </c>
    </row>
    <row r="18" spans="1:15" ht="3.75" customHeight="1">
      <c r="A18" s="14"/>
      <c r="B18" s="88"/>
      <c r="C18" s="61"/>
      <c r="D18" s="62"/>
      <c r="E18" s="17"/>
      <c r="F18" s="65"/>
      <c r="G18" s="61"/>
      <c r="H18" s="17"/>
      <c r="I18" s="61"/>
      <c r="J18" s="17"/>
      <c r="K18" s="88"/>
      <c r="L18" s="92"/>
      <c r="N18" s="19"/>
    </row>
    <row r="19" spans="1:15">
      <c r="A19" s="75" t="s">
        <v>10</v>
      </c>
      <c r="B19" s="340">
        <f t="shared" ref="B19:B36" si="1">ROUND($B$37*O19,0)</f>
        <v>20504919</v>
      </c>
      <c r="C19" s="426">
        <v>0.05</v>
      </c>
      <c r="D19" s="131">
        <f t="shared" ref="D19:D36" si="2">ROUND(C19*Mortality,3)</f>
        <v>0.32400000000000001</v>
      </c>
      <c r="E19" s="426">
        <v>1</v>
      </c>
      <c r="F19" s="131">
        <f t="shared" ref="F19:F36" si="3">ROUND(E19*Mortality,3)</f>
        <v>6.48</v>
      </c>
      <c r="G19" s="426">
        <v>1</v>
      </c>
      <c r="H19" s="131">
        <f t="shared" ref="H19:H36" si="4">ROUND(G19*Mortality,3)</f>
        <v>6.48</v>
      </c>
      <c r="I19" s="429">
        <v>1.7669999999999999</v>
      </c>
      <c r="J19" s="131">
        <f t="shared" ref="J19:J36" si="5">ROUND(I19*Mortality,3)</f>
        <v>11.45</v>
      </c>
      <c r="K19" s="133">
        <f t="shared" ref="K19:K36" si="6">IF(MortCurve="S",D19,IF(MortCurve="M",F19,IF(MortCurve="VV",H19,IF(MortCurve="V\",J19,"N/A"))))</f>
        <v>11.45</v>
      </c>
      <c r="L19" s="120">
        <f t="shared" ref="L19:L36" si="7">+K19*B19/1000</f>
        <v>234781.32254999998</v>
      </c>
      <c r="N19" s="431">
        <v>20071268</v>
      </c>
      <c r="O19" s="345">
        <f t="shared" ref="O19:O36" si="8">+N19/$N$37</f>
        <v>6.8349731442367737E-2</v>
      </c>
    </row>
    <row r="20" spans="1:15">
      <c r="A20" s="76" t="s">
        <v>11</v>
      </c>
      <c r="B20" s="340">
        <f t="shared" si="1"/>
        <v>20029162</v>
      </c>
      <c r="C20" s="426">
        <v>8.9999999999999993E-3</v>
      </c>
      <c r="D20" s="131">
        <f t="shared" si="2"/>
        <v>5.8000000000000003E-2</v>
      </c>
      <c r="E20" s="426">
        <v>0.1</v>
      </c>
      <c r="F20" s="131">
        <f t="shared" si="3"/>
        <v>0.64800000000000002</v>
      </c>
      <c r="G20" s="426">
        <v>0.35</v>
      </c>
      <c r="H20" s="131">
        <f t="shared" si="4"/>
        <v>2.2679999999999998</v>
      </c>
      <c r="I20" s="429">
        <v>0.35339999999999999</v>
      </c>
      <c r="J20" s="131">
        <f t="shared" si="5"/>
        <v>2.29</v>
      </c>
      <c r="K20" s="133">
        <f t="shared" si="6"/>
        <v>2.29</v>
      </c>
      <c r="L20" s="120">
        <f t="shared" si="7"/>
        <v>45866.780980000003</v>
      </c>
      <c r="N20" s="431">
        <v>19605572</v>
      </c>
      <c r="O20" s="346">
        <f t="shared" si="8"/>
        <v>6.6763872664846305E-2</v>
      </c>
    </row>
    <row r="21" spans="1:15">
      <c r="A21" s="76" t="s">
        <v>12</v>
      </c>
      <c r="B21" s="340">
        <f t="shared" si="1"/>
        <v>21602009</v>
      </c>
      <c r="C21" s="426">
        <v>8.9999999999999993E-3</v>
      </c>
      <c r="D21" s="131">
        <f t="shared" si="2"/>
        <v>5.8000000000000003E-2</v>
      </c>
      <c r="E21" s="426">
        <v>0.1</v>
      </c>
      <c r="F21" s="131">
        <f t="shared" si="3"/>
        <v>0.64800000000000002</v>
      </c>
      <c r="G21" s="426">
        <v>0.35</v>
      </c>
      <c r="H21" s="131">
        <f t="shared" si="4"/>
        <v>2.2679999999999998</v>
      </c>
      <c r="I21" s="429">
        <v>0.35339999999999999</v>
      </c>
      <c r="J21" s="131">
        <f t="shared" si="5"/>
        <v>2.29</v>
      </c>
      <c r="K21" s="133">
        <f t="shared" si="6"/>
        <v>2.29</v>
      </c>
      <c r="L21" s="120">
        <f t="shared" si="7"/>
        <v>49468.600610000001</v>
      </c>
      <c r="N21" s="431">
        <v>21145156</v>
      </c>
      <c r="O21" s="346">
        <f t="shared" si="8"/>
        <v>7.2006698027597002E-2</v>
      </c>
    </row>
    <row r="22" spans="1:15">
      <c r="A22" s="76" t="s">
        <v>13</v>
      </c>
      <c r="B22" s="340">
        <f t="shared" si="1"/>
        <v>21177681</v>
      </c>
      <c r="C22" s="426">
        <v>8.9999999999999993E-3</v>
      </c>
      <c r="D22" s="131">
        <f t="shared" si="2"/>
        <v>5.8000000000000003E-2</v>
      </c>
      <c r="E22" s="426">
        <v>0.1</v>
      </c>
      <c r="F22" s="131">
        <f t="shared" si="3"/>
        <v>0.64800000000000002</v>
      </c>
      <c r="G22" s="426">
        <v>0.85</v>
      </c>
      <c r="H22" s="131">
        <f t="shared" si="4"/>
        <v>5.508</v>
      </c>
      <c r="I22" s="429">
        <v>1.0601999999999998</v>
      </c>
      <c r="J22" s="131">
        <f t="shared" si="5"/>
        <v>6.87</v>
      </c>
      <c r="K22" s="133">
        <f t="shared" si="6"/>
        <v>6.87</v>
      </c>
      <c r="L22" s="120">
        <f t="shared" si="7"/>
        <v>145490.66847</v>
      </c>
      <c r="N22" s="431">
        <v>20729802</v>
      </c>
      <c r="O22" s="346">
        <f t="shared" si="8"/>
        <v>7.059227147748999E-2</v>
      </c>
    </row>
    <row r="23" spans="1:15">
      <c r="A23" s="76" t="s">
        <v>14</v>
      </c>
      <c r="B23" s="340">
        <f t="shared" si="1"/>
        <v>21424399</v>
      </c>
      <c r="C23" s="426">
        <v>0.01</v>
      </c>
      <c r="D23" s="131">
        <f t="shared" si="2"/>
        <v>6.5000000000000002E-2</v>
      </c>
      <c r="E23" s="426">
        <v>0.1</v>
      </c>
      <c r="F23" s="131">
        <f t="shared" si="3"/>
        <v>0.64800000000000002</v>
      </c>
      <c r="G23" s="426">
        <v>1.25</v>
      </c>
      <c r="H23" s="131">
        <f t="shared" si="4"/>
        <v>8.1</v>
      </c>
      <c r="I23" s="429">
        <v>1.5314000000000001</v>
      </c>
      <c r="J23" s="131">
        <f t="shared" si="5"/>
        <v>9.923</v>
      </c>
      <c r="K23" s="133">
        <f t="shared" si="6"/>
        <v>9.923</v>
      </c>
      <c r="L23" s="120">
        <f t="shared" si="7"/>
        <v>212594.311277</v>
      </c>
      <c r="N23" s="431">
        <v>20971302</v>
      </c>
      <c r="O23" s="346">
        <f t="shared" si="8"/>
        <v>7.1414663971244338E-2</v>
      </c>
    </row>
    <row r="24" spans="1:15">
      <c r="A24" s="75" t="s">
        <v>15</v>
      </c>
      <c r="B24" s="340">
        <f t="shared" si="1"/>
        <v>19983531</v>
      </c>
      <c r="C24" s="426">
        <v>0.02</v>
      </c>
      <c r="D24" s="131">
        <f t="shared" si="2"/>
        <v>0.13</v>
      </c>
      <c r="E24" s="426">
        <v>0.15</v>
      </c>
      <c r="F24" s="131">
        <f t="shared" si="3"/>
        <v>0.97199999999999998</v>
      </c>
      <c r="G24" s="426">
        <v>1.8</v>
      </c>
      <c r="H24" s="131">
        <f t="shared" si="4"/>
        <v>11.664</v>
      </c>
      <c r="I24" s="429">
        <v>2.2382</v>
      </c>
      <c r="J24" s="131">
        <f t="shared" si="5"/>
        <v>14.504</v>
      </c>
      <c r="K24" s="133">
        <f t="shared" si="6"/>
        <v>14.504</v>
      </c>
      <c r="L24" s="120">
        <f t="shared" si="7"/>
        <v>289841.13362400001</v>
      </c>
      <c r="N24" s="431">
        <v>19560906</v>
      </c>
      <c r="O24" s="345">
        <f t="shared" si="8"/>
        <v>6.6611769215049077E-2</v>
      </c>
    </row>
    <row r="25" spans="1:15">
      <c r="A25" s="75" t="s">
        <v>16</v>
      </c>
      <c r="B25" s="340">
        <f t="shared" si="1"/>
        <v>20913321</v>
      </c>
      <c r="C25" s="426">
        <v>0.03</v>
      </c>
      <c r="D25" s="131">
        <f t="shared" si="2"/>
        <v>0.19400000000000001</v>
      </c>
      <c r="E25" s="426">
        <v>0.2</v>
      </c>
      <c r="F25" s="131">
        <f t="shared" si="3"/>
        <v>1.296</v>
      </c>
      <c r="G25" s="426">
        <v>1.8</v>
      </c>
      <c r="H25" s="131">
        <f t="shared" si="4"/>
        <v>11.664</v>
      </c>
      <c r="I25" s="429">
        <v>2.2382</v>
      </c>
      <c r="J25" s="131">
        <f t="shared" si="5"/>
        <v>14.504</v>
      </c>
      <c r="K25" s="133">
        <f t="shared" si="6"/>
        <v>14.504</v>
      </c>
      <c r="L25" s="120">
        <f t="shared" si="7"/>
        <v>303326.807784</v>
      </c>
      <c r="N25" s="431">
        <v>20471032</v>
      </c>
      <c r="O25" s="345">
        <f t="shared" si="8"/>
        <v>6.9711068555714364E-2</v>
      </c>
    </row>
    <row r="26" spans="1:15">
      <c r="A26" s="75" t="s">
        <v>17</v>
      </c>
      <c r="B26" s="340">
        <f t="shared" si="1"/>
        <v>21507166</v>
      </c>
      <c r="C26" s="426">
        <v>0.04</v>
      </c>
      <c r="D26" s="131">
        <f t="shared" si="2"/>
        <v>0.25900000000000001</v>
      </c>
      <c r="E26" s="426">
        <v>0.3</v>
      </c>
      <c r="F26" s="131">
        <f t="shared" si="3"/>
        <v>1.944</v>
      </c>
      <c r="G26" s="426">
        <v>1</v>
      </c>
      <c r="H26" s="131">
        <f t="shared" si="4"/>
        <v>6.48</v>
      </c>
      <c r="I26" s="429">
        <v>1.2957999999999998</v>
      </c>
      <c r="J26" s="131">
        <f t="shared" si="5"/>
        <v>8.3970000000000002</v>
      </c>
      <c r="K26" s="133">
        <f t="shared" si="6"/>
        <v>8.3970000000000002</v>
      </c>
      <c r="L26" s="120">
        <f t="shared" si="7"/>
        <v>180595.67290200002</v>
      </c>
      <c r="N26" s="431">
        <v>21052318</v>
      </c>
      <c r="O26" s="345">
        <f t="shared" si="8"/>
        <v>7.1690551964097349E-2</v>
      </c>
    </row>
    <row r="27" spans="1:15">
      <c r="A27" s="75" t="s">
        <v>18</v>
      </c>
      <c r="B27" s="340">
        <f t="shared" si="1"/>
        <v>23554480</v>
      </c>
      <c r="C27" s="426">
        <v>0.05</v>
      </c>
      <c r="D27" s="131">
        <f t="shared" si="2"/>
        <v>0.32400000000000001</v>
      </c>
      <c r="E27" s="426">
        <v>0.4</v>
      </c>
      <c r="F27" s="131">
        <f t="shared" si="3"/>
        <v>2.5920000000000001</v>
      </c>
      <c r="G27" s="426">
        <v>0.75</v>
      </c>
      <c r="H27" s="131">
        <f t="shared" si="4"/>
        <v>4.8600000000000003</v>
      </c>
      <c r="I27" s="429">
        <v>1.0601999999999998</v>
      </c>
      <c r="J27" s="131">
        <f t="shared" si="5"/>
        <v>6.87</v>
      </c>
      <c r="K27" s="133">
        <f t="shared" si="6"/>
        <v>6.87</v>
      </c>
      <c r="L27" s="120">
        <f t="shared" si="7"/>
        <v>161819.2776</v>
      </c>
      <c r="N27" s="431">
        <v>23056334</v>
      </c>
      <c r="O27" s="345">
        <f t="shared" si="8"/>
        <v>7.8514931739516028E-2</v>
      </c>
    </row>
    <row r="28" spans="1:15">
      <c r="A28" s="75" t="s">
        <v>19</v>
      </c>
      <c r="B28" s="340">
        <f t="shared" si="1"/>
        <v>22600601</v>
      </c>
      <c r="C28" s="426">
        <v>0.1</v>
      </c>
      <c r="D28" s="131">
        <f t="shared" si="2"/>
        <v>0.64800000000000002</v>
      </c>
      <c r="E28" s="426">
        <v>0.6</v>
      </c>
      <c r="F28" s="131">
        <f t="shared" si="3"/>
        <v>3.8879999999999999</v>
      </c>
      <c r="G28" s="426">
        <v>0.45</v>
      </c>
      <c r="H28" s="131">
        <f t="shared" si="4"/>
        <v>2.9159999999999999</v>
      </c>
      <c r="I28" s="429">
        <v>0.8246</v>
      </c>
      <c r="J28" s="131">
        <f t="shared" si="5"/>
        <v>5.343</v>
      </c>
      <c r="K28" s="133">
        <f t="shared" si="6"/>
        <v>5.343</v>
      </c>
      <c r="L28" s="120">
        <f t="shared" si="7"/>
        <v>120755.01114300001</v>
      </c>
      <c r="N28" s="431">
        <v>22122629</v>
      </c>
      <c r="O28" s="345">
        <f t="shared" si="8"/>
        <v>7.5335337605433608E-2</v>
      </c>
    </row>
    <row r="29" spans="1:15">
      <c r="A29" s="75" t="s">
        <v>20</v>
      </c>
      <c r="B29" s="340">
        <f t="shared" si="1"/>
        <v>19917402</v>
      </c>
      <c r="C29" s="426">
        <v>0.3</v>
      </c>
      <c r="D29" s="131">
        <f t="shared" si="2"/>
        <v>1.944</v>
      </c>
      <c r="E29" s="426">
        <v>0.85</v>
      </c>
      <c r="F29" s="131">
        <f t="shared" si="3"/>
        <v>5.508</v>
      </c>
      <c r="G29" s="426">
        <v>0.4</v>
      </c>
      <c r="H29" s="131">
        <f t="shared" si="4"/>
        <v>2.5920000000000001</v>
      </c>
      <c r="I29" s="429">
        <v>0.58899999999999997</v>
      </c>
      <c r="J29" s="131">
        <f t="shared" si="5"/>
        <v>3.8170000000000002</v>
      </c>
      <c r="K29" s="133">
        <f t="shared" si="6"/>
        <v>3.8170000000000002</v>
      </c>
      <c r="L29" s="120">
        <f t="shared" si="7"/>
        <v>76024.723434</v>
      </c>
      <c r="N29" s="431">
        <v>19496176</v>
      </c>
      <c r="O29" s="345">
        <f t="shared" si="8"/>
        <v>6.639134078390739E-2</v>
      </c>
    </row>
    <row r="30" spans="1:15">
      <c r="A30" s="75" t="s">
        <v>21</v>
      </c>
      <c r="B30" s="340">
        <f t="shared" si="1"/>
        <v>16845766</v>
      </c>
      <c r="C30" s="426">
        <v>0.6</v>
      </c>
      <c r="D30" s="131">
        <f t="shared" si="2"/>
        <v>3.8879999999999999</v>
      </c>
      <c r="E30" s="426">
        <v>1.2</v>
      </c>
      <c r="F30" s="131">
        <f t="shared" si="3"/>
        <v>7.7759999999999998</v>
      </c>
      <c r="G30" s="426">
        <v>0.48</v>
      </c>
      <c r="H30" s="131">
        <f t="shared" si="4"/>
        <v>3.11</v>
      </c>
      <c r="I30" s="429">
        <v>0.47119999999999995</v>
      </c>
      <c r="J30" s="131">
        <f t="shared" si="5"/>
        <v>3.0529999999999999</v>
      </c>
      <c r="K30" s="133">
        <f t="shared" si="6"/>
        <v>3.0529999999999999</v>
      </c>
      <c r="L30" s="120">
        <f t="shared" si="7"/>
        <v>51430.123597999998</v>
      </c>
      <c r="N30" s="431">
        <v>16489501</v>
      </c>
      <c r="O30" s="345">
        <f t="shared" si="8"/>
        <v>5.6152554236665778E-2</v>
      </c>
    </row>
    <row r="31" spans="1:15">
      <c r="A31" s="75" t="s">
        <v>22</v>
      </c>
      <c r="B31" s="340">
        <f t="shared" si="1"/>
        <v>12861425</v>
      </c>
      <c r="C31" s="426">
        <v>1</v>
      </c>
      <c r="D31" s="131">
        <f t="shared" si="2"/>
        <v>6.48</v>
      </c>
      <c r="E31" s="426">
        <v>1.6</v>
      </c>
      <c r="F31" s="131">
        <f t="shared" si="3"/>
        <v>10.368</v>
      </c>
      <c r="G31" s="426">
        <v>0.75</v>
      </c>
      <c r="H31" s="131">
        <f t="shared" si="4"/>
        <v>4.8600000000000003</v>
      </c>
      <c r="I31" s="429">
        <v>0.35339999999999999</v>
      </c>
      <c r="J31" s="131">
        <f t="shared" si="5"/>
        <v>2.29</v>
      </c>
      <c r="K31" s="133">
        <f t="shared" si="6"/>
        <v>2.29</v>
      </c>
      <c r="L31" s="120">
        <f t="shared" si="7"/>
        <v>29452.663250000001</v>
      </c>
      <c r="N31" s="431">
        <v>12589423</v>
      </c>
      <c r="O31" s="345">
        <f t="shared" si="8"/>
        <v>4.2871416049268411E-2</v>
      </c>
    </row>
    <row r="32" spans="1:15">
      <c r="A32" s="75" t="s">
        <v>23</v>
      </c>
      <c r="B32" s="340">
        <f t="shared" si="1"/>
        <v>10171582</v>
      </c>
      <c r="C32" s="426">
        <v>1.75</v>
      </c>
      <c r="D32" s="131">
        <f t="shared" si="2"/>
        <v>11.34</v>
      </c>
      <c r="E32" s="426">
        <v>2</v>
      </c>
      <c r="F32" s="131">
        <f t="shared" si="3"/>
        <v>12.96</v>
      </c>
      <c r="G32" s="426">
        <v>0.95</v>
      </c>
      <c r="H32" s="131">
        <f t="shared" si="4"/>
        <v>6.1559999999999997</v>
      </c>
      <c r="I32" s="429">
        <v>0.23559999999999998</v>
      </c>
      <c r="J32" s="131">
        <f t="shared" si="5"/>
        <v>1.5269999999999999</v>
      </c>
      <c r="K32" s="133">
        <f t="shared" si="6"/>
        <v>1.5269999999999999</v>
      </c>
      <c r="L32" s="120">
        <f t="shared" si="7"/>
        <v>15532.005713999999</v>
      </c>
      <c r="N32" s="431">
        <v>9956467</v>
      </c>
      <c r="O32" s="345">
        <f t="shared" si="8"/>
        <v>3.390527422406979E-2</v>
      </c>
    </row>
    <row r="33" spans="1:15">
      <c r="A33" s="75" t="s">
        <v>24</v>
      </c>
      <c r="B33" s="340">
        <f t="shared" si="1"/>
        <v>8690804</v>
      </c>
      <c r="C33" s="426">
        <v>3.5</v>
      </c>
      <c r="D33" s="131">
        <f t="shared" si="2"/>
        <v>22.68</v>
      </c>
      <c r="E33" s="426">
        <v>3</v>
      </c>
      <c r="F33" s="131">
        <f t="shared" si="3"/>
        <v>19.440000000000001</v>
      </c>
      <c r="G33" s="426">
        <v>1.4</v>
      </c>
      <c r="H33" s="131">
        <f t="shared" si="4"/>
        <v>9.0719999999999992</v>
      </c>
      <c r="I33" s="429">
        <v>0.23559999999999998</v>
      </c>
      <c r="J33" s="131">
        <f t="shared" si="5"/>
        <v>1.5269999999999999</v>
      </c>
      <c r="K33" s="133">
        <f t="shared" si="6"/>
        <v>1.5269999999999999</v>
      </c>
      <c r="L33" s="120">
        <f t="shared" si="7"/>
        <v>13270.857708</v>
      </c>
      <c r="N33" s="431">
        <v>8507005</v>
      </c>
      <c r="O33" s="345">
        <f t="shared" si="8"/>
        <v>2.8969345988946963E-2</v>
      </c>
    </row>
    <row r="34" spans="1:15">
      <c r="A34" s="75" t="s">
        <v>25</v>
      </c>
      <c r="B34" s="340">
        <f t="shared" si="1"/>
        <v>7570871</v>
      </c>
      <c r="C34" s="426">
        <v>8.5</v>
      </c>
      <c r="D34" s="131">
        <f t="shared" si="2"/>
        <v>55.08</v>
      </c>
      <c r="E34" s="426">
        <v>5</v>
      </c>
      <c r="F34" s="131">
        <f t="shared" si="3"/>
        <v>32.4</v>
      </c>
      <c r="G34" s="426">
        <v>1.9</v>
      </c>
      <c r="H34" s="131">
        <f t="shared" si="4"/>
        <v>12.311999999999999</v>
      </c>
      <c r="I34" s="429">
        <v>0.11779999999999999</v>
      </c>
      <c r="J34" s="131">
        <f t="shared" si="5"/>
        <v>0.76300000000000001</v>
      </c>
      <c r="K34" s="133">
        <f t="shared" si="6"/>
        <v>0.76300000000000001</v>
      </c>
      <c r="L34" s="120">
        <f t="shared" si="7"/>
        <v>5776.5745729999999</v>
      </c>
      <c r="N34" s="431">
        <v>7410757</v>
      </c>
      <c r="O34" s="345">
        <f t="shared" si="8"/>
        <v>2.5236235734316676E-2</v>
      </c>
    </row>
    <row r="35" spans="1:15">
      <c r="A35" s="75" t="s">
        <v>26</v>
      </c>
      <c r="B35" s="340">
        <f t="shared" si="1"/>
        <v>5680255</v>
      </c>
      <c r="C35" s="426">
        <v>14</v>
      </c>
      <c r="D35" s="131">
        <f t="shared" si="2"/>
        <v>90.72</v>
      </c>
      <c r="E35" s="426">
        <v>7.5</v>
      </c>
      <c r="F35" s="131">
        <f t="shared" si="3"/>
        <v>48.6</v>
      </c>
      <c r="G35" s="426">
        <v>2.85</v>
      </c>
      <c r="H35" s="131">
        <f t="shared" si="4"/>
        <v>18.468</v>
      </c>
      <c r="I35" s="429">
        <v>0.11779999999999999</v>
      </c>
      <c r="J35" s="131">
        <f t="shared" si="5"/>
        <v>0.76300000000000001</v>
      </c>
      <c r="K35" s="133">
        <f t="shared" si="6"/>
        <v>0.76300000000000001</v>
      </c>
      <c r="L35" s="120">
        <f t="shared" si="7"/>
        <v>4334.0345650000008</v>
      </c>
      <c r="N35" s="431">
        <v>5560125</v>
      </c>
      <c r="O35" s="345">
        <f t="shared" si="8"/>
        <v>1.8934182461018152E-2</v>
      </c>
    </row>
    <row r="36" spans="1:15">
      <c r="A36" s="77" t="s">
        <v>8</v>
      </c>
      <c r="B36" s="347">
        <f t="shared" si="1"/>
        <v>4964626</v>
      </c>
      <c r="C36" s="427">
        <v>14.5</v>
      </c>
      <c r="D36" s="132">
        <f t="shared" si="2"/>
        <v>93.96</v>
      </c>
      <c r="E36" s="427">
        <v>10.050000000000001</v>
      </c>
      <c r="F36" s="132">
        <f t="shared" si="3"/>
        <v>65.123999999999995</v>
      </c>
      <c r="G36" s="427">
        <v>3.85</v>
      </c>
      <c r="H36" s="132">
        <f t="shared" si="4"/>
        <v>24.948</v>
      </c>
      <c r="I36" s="430">
        <v>0.11779999999999999</v>
      </c>
      <c r="J36" s="132">
        <f t="shared" si="5"/>
        <v>0.76300000000000001</v>
      </c>
      <c r="K36" s="134">
        <f t="shared" si="6"/>
        <v>0.76300000000000001</v>
      </c>
      <c r="L36" s="121">
        <f t="shared" si="7"/>
        <v>3788.0096380000005</v>
      </c>
      <c r="N36" s="409">
        <v>4859631</v>
      </c>
      <c r="O36" s="257">
        <f t="shared" si="8"/>
        <v>1.6548753858451042E-2</v>
      </c>
    </row>
    <row r="37" spans="1:15">
      <c r="A37" s="2" t="s">
        <v>1</v>
      </c>
      <c r="B37" s="428">
        <v>300000000</v>
      </c>
      <c r="C37" s="34"/>
      <c r="D37" s="71">
        <f>SUMPRODUCT(D19:D36,$B$19:$B$36)/$B$37</f>
        <v>6.48328292303</v>
      </c>
      <c r="E37" s="72"/>
      <c r="F37" s="71">
        <f>SUMPRODUCT(F19:F36,$B$19:$B$36)/$B$37</f>
        <v>6.4806926266800007</v>
      </c>
      <c r="G37" s="71"/>
      <c r="H37" s="71">
        <f>SUMPRODUCT(H19:H36,$B$19:$B$36)/$B$37</f>
        <v>6.4806537049466666</v>
      </c>
      <c r="I37" s="71"/>
      <c r="J37" s="71">
        <f>SUMPRODUCT(J19:J36,$B$19:$B$36)/$B$37</f>
        <v>6.4804952647333334</v>
      </c>
      <c r="K37" s="34"/>
      <c r="L37" s="15">
        <f>SUM(L19:L36)</f>
        <v>1944148.5794200001</v>
      </c>
      <c r="N37" s="144">
        <f>SUM(N19:N36)</f>
        <v>293655404</v>
      </c>
    </row>
    <row r="38" spans="1:15">
      <c r="A38" s="2"/>
      <c r="B38" s="7"/>
      <c r="C38" s="34"/>
      <c r="D38" s="71"/>
      <c r="E38" s="72"/>
      <c r="F38" s="71"/>
      <c r="G38" s="71"/>
      <c r="H38" s="71"/>
      <c r="I38" s="71"/>
      <c r="J38" s="71"/>
      <c r="K38" s="34"/>
      <c r="L38" s="15"/>
    </row>
    <row r="39" spans="1:15">
      <c r="A39" s="348"/>
      <c r="B39" s="73"/>
      <c r="C39" s="73"/>
      <c r="D39" s="34"/>
      <c r="E39" s="34"/>
      <c r="F39" s="34"/>
      <c r="G39" s="34"/>
      <c r="H39" s="34"/>
      <c r="I39" s="34"/>
      <c r="J39" s="34"/>
      <c r="K39" s="15"/>
      <c r="L39" s="71"/>
      <c r="M39" s="135"/>
    </row>
    <row r="40" spans="1:15">
      <c r="A40" s="179"/>
      <c r="B40" s="45" t="s">
        <v>9</v>
      </c>
      <c r="C40" s="180"/>
      <c r="D40" s="180"/>
      <c r="E40" s="175"/>
      <c r="F40" s="175"/>
      <c r="G40" s="175"/>
      <c r="H40" s="175"/>
      <c r="I40" s="175"/>
      <c r="J40" s="175"/>
      <c r="K40" s="175"/>
      <c r="L40" s="39"/>
      <c r="M40" s="27"/>
    </row>
    <row r="41" spans="1:15">
      <c r="A41" s="181">
        <v>-1</v>
      </c>
      <c r="B41" s="184" t="s">
        <v>207</v>
      </c>
      <c r="C41" s="175"/>
      <c r="D41" s="175"/>
      <c r="E41" s="263"/>
      <c r="F41" s="181">
        <f>+A48-1</f>
        <v>-7</v>
      </c>
      <c r="G41" s="175" t="s">
        <v>45</v>
      </c>
      <c r="H41" s="175"/>
      <c r="I41" s="175"/>
      <c r="J41" s="175"/>
      <c r="K41" s="175"/>
      <c r="L41" s="183"/>
      <c r="M41" s="27"/>
    </row>
    <row r="42" spans="1:15">
      <c r="A42" s="181">
        <f>+A41-1</f>
        <v>-2</v>
      </c>
      <c r="B42" s="175" t="s">
        <v>208</v>
      </c>
      <c r="C42" s="175"/>
      <c r="D42" s="175"/>
      <c r="E42" s="263"/>
      <c r="F42" s="181">
        <f t="shared" ref="F42:F48" si="9">+F41-1</f>
        <v>-8</v>
      </c>
      <c r="G42" s="27" t="s">
        <v>73</v>
      </c>
      <c r="H42" s="175"/>
      <c r="I42" s="27"/>
      <c r="J42" s="175"/>
      <c r="K42" s="39"/>
      <c r="L42" s="152"/>
      <c r="M42" s="27"/>
    </row>
    <row r="43" spans="1:15">
      <c r="A43" s="181">
        <f>+A42-1</f>
        <v>-3</v>
      </c>
      <c r="B43" t="s">
        <v>214</v>
      </c>
      <c r="C43" s="39"/>
      <c r="D43" s="39"/>
      <c r="E43" s="264"/>
      <c r="F43" s="181">
        <f t="shared" si="9"/>
        <v>-9</v>
      </c>
      <c r="G43" s="175" t="s">
        <v>212</v>
      </c>
      <c r="H43" s="175"/>
      <c r="I43" s="175"/>
      <c r="J43" s="175"/>
      <c r="K43" s="175"/>
      <c r="L43" s="185"/>
      <c r="M43" s="27"/>
    </row>
    <row r="44" spans="1:15">
      <c r="A44" s="182"/>
      <c r="B44" s="184" t="s">
        <v>215</v>
      </c>
      <c r="C44" s="183"/>
      <c r="D44" s="175"/>
      <c r="E44" s="265"/>
      <c r="F44" s="181">
        <f t="shared" si="9"/>
        <v>-10</v>
      </c>
      <c r="G44" s="175" t="s">
        <v>74</v>
      </c>
      <c r="H44" s="175"/>
      <c r="I44" s="175"/>
      <c r="J44" s="175"/>
      <c r="K44" s="152"/>
      <c r="L44" s="185"/>
      <c r="M44" s="27"/>
    </row>
    <row r="45" spans="1:15">
      <c r="B45" s="184" t="s">
        <v>106</v>
      </c>
      <c r="C45" s="152"/>
      <c r="D45" s="152"/>
      <c r="E45" s="265"/>
      <c r="F45" s="181">
        <f t="shared" si="9"/>
        <v>-11</v>
      </c>
      <c r="G45" s="175" t="s">
        <v>46</v>
      </c>
      <c r="H45" s="175"/>
      <c r="I45" s="27"/>
      <c r="J45" s="175"/>
      <c r="K45" s="186"/>
      <c r="L45" s="185"/>
      <c r="M45" s="27"/>
    </row>
    <row r="46" spans="1:15">
      <c r="A46" s="181">
        <f>+A43-1</f>
        <v>-4</v>
      </c>
      <c r="B46" s="188" t="s">
        <v>209</v>
      </c>
      <c r="C46" s="186"/>
      <c r="D46" s="186"/>
      <c r="E46" s="265"/>
      <c r="F46" s="181">
        <f t="shared" si="9"/>
        <v>-12</v>
      </c>
      <c r="G46" s="175" t="s">
        <v>75</v>
      </c>
      <c r="H46" s="175"/>
      <c r="I46" s="175"/>
      <c r="J46" s="175"/>
      <c r="K46" s="186"/>
      <c r="L46" s="185"/>
      <c r="M46" s="27"/>
    </row>
    <row r="47" spans="1:15">
      <c r="A47" s="181">
        <f>+A46-1</f>
        <v>-5</v>
      </c>
      <c r="B47" s="188" t="s">
        <v>210</v>
      </c>
      <c r="C47" s="186"/>
      <c r="D47" s="186"/>
      <c r="E47" s="266"/>
      <c r="F47" s="181">
        <f t="shared" si="9"/>
        <v>-13</v>
      </c>
      <c r="G47" s="27" t="s">
        <v>47</v>
      </c>
      <c r="H47" s="175"/>
      <c r="I47" s="186"/>
      <c r="J47" s="175"/>
      <c r="K47" s="186"/>
      <c r="L47" s="186"/>
      <c r="M47" s="27"/>
    </row>
    <row r="48" spans="1:15">
      <c r="A48" s="181">
        <f>+A47-1</f>
        <v>-6</v>
      </c>
      <c r="B48" s="27" t="s">
        <v>72</v>
      </c>
      <c r="C48" s="187"/>
      <c r="D48" s="186"/>
      <c r="E48" s="266"/>
      <c r="F48" s="181">
        <f t="shared" si="9"/>
        <v>-14</v>
      </c>
      <c r="G48" s="175" t="s">
        <v>213</v>
      </c>
      <c r="H48" s="186"/>
      <c r="I48" s="186"/>
      <c r="J48" s="186"/>
      <c r="K48" s="186"/>
      <c r="L48" s="185"/>
      <c r="M48" s="27"/>
    </row>
    <row r="49" spans="2:13">
      <c r="C49" s="20"/>
      <c r="D49" s="21"/>
      <c r="E49" s="267"/>
      <c r="F49" s="21"/>
      <c r="G49" s="21"/>
      <c r="H49" s="21"/>
      <c r="I49" s="21"/>
      <c r="J49" s="21"/>
      <c r="K49" s="21"/>
      <c r="L49" s="22"/>
      <c r="M49" s="3"/>
    </row>
    <row r="50" spans="2:13">
      <c r="B50" s="20"/>
      <c r="C50" s="20"/>
      <c r="D50" s="21"/>
      <c r="E50" s="267"/>
      <c r="F50" s="21"/>
      <c r="G50" s="21"/>
      <c r="H50" s="21"/>
      <c r="I50" s="21"/>
      <c r="J50" s="21"/>
      <c r="K50" s="21"/>
      <c r="L50" s="24"/>
      <c r="M50" s="3"/>
    </row>
    <row r="51" spans="2:13">
      <c r="B51" s="16"/>
      <c r="C51" s="16"/>
      <c r="D51" s="25"/>
      <c r="E51" s="268"/>
      <c r="F51" s="25"/>
      <c r="G51" s="25"/>
      <c r="H51" s="25"/>
      <c r="I51" s="25"/>
      <c r="J51" s="25"/>
      <c r="K51" s="25"/>
      <c r="L51" s="26"/>
      <c r="M51" s="26"/>
    </row>
    <row r="52" spans="2:13">
      <c r="B52" s="16"/>
      <c r="C52" s="16"/>
      <c r="D52" s="16"/>
      <c r="E52" s="268"/>
      <c r="F52" s="16"/>
      <c r="G52" s="16"/>
      <c r="H52" s="16"/>
      <c r="I52" s="16"/>
      <c r="J52" s="16"/>
      <c r="K52" s="16"/>
      <c r="L52" s="16"/>
      <c r="M52" s="16"/>
    </row>
    <row r="53" spans="2:13">
      <c r="E53" s="269"/>
    </row>
    <row r="54" spans="2:13">
      <c r="E54" s="269"/>
    </row>
    <row r="55" spans="2:13">
      <c r="E55" s="269"/>
    </row>
    <row r="56" spans="2:13">
      <c r="E56" s="269"/>
    </row>
    <row r="57" spans="2:13">
      <c r="E57" s="269"/>
    </row>
    <row r="58" spans="2:13">
      <c r="E58" s="269"/>
    </row>
  </sheetData>
  <phoneticPr fontId="0" type="noConversion"/>
  <printOptions horizontalCentered="1"/>
  <pageMargins left="0.5" right="0.5" top="0.75" bottom="0.75" header="0.5" footer="0.35"/>
  <pageSetup scale="85" orientation="landscape" r:id="rId1"/>
  <headerFooter alignWithMargins="0">
    <oddFooter>&amp;L&amp;8&amp;F  &amp;A&amp;C&amp;8MBA Actuaries, Inc.&amp;R&amp;8&amp;D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theme="9" tint="0.39997558519241921"/>
    <pageSetUpPr fitToPage="1"/>
  </sheetPr>
  <dimension ref="A1:R79"/>
  <sheetViews>
    <sheetView zoomScale="85" zoomScaleNormal="85" workbookViewId="0">
      <selection activeCell="D4" sqref="D4"/>
    </sheetView>
  </sheetViews>
  <sheetFormatPr defaultRowHeight="12.75"/>
  <cols>
    <col min="1" max="1" width="11" customWidth="1"/>
    <col min="2" max="12" width="12.7109375" customWidth="1"/>
    <col min="13" max="13" width="1.140625" customWidth="1"/>
    <col min="17" max="17" width="10.28515625" customWidth="1"/>
  </cols>
  <sheetData>
    <row r="1" spans="1:18">
      <c r="A1" s="446" t="str">
        <f>scenario</f>
        <v>Severe Scenario, V\ Curve</v>
      </c>
      <c r="M1" s="164" t="s">
        <v>388</v>
      </c>
    </row>
    <row r="2" spans="1:18" ht="15.75">
      <c r="A2" s="52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8" ht="15">
      <c r="A3" s="128" t="s">
        <v>68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ht="6.95" customHeight="1">
      <c r="A4" s="52"/>
      <c r="B4" s="13"/>
      <c r="C4" s="13"/>
      <c r="D4" s="13"/>
      <c r="E4" s="13"/>
      <c r="F4" s="13"/>
      <c r="M4" s="13"/>
    </row>
    <row r="5" spans="1:18">
      <c r="B5" s="1"/>
      <c r="D5" s="44" t="str">
        <f>+Scenario!D10</f>
        <v>Seasonal</v>
      </c>
      <c r="E5" s="17" t="str">
        <f>+Scenario!E10</f>
        <v>Moderate</v>
      </c>
      <c r="F5" s="17" t="str">
        <f>+Scenario!F10</f>
        <v>Severe</v>
      </c>
      <c r="O5" s="13"/>
    </row>
    <row r="6" spans="1:18">
      <c r="B6" s="1" t="s">
        <v>28</v>
      </c>
      <c r="C6" s="126">
        <f>HLOOKUP(Severity,$D$5:$F$6,2,0)</f>
        <v>0.3</v>
      </c>
      <c r="D6" s="425">
        <v>8.4000000000000005E-2</v>
      </c>
      <c r="E6" s="425">
        <f>30%</f>
        <v>0.3</v>
      </c>
      <c r="F6" s="425">
        <f>30%</f>
        <v>0.3</v>
      </c>
      <c r="G6" s="43"/>
      <c r="O6" s="12"/>
      <c r="P6" s="12"/>
      <c r="Q6" s="51"/>
      <c r="R6" s="3"/>
    </row>
    <row r="7" spans="1:18">
      <c r="C7" s="58"/>
      <c r="O7" s="30"/>
      <c r="P7" s="42"/>
      <c r="Q7" s="6"/>
      <c r="R7" s="3"/>
    </row>
    <row r="8" spans="1:18">
      <c r="B8" s="2" t="s">
        <v>42</v>
      </c>
      <c r="C8" s="146" t="str">
        <f>+Curve</f>
        <v>V\</v>
      </c>
      <c r="D8" s="40" t="s">
        <v>206</v>
      </c>
      <c r="F8" s="46"/>
      <c r="O8" s="30"/>
      <c r="P8" s="34"/>
      <c r="Q8" s="6"/>
      <c r="R8" s="3"/>
    </row>
    <row r="9" spans="1:18">
      <c r="B9" s="53"/>
      <c r="C9" s="117"/>
      <c r="D9" s="67"/>
      <c r="E9" s="176"/>
      <c r="F9" s="176"/>
      <c r="G9" s="43"/>
      <c r="H9" s="175"/>
      <c r="J9" s="175"/>
      <c r="O9" s="34"/>
      <c r="P9" s="34"/>
    </row>
    <row r="10" spans="1:18">
      <c r="B10" s="223" t="s">
        <v>177</v>
      </c>
      <c r="C10" s="117"/>
      <c r="D10" s="67"/>
      <c r="E10" s="176"/>
      <c r="F10" s="176"/>
      <c r="G10" s="43"/>
      <c r="H10" s="184"/>
      <c r="J10" s="175"/>
      <c r="O10" s="34"/>
      <c r="P10" s="34"/>
    </row>
    <row r="11" spans="1:18">
      <c r="B11" s="223" t="s">
        <v>48</v>
      </c>
      <c r="C11" s="432">
        <v>0.92500000000000004</v>
      </c>
      <c r="D11" s="43"/>
      <c r="E11" s="175"/>
      <c r="F11" s="175"/>
      <c r="G11" s="175"/>
      <c r="H11" s="184"/>
      <c r="I11" s="175"/>
      <c r="J11" s="175"/>
      <c r="K11" s="175"/>
      <c r="M11" s="175"/>
    </row>
    <row r="12" spans="1:18">
      <c r="B12" s="48"/>
      <c r="C12" s="116"/>
      <c r="D12" s="175"/>
      <c r="E12" s="85"/>
      <c r="F12" s="86"/>
      <c r="G12" s="175"/>
      <c r="H12" s="175"/>
      <c r="I12" s="175"/>
      <c r="J12" s="175"/>
      <c r="K12" s="175"/>
      <c r="L12" s="175"/>
      <c r="M12" s="175"/>
      <c r="O12" s="34"/>
      <c r="P12" s="34"/>
    </row>
    <row r="13" spans="1:18">
      <c r="B13" s="223" t="s">
        <v>174</v>
      </c>
      <c r="C13" s="117"/>
      <c r="D13" s="44" t="str">
        <f>+Scenario!D10</f>
        <v>Seasonal</v>
      </c>
      <c r="E13" s="183" t="str">
        <f>+Scenario!E10</f>
        <v>Moderate</v>
      </c>
      <c r="F13" s="183" t="str">
        <f>+Scenario!F10</f>
        <v>Severe</v>
      </c>
      <c r="H13" s="175"/>
      <c r="I13" s="175"/>
      <c r="J13" s="175"/>
      <c r="K13" s="175"/>
      <c r="L13" s="43"/>
      <c r="M13" s="43"/>
      <c r="O13" s="34"/>
      <c r="P13" s="34"/>
    </row>
    <row r="14" spans="1:18">
      <c r="B14" s="223" t="s">
        <v>175</v>
      </c>
      <c r="C14" s="117">
        <f>HLOOKUP(Severity,$D$13:$F$14,2,0)</f>
        <v>0.97499999999999998</v>
      </c>
      <c r="D14" s="425">
        <v>1.075</v>
      </c>
      <c r="E14" s="433">
        <v>1.0249999999999999</v>
      </c>
      <c r="F14" s="433">
        <v>0.97499999999999998</v>
      </c>
      <c r="H14" s="43"/>
      <c r="I14" s="43"/>
      <c r="J14" s="43"/>
      <c r="K14" s="43"/>
      <c r="L14" s="43"/>
      <c r="M14" s="43"/>
      <c r="O14" s="34"/>
      <c r="P14" s="34"/>
    </row>
    <row r="15" spans="1:18">
      <c r="B15" s="53"/>
      <c r="C15" s="115"/>
      <c r="D15" s="67"/>
      <c r="E15" s="67"/>
      <c r="F15" s="67"/>
      <c r="G15" s="339" t="s">
        <v>192</v>
      </c>
      <c r="H15" s="175"/>
      <c r="I15" s="175"/>
      <c r="J15" s="175"/>
      <c r="K15" s="175"/>
      <c r="L15" s="175"/>
      <c r="M15" s="175"/>
      <c r="O15" s="34"/>
      <c r="P15" s="34"/>
    </row>
    <row r="16" spans="1:18">
      <c r="B16" s="223" t="s">
        <v>176</v>
      </c>
      <c r="C16" s="357">
        <f>HLOOKUP(Severity,$D$13:$F$16,4,0)</f>
        <v>12</v>
      </c>
      <c r="D16" s="508">
        <v>12</v>
      </c>
      <c r="E16" s="420">
        <v>12</v>
      </c>
      <c r="F16" s="420">
        <v>12</v>
      </c>
      <c r="G16" s="43" t="s">
        <v>220</v>
      </c>
      <c r="H16" s="175"/>
      <c r="I16" s="175"/>
      <c r="J16" s="175"/>
      <c r="K16" s="175"/>
      <c r="L16" s="175"/>
      <c r="M16" s="175"/>
      <c r="O16" s="34"/>
      <c r="P16" s="34"/>
    </row>
    <row r="17" spans="1:12">
      <c r="A17" s="48"/>
      <c r="B17" s="49"/>
      <c r="C17" s="49"/>
      <c r="G17" s="90"/>
      <c r="H17" s="50"/>
      <c r="I17" s="90"/>
      <c r="J17" s="50"/>
    </row>
    <row r="18" spans="1:12">
      <c r="C18" s="104" t="s">
        <v>33</v>
      </c>
      <c r="D18" s="110"/>
      <c r="E18" s="110"/>
      <c r="F18" s="110"/>
      <c r="G18" s="111"/>
      <c r="H18" s="112"/>
      <c r="I18" s="111"/>
      <c r="J18" s="112"/>
    </row>
    <row r="19" spans="1:12">
      <c r="A19" s="12"/>
      <c r="B19" s="91" t="s">
        <v>0</v>
      </c>
      <c r="C19" s="59" t="str">
        <f>+'Mortality Distribution'!C15</f>
        <v>Seasonal "U" Curve</v>
      </c>
      <c r="D19" s="60"/>
      <c r="E19" s="493" t="str">
        <f>+'Mortality Distribution'!E15</f>
        <v>Moderate "U" Curve</v>
      </c>
      <c r="F19" s="60"/>
      <c r="G19" s="493" t="str">
        <f>+'Mortality Distribution'!G15</f>
        <v>Hypothetical "W" Curve</v>
      </c>
      <c r="H19" s="60"/>
      <c r="I19" s="70" t="str">
        <f>+'Mortality Distribution'!I15</f>
        <v>1918 "V\" Curve</v>
      </c>
      <c r="J19" s="70"/>
      <c r="K19" s="87" t="s">
        <v>32</v>
      </c>
      <c r="L19" s="93" t="s">
        <v>1</v>
      </c>
    </row>
    <row r="20" spans="1:12">
      <c r="A20" s="1" t="s">
        <v>3</v>
      </c>
      <c r="B20" s="193" t="s">
        <v>107</v>
      </c>
      <c r="C20" s="61" t="s">
        <v>27</v>
      </c>
      <c r="D20" s="89" t="s">
        <v>32</v>
      </c>
      <c r="E20" s="61" t="s">
        <v>27</v>
      </c>
      <c r="F20" s="89" t="s">
        <v>32</v>
      </c>
      <c r="G20" s="61" t="s">
        <v>27</v>
      </c>
      <c r="H20" s="89" t="s">
        <v>32</v>
      </c>
      <c r="I20" s="61" t="s">
        <v>27</v>
      </c>
      <c r="J20" s="89" t="s">
        <v>32</v>
      </c>
      <c r="K20" s="88" t="s">
        <v>4</v>
      </c>
      <c r="L20" s="65" t="s">
        <v>34</v>
      </c>
    </row>
    <row r="21" spans="1:12">
      <c r="A21" s="14"/>
      <c r="B21" s="63">
        <v>-6</v>
      </c>
      <c r="C21" s="63">
        <f t="shared" ref="C21:L21" si="0">+B21-1</f>
        <v>-7</v>
      </c>
      <c r="D21" s="64">
        <f t="shared" si="0"/>
        <v>-8</v>
      </c>
      <c r="E21" s="66">
        <f t="shared" si="0"/>
        <v>-9</v>
      </c>
      <c r="F21" s="64">
        <f t="shared" si="0"/>
        <v>-10</v>
      </c>
      <c r="G21" s="66">
        <f t="shared" si="0"/>
        <v>-11</v>
      </c>
      <c r="H21" s="64">
        <f t="shared" si="0"/>
        <v>-12</v>
      </c>
      <c r="I21" s="66">
        <f t="shared" si="0"/>
        <v>-13</v>
      </c>
      <c r="J21" s="64">
        <f t="shared" si="0"/>
        <v>-14</v>
      </c>
      <c r="K21" s="66">
        <f t="shared" si="0"/>
        <v>-15</v>
      </c>
      <c r="L21" s="64">
        <f t="shared" si="0"/>
        <v>-16</v>
      </c>
    </row>
    <row r="22" spans="1:12" ht="3.75" customHeight="1">
      <c r="A22" s="14"/>
      <c r="B22" s="88"/>
      <c r="C22" s="61"/>
      <c r="D22" s="62"/>
      <c r="E22" s="17"/>
      <c r="F22" s="65"/>
      <c r="G22" s="61"/>
      <c r="H22" s="17"/>
      <c r="I22" s="61"/>
      <c r="J22" s="17"/>
      <c r="K22" s="88"/>
      <c r="L22" s="92"/>
    </row>
    <row r="23" spans="1:12">
      <c r="A23" s="75" t="s">
        <v>10</v>
      </c>
      <c r="B23" s="340">
        <f>+'Mortality Distribution'!B19-'Mortality Distribution'!L19/Morbidity</f>
        <v>19722314.591499999</v>
      </c>
      <c r="C23" s="426">
        <v>2.4</v>
      </c>
      <c r="D23" s="124">
        <f t="shared" ref="D23:F40" si="1">ROUND(C23*Morbidity,3)</f>
        <v>0.72</v>
      </c>
      <c r="E23" s="426">
        <v>1.5</v>
      </c>
      <c r="F23" s="342">
        <f t="shared" si="1"/>
        <v>0.45</v>
      </c>
      <c r="G23" s="426">
        <v>1.5</v>
      </c>
      <c r="H23" s="124">
        <f t="shared" ref="H23:H40" si="2">ROUND(G23*Morbidity,3)</f>
        <v>0.45</v>
      </c>
      <c r="I23" s="426">
        <v>2</v>
      </c>
      <c r="J23" s="124">
        <f t="shared" ref="J23:J40" si="3">ROUND(I23*Morbidity,3)</f>
        <v>0.6</v>
      </c>
      <c r="K23" s="159">
        <f t="shared" ref="K23:K40" si="4">IF(MorbCurve="S",D23,IF(MorbCurve="M",F23,IF(MorbCurve="VV",H23,IF(MorbCurve="V\",J23,"N/A"))))</f>
        <v>0.6</v>
      </c>
      <c r="L23" s="94">
        <f t="shared" ref="L23:L40" si="5">ROUND(K23*B23,0)</f>
        <v>11833389</v>
      </c>
    </row>
    <row r="24" spans="1:12">
      <c r="A24" s="76" t="s">
        <v>11</v>
      </c>
      <c r="B24" s="340">
        <f>+'Mortality Distribution'!B20-'Mortality Distribution'!L20/Morbidity</f>
        <v>19876272.730066668</v>
      </c>
      <c r="C24" s="426">
        <v>1.35</v>
      </c>
      <c r="D24" s="124">
        <f t="shared" si="1"/>
        <v>0.40500000000000003</v>
      </c>
      <c r="E24" s="426">
        <v>1.25</v>
      </c>
      <c r="F24" s="342">
        <f t="shared" si="1"/>
        <v>0.375</v>
      </c>
      <c r="G24" s="426">
        <v>1</v>
      </c>
      <c r="H24" s="124">
        <f t="shared" si="2"/>
        <v>0.3</v>
      </c>
      <c r="I24" s="426">
        <v>0.75</v>
      </c>
      <c r="J24" s="124">
        <f t="shared" si="3"/>
        <v>0.22500000000000001</v>
      </c>
      <c r="K24" s="159">
        <f t="shared" si="4"/>
        <v>0.22500000000000001</v>
      </c>
      <c r="L24" s="94">
        <f t="shared" si="5"/>
        <v>4472161</v>
      </c>
    </row>
    <row r="25" spans="1:12">
      <c r="A25" s="76" t="s">
        <v>12</v>
      </c>
      <c r="B25" s="340">
        <f>+'Mortality Distribution'!B21-'Mortality Distribution'!L21/Morbidity</f>
        <v>21437113.664633334</v>
      </c>
      <c r="C25" s="426">
        <v>0.95</v>
      </c>
      <c r="D25" s="124">
        <f t="shared" si="1"/>
        <v>0.28499999999999998</v>
      </c>
      <c r="E25" s="426">
        <v>1</v>
      </c>
      <c r="F25" s="342">
        <f t="shared" si="1"/>
        <v>0.3</v>
      </c>
      <c r="G25" s="426">
        <v>0.75</v>
      </c>
      <c r="H25" s="124">
        <f t="shared" si="2"/>
        <v>0.22500000000000001</v>
      </c>
      <c r="I25" s="426">
        <v>0.75</v>
      </c>
      <c r="J25" s="124">
        <f t="shared" si="3"/>
        <v>0.22500000000000001</v>
      </c>
      <c r="K25" s="159">
        <f t="shared" si="4"/>
        <v>0.22500000000000001</v>
      </c>
      <c r="L25" s="94">
        <f t="shared" si="5"/>
        <v>4823351</v>
      </c>
    </row>
    <row r="26" spans="1:12">
      <c r="A26" s="76" t="s">
        <v>13</v>
      </c>
      <c r="B26" s="340">
        <f>+'Mortality Distribution'!B22-'Mortality Distribution'!L22/Morbidity</f>
        <v>20692712.105099998</v>
      </c>
      <c r="C26" s="426">
        <v>0.85</v>
      </c>
      <c r="D26" s="124">
        <f t="shared" si="1"/>
        <v>0.255</v>
      </c>
      <c r="E26" s="426">
        <v>0.85</v>
      </c>
      <c r="F26" s="342">
        <f t="shared" si="1"/>
        <v>0.255</v>
      </c>
      <c r="G26" s="426">
        <v>0.75</v>
      </c>
      <c r="H26" s="124">
        <f t="shared" si="2"/>
        <v>0.22500000000000001</v>
      </c>
      <c r="I26" s="426">
        <v>0.75</v>
      </c>
      <c r="J26" s="124">
        <f t="shared" si="3"/>
        <v>0.22500000000000001</v>
      </c>
      <c r="K26" s="159">
        <f t="shared" si="4"/>
        <v>0.22500000000000001</v>
      </c>
      <c r="L26" s="94">
        <f t="shared" si="5"/>
        <v>4655860</v>
      </c>
    </row>
    <row r="27" spans="1:12">
      <c r="A27" s="76" t="s">
        <v>14</v>
      </c>
      <c r="B27" s="340">
        <f>+'Mortality Distribution'!B23-'Mortality Distribution'!L23/Morbidity</f>
        <v>20715751.295743335</v>
      </c>
      <c r="C27" s="426">
        <v>0.85</v>
      </c>
      <c r="D27" s="124">
        <f t="shared" si="1"/>
        <v>0.255</v>
      </c>
      <c r="E27" s="426">
        <v>0.85</v>
      </c>
      <c r="F27" s="342">
        <f t="shared" si="1"/>
        <v>0.255</v>
      </c>
      <c r="G27" s="426">
        <v>0.9</v>
      </c>
      <c r="H27" s="124">
        <f t="shared" si="2"/>
        <v>0.27</v>
      </c>
      <c r="I27" s="426">
        <v>1</v>
      </c>
      <c r="J27" s="124">
        <f t="shared" si="3"/>
        <v>0.3</v>
      </c>
      <c r="K27" s="159">
        <f t="shared" si="4"/>
        <v>0.3</v>
      </c>
      <c r="L27" s="94">
        <f t="shared" si="5"/>
        <v>6214725</v>
      </c>
    </row>
    <row r="28" spans="1:12">
      <c r="A28" s="75" t="s">
        <v>15</v>
      </c>
      <c r="B28" s="340">
        <f>+'Mortality Distribution'!B24-'Mortality Distribution'!L24/Morbidity</f>
        <v>19017393.88792</v>
      </c>
      <c r="C28" s="426">
        <v>0.85</v>
      </c>
      <c r="D28" s="124">
        <f t="shared" si="1"/>
        <v>0.255</v>
      </c>
      <c r="E28" s="426">
        <v>0.85</v>
      </c>
      <c r="F28" s="342">
        <f t="shared" si="1"/>
        <v>0.255</v>
      </c>
      <c r="G28" s="426">
        <v>1.5</v>
      </c>
      <c r="H28" s="124">
        <f t="shared" si="2"/>
        <v>0.45</v>
      </c>
      <c r="I28" s="426">
        <v>1.5</v>
      </c>
      <c r="J28" s="124">
        <f t="shared" si="3"/>
        <v>0.45</v>
      </c>
      <c r="K28" s="159">
        <f t="shared" si="4"/>
        <v>0.45</v>
      </c>
      <c r="L28" s="94">
        <f t="shared" si="5"/>
        <v>8557827</v>
      </c>
    </row>
    <row r="29" spans="1:12">
      <c r="A29" s="75" t="s">
        <v>16</v>
      </c>
      <c r="B29" s="340">
        <f>+'Mortality Distribution'!B25-'Mortality Distribution'!L25/Morbidity</f>
        <v>19902231.640719999</v>
      </c>
      <c r="C29" s="426">
        <v>0.85</v>
      </c>
      <c r="D29" s="124">
        <f t="shared" si="1"/>
        <v>0.255</v>
      </c>
      <c r="E29" s="426">
        <v>0.85</v>
      </c>
      <c r="F29" s="342">
        <f t="shared" si="1"/>
        <v>0.255</v>
      </c>
      <c r="G29" s="426">
        <v>1.5</v>
      </c>
      <c r="H29" s="124">
        <f t="shared" si="2"/>
        <v>0.45</v>
      </c>
      <c r="I29" s="426">
        <v>1.75</v>
      </c>
      <c r="J29" s="124">
        <f t="shared" si="3"/>
        <v>0.52500000000000002</v>
      </c>
      <c r="K29" s="159">
        <f t="shared" si="4"/>
        <v>0.52500000000000002</v>
      </c>
      <c r="L29" s="94">
        <f t="shared" si="5"/>
        <v>10448672</v>
      </c>
    </row>
    <row r="30" spans="1:12">
      <c r="A30" s="75" t="s">
        <v>17</v>
      </c>
      <c r="B30" s="340">
        <f>+'Mortality Distribution'!B26-'Mortality Distribution'!L26/Morbidity</f>
        <v>20905180.423659999</v>
      </c>
      <c r="C30" s="426">
        <v>0.85</v>
      </c>
      <c r="D30" s="124">
        <f t="shared" si="1"/>
        <v>0.255</v>
      </c>
      <c r="E30" s="426">
        <v>0.85</v>
      </c>
      <c r="F30" s="342">
        <f t="shared" si="1"/>
        <v>0.255</v>
      </c>
      <c r="G30" s="426">
        <v>1.5</v>
      </c>
      <c r="H30" s="124">
        <f t="shared" si="2"/>
        <v>0.45</v>
      </c>
      <c r="I30" s="426">
        <v>1.75</v>
      </c>
      <c r="J30" s="124">
        <f t="shared" si="3"/>
        <v>0.52500000000000002</v>
      </c>
      <c r="K30" s="159">
        <f t="shared" si="4"/>
        <v>0.52500000000000002</v>
      </c>
      <c r="L30" s="94">
        <f t="shared" si="5"/>
        <v>10975220</v>
      </c>
    </row>
    <row r="31" spans="1:12">
      <c r="A31" s="75" t="s">
        <v>18</v>
      </c>
      <c r="B31" s="340">
        <f>+'Mortality Distribution'!B27-'Mortality Distribution'!L27/Morbidity</f>
        <v>23015082.408</v>
      </c>
      <c r="C31" s="426">
        <v>0.85</v>
      </c>
      <c r="D31" s="124">
        <f t="shared" si="1"/>
        <v>0.255</v>
      </c>
      <c r="E31" s="426">
        <v>0.85</v>
      </c>
      <c r="F31" s="342">
        <f t="shared" si="1"/>
        <v>0.255</v>
      </c>
      <c r="G31" s="426">
        <v>1.5</v>
      </c>
      <c r="H31" s="124">
        <f t="shared" si="2"/>
        <v>0.45</v>
      </c>
      <c r="I31" s="426">
        <v>1.5</v>
      </c>
      <c r="J31" s="124">
        <f t="shared" si="3"/>
        <v>0.45</v>
      </c>
      <c r="K31" s="159">
        <f t="shared" si="4"/>
        <v>0.45</v>
      </c>
      <c r="L31" s="94">
        <f t="shared" si="5"/>
        <v>10356787</v>
      </c>
    </row>
    <row r="32" spans="1:12">
      <c r="A32" s="75" t="s">
        <v>19</v>
      </c>
      <c r="B32" s="340">
        <f>+'Mortality Distribution'!B28-'Mortality Distribution'!L28/Morbidity</f>
        <v>22198084.296190001</v>
      </c>
      <c r="C32" s="426">
        <v>0.8</v>
      </c>
      <c r="D32" s="124">
        <f t="shared" si="1"/>
        <v>0.24</v>
      </c>
      <c r="E32" s="426">
        <v>0.85</v>
      </c>
      <c r="F32" s="342">
        <f t="shared" si="1"/>
        <v>0.255</v>
      </c>
      <c r="G32" s="426">
        <v>0.9</v>
      </c>
      <c r="H32" s="124">
        <f t="shared" si="2"/>
        <v>0.27</v>
      </c>
      <c r="I32" s="426">
        <v>1</v>
      </c>
      <c r="J32" s="124">
        <f t="shared" si="3"/>
        <v>0.3</v>
      </c>
      <c r="K32" s="159">
        <f t="shared" si="4"/>
        <v>0.3</v>
      </c>
      <c r="L32" s="94">
        <f t="shared" si="5"/>
        <v>6659425</v>
      </c>
    </row>
    <row r="33" spans="1:13">
      <c r="A33" s="75" t="s">
        <v>20</v>
      </c>
      <c r="B33" s="340">
        <f>+'Mortality Distribution'!B29-'Mortality Distribution'!L29/Morbidity</f>
        <v>19663986.25522</v>
      </c>
      <c r="C33" s="426">
        <v>0.75</v>
      </c>
      <c r="D33" s="124">
        <f t="shared" si="1"/>
        <v>0.22500000000000001</v>
      </c>
      <c r="E33" s="426">
        <v>0.85</v>
      </c>
      <c r="F33" s="342">
        <f t="shared" si="1"/>
        <v>0.255</v>
      </c>
      <c r="G33" s="426">
        <v>0.75</v>
      </c>
      <c r="H33" s="124">
        <f t="shared" si="2"/>
        <v>0.22500000000000001</v>
      </c>
      <c r="I33" s="426">
        <v>0.75</v>
      </c>
      <c r="J33" s="124">
        <f t="shared" si="3"/>
        <v>0.22500000000000001</v>
      </c>
      <c r="K33" s="159">
        <f t="shared" si="4"/>
        <v>0.22500000000000001</v>
      </c>
      <c r="L33" s="94">
        <f t="shared" si="5"/>
        <v>4424397</v>
      </c>
    </row>
    <row r="34" spans="1:13">
      <c r="A34" s="75" t="s">
        <v>21</v>
      </c>
      <c r="B34" s="340">
        <f>+'Mortality Distribution'!B30-'Mortality Distribution'!L30/Morbidity</f>
        <v>16674332.254673334</v>
      </c>
      <c r="C34" s="426">
        <v>0.75</v>
      </c>
      <c r="D34" s="124">
        <f t="shared" si="1"/>
        <v>0.22500000000000001</v>
      </c>
      <c r="E34" s="426">
        <v>0.85</v>
      </c>
      <c r="F34" s="342">
        <f t="shared" si="1"/>
        <v>0.255</v>
      </c>
      <c r="G34" s="426">
        <v>0.5</v>
      </c>
      <c r="H34" s="124">
        <f t="shared" si="2"/>
        <v>0.15</v>
      </c>
      <c r="I34" s="426">
        <v>0.45</v>
      </c>
      <c r="J34" s="124">
        <f t="shared" si="3"/>
        <v>0.13500000000000001</v>
      </c>
      <c r="K34" s="159">
        <f t="shared" si="4"/>
        <v>0.13500000000000001</v>
      </c>
      <c r="L34" s="94">
        <f t="shared" si="5"/>
        <v>2251035</v>
      </c>
    </row>
    <row r="35" spans="1:13">
      <c r="A35" s="75" t="s">
        <v>22</v>
      </c>
      <c r="B35" s="340">
        <f>+'Mortality Distribution'!B31-'Mortality Distribution'!L31/Morbidity</f>
        <v>12763249.455833333</v>
      </c>
      <c r="C35" s="426">
        <v>0.75</v>
      </c>
      <c r="D35" s="124">
        <f t="shared" si="1"/>
        <v>0.22500000000000001</v>
      </c>
      <c r="E35" s="426">
        <v>1</v>
      </c>
      <c r="F35" s="342">
        <f t="shared" si="1"/>
        <v>0.3</v>
      </c>
      <c r="G35" s="426">
        <v>0.5</v>
      </c>
      <c r="H35" s="124">
        <f t="shared" si="2"/>
        <v>0.15</v>
      </c>
      <c r="I35" s="426">
        <v>0.25</v>
      </c>
      <c r="J35" s="124">
        <f t="shared" si="3"/>
        <v>7.4999999999999997E-2</v>
      </c>
      <c r="K35" s="159">
        <f t="shared" si="4"/>
        <v>7.4999999999999997E-2</v>
      </c>
      <c r="L35" s="94">
        <f t="shared" si="5"/>
        <v>957244</v>
      </c>
    </row>
    <row r="36" spans="1:13">
      <c r="A36" s="75" t="s">
        <v>23</v>
      </c>
      <c r="B36" s="340">
        <f>+'Mortality Distribution'!B32-'Mortality Distribution'!L32/Morbidity</f>
        <v>10119808.64762</v>
      </c>
      <c r="C36" s="426">
        <v>0.8</v>
      </c>
      <c r="D36" s="124">
        <f t="shared" si="1"/>
        <v>0.24</v>
      </c>
      <c r="E36" s="426">
        <v>1.25</v>
      </c>
      <c r="F36" s="342">
        <f t="shared" si="1"/>
        <v>0.375</v>
      </c>
      <c r="G36" s="426">
        <v>0.5</v>
      </c>
      <c r="H36" s="124">
        <f t="shared" si="2"/>
        <v>0.15</v>
      </c>
      <c r="I36" s="426">
        <v>0.15</v>
      </c>
      <c r="J36" s="124">
        <f t="shared" si="3"/>
        <v>4.4999999999999998E-2</v>
      </c>
      <c r="K36" s="159">
        <f t="shared" si="4"/>
        <v>4.4999999999999998E-2</v>
      </c>
      <c r="L36" s="94">
        <f t="shared" si="5"/>
        <v>455391</v>
      </c>
    </row>
    <row r="37" spans="1:13">
      <c r="A37" s="75" t="s">
        <v>24</v>
      </c>
      <c r="B37" s="340">
        <f>+'Mortality Distribution'!B33-'Mortality Distribution'!L33/Morbidity</f>
        <v>8646567.8076399993</v>
      </c>
      <c r="C37" s="426">
        <v>1</v>
      </c>
      <c r="D37" s="124">
        <f t="shared" si="1"/>
        <v>0.3</v>
      </c>
      <c r="E37" s="426">
        <v>1.25</v>
      </c>
      <c r="F37" s="342">
        <f t="shared" si="1"/>
        <v>0.375</v>
      </c>
      <c r="G37" s="426">
        <v>0.5</v>
      </c>
      <c r="H37" s="124">
        <f t="shared" si="2"/>
        <v>0.15</v>
      </c>
      <c r="I37" s="426">
        <v>0.1</v>
      </c>
      <c r="J37" s="124">
        <f t="shared" si="3"/>
        <v>0.03</v>
      </c>
      <c r="K37" s="159">
        <f t="shared" si="4"/>
        <v>0.03</v>
      </c>
      <c r="L37" s="94">
        <f t="shared" si="5"/>
        <v>259397</v>
      </c>
    </row>
    <row r="38" spans="1:13">
      <c r="A38" s="75" t="s">
        <v>25</v>
      </c>
      <c r="B38" s="340">
        <f>+'Mortality Distribution'!B34-'Mortality Distribution'!L34/Morbidity</f>
        <v>7551615.7514233338</v>
      </c>
      <c r="C38" s="426">
        <v>1.1499999999999999</v>
      </c>
      <c r="D38" s="124">
        <f t="shared" si="1"/>
        <v>0.34499999999999997</v>
      </c>
      <c r="E38" s="426">
        <v>1.4</v>
      </c>
      <c r="F38" s="342">
        <f t="shared" si="1"/>
        <v>0.42</v>
      </c>
      <c r="G38" s="426">
        <v>0.5</v>
      </c>
      <c r="H38" s="124">
        <f t="shared" si="2"/>
        <v>0.15</v>
      </c>
      <c r="I38" s="426">
        <v>0.1</v>
      </c>
      <c r="J38" s="124">
        <f t="shared" si="3"/>
        <v>0.03</v>
      </c>
      <c r="K38" s="159">
        <f t="shared" si="4"/>
        <v>0.03</v>
      </c>
      <c r="L38" s="94">
        <f t="shared" si="5"/>
        <v>226548</v>
      </c>
    </row>
    <row r="39" spans="1:13">
      <c r="A39" s="75" t="s">
        <v>26</v>
      </c>
      <c r="B39" s="340">
        <f>+'Mortality Distribution'!B35-'Mortality Distribution'!L35/Morbidity</f>
        <v>5665808.2181166671</v>
      </c>
      <c r="C39" s="426">
        <v>1.25</v>
      </c>
      <c r="D39" s="124">
        <f t="shared" si="1"/>
        <v>0.375</v>
      </c>
      <c r="E39" s="426">
        <v>1.5</v>
      </c>
      <c r="F39" s="342">
        <f t="shared" si="1"/>
        <v>0.45</v>
      </c>
      <c r="G39" s="426">
        <v>0.5</v>
      </c>
      <c r="H39" s="124">
        <f t="shared" si="2"/>
        <v>0.15</v>
      </c>
      <c r="I39" s="426">
        <v>0.1</v>
      </c>
      <c r="J39" s="124">
        <f t="shared" si="3"/>
        <v>0.03</v>
      </c>
      <c r="K39" s="159">
        <f t="shared" si="4"/>
        <v>0.03</v>
      </c>
      <c r="L39" s="94">
        <f t="shared" si="5"/>
        <v>169974</v>
      </c>
    </row>
    <row r="40" spans="1:13">
      <c r="A40" s="77" t="s">
        <v>8</v>
      </c>
      <c r="B40" s="341">
        <f>+'Mortality Distribution'!B36-'Mortality Distribution'!L36/Morbidity</f>
        <v>4951999.301206667</v>
      </c>
      <c r="C40" s="427">
        <v>1.25</v>
      </c>
      <c r="D40" s="125">
        <f t="shared" si="1"/>
        <v>0.375</v>
      </c>
      <c r="E40" s="427">
        <v>1.5</v>
      </c>
      <c r="F40" s="343">
        <f t="shared" si="1"/>
        <v>0.45</v>
      </c>
      <c r="G40" s="427">
        <v>0.5</v>
      </c>
      <c r="H40" s="125">
        <f t="shared" si="2"/>
        <v>0.15</v>
      </c>
      <c r="I40" s="427">
        <v>0.1</v>
      </c>
      <c r="J40" s="125">
        <f t="shared" si="3"/>
        <v>0.03</v>
      </c>
      <c r="K40" s="160">
        <f t="shared" si="4"/>
        <v>0.03</v>
      </c>
      <c r="L40" s="95">
        <f t="shared" si="5"/>
        <v>148560</v>
      </c>
    </row>
    <row r="41" spans="1:13">
      <c r="A41" s="2" t="s">
        <v>1</v>
      </c>
      <c r="B41" s="284">
        <f>SUM(B23:B40)</f>
        <v>293519504.73526669</v>
      </c>
      <c r="C41" s="34"/>
      <c r="D41" s="74">
        <f>SUMPRODUCT(D23:D40,$B$23:$B$40)/$B$41</f>
        <v>0.29990499891837197</v>
      </c>
      <c r="E41" s="74"/>
      <c r="F41" s="74">
        <f>SUMPRODUCT(F23:F40,$B$23:$B$40)/$B$41</f>
        <v>0.30044323098829812</v>
      </c>
      <c r="G41" s="127"/>
      <c r="H41" s="74">
        <f>SUMPRODUCT(H23:H40,$B$23:$B$40)/$B$41</f>
        <v>0.29831824551904407</v>
      </c>
      <c r="I41" s="127"/>
      <c r="J41" s="74">
        <f>SUMPRODUCT(J23:J40,$B$23:$B$40)/$B$41</f>
        <v>0.29943483290371548</v>
      </c>
      <c r="K41" s="34"/>
      <c r="L41" s="15">
        <f>SUM(L23:L40)</f>
        <v>87889963</v>
      </c>
    </row>
    <row r="42" spans="1:13">
      <c r="A42" s="2"/>
      <c r="B42" s="73"/>
      <c r="C42" s="73"/>
      <c r="D42" s="161"/>
      <c r="E42" s="161"/>
      <c r="F42" s="161"/>
      <c r="G42" s="161"/>
      <c r="H42" s="161"/>
      <c r="I42" s="161"/>
      <c r="J42" s="161"/>
      <c r="K42" s="15"/>
      <c r="L42" s="71"/>
    </row>
    <row r="43" spans="1:13">
      <c r="A43" s="2"/>
      <c r="B43" s="73"/>
      <c r="C43" s="73"/>
      <c r="D43" s="161"/>
      <c r="E43" s="161"/>
      <c r="F43" s="161"/>
      <c r="G43" s="161"/>
      <c r="H43" s="161"/>
      <c r="I43" s="161"/>
      <c r="J43" s="161"/>
      <c r="K43" s="15"/>
      <c r="L43" s="71"/>
    </row>
    <row r="44" spans="1:13">
      <c r="A44" s="179"/>
      <c r="B44" s="45" t="s">
        <v>9</v>
      </c>
      <c r="C44" s="180"/>
      <c r="D44" s="180"/>
      <c r="E44" s="175"/>
      <c r="F44" s="175"/>
      <c r="G44" s="175"/>
      <c r="H44" s="175"/>
      <c r="I44" s="175"/>
      <c r="J44" s="175"/>
      <c r="K44" s="175"/>
      <c r="L44" s="273"/>
      <c r="M44" s="16"/>
    </row>
    <row r="45" spans="1:13">
      <c r="A45" s="181">
        <v>-1</v>
      </c>
      <c r="B45" s="184" t="s">
        <v>224</v>
      </c>
      <c r="C45" s="175"/>
      <c r="D45" s="175"/>
      <c r="E45" s="39"/>
      <c r="F45" s="39"/>
      <c r="G45" s="181"/>
      <c r="H45" s="27"/>
      <c r="I45" s="181">
        <f>+A52-1</f>
        <v>-9</v>
      </c>
      <c r="J45" s="188" t="s">
        <v>205</v>
      </c>
      <c r="K45" s="175"/>
      <c r="L45" s="183"/>
      <c r="M45" s="18"/>
    </row>
    <row r="46" spans="1:13">
      <c r="A46" s="181">
        <f t="shared" ref="A46:A52" si="6">+A45-1</f>
        <v>-2</v>
      </c>
      <c r="B46" s="175" t="s">
        <v>216</v>
      </c>
      <c r="C46" s="39"/>
      <c r="D46" s="175"/>
      <c r="E46" s="183"/>
      <c r="F46" s="183"/>
      <c r="G46" s="181"/>
      <c r="H46" s="27"/>
      <c r="I46" s="181">
        <f t="shared" ref="I46:I52" si="7">+I45-1</f>
        <v>-10</v>
      </c>
      <c r="J46" s="188" t="s">
        <v>74</v>
      </c>
      <c r="K46" s="39"/>
      <c r="L46" s="152"/>
      <c r="M46" s="17"/>
    </row>
    <row r="47" spans="1:13">
      <c r="A47" s="181">
        <f t="shared" si="6"/>
        <v>-3</v>
      </c>
      <c r="B47" s="184" t="s">
        <v>217</v>
      </c>
      <c r="C47" s="183"/>
      <c r="D47" s="39"/>
      <c r="E47" s="152"/>
      <c r="F47" s="152"/>
      <c r="G47" s="181"/>
      <c r="H47" s="188"/>
      <c r="I47" s="181">
        <f t="shared" si="7"/>
        <v>-11</v>
      </c>
      <c r="J47" s="188" t="s">
        <v>223</v>
      </c>
      <c r="K47" s="175"/>
      <c r="L47" s="185"/>
      <c r="M47" s="23"/>
    </row>
    <row r="48" spans="1:13">
      <c r="A48" s="181">
        <f t="shared" si="6"/>
        <v>-4</v>
      </c>
      <c r="B48" s="184" t="s">
        <v>219</v>
      </c>
      <c r="C48" s="183"/>
      <c r="D48" s="175"/>
      <c r="E48" s="185"/>
      <c r="F48" s="189"/>
      <c r="G48" s="181"/>
      <c r="H48" s="27"/>
      <c r="I48" s="181">
        <f t="shared" si="7"/>
        <v>-12</v>
      </c>
      <c r="J48" s="188" t="s">
        <v>75</v>
      </c>
      <c r="K48" s="152"/>
      <c r="L48" s="185"/>
      <c r="M48" s="23"/>
    </row>
    <row r="49" spans="1:13">
      <c r="A49" s="181">
        <f t="shared" si="6"/>
        <v>-5</v>
      </c>
      <c r="B49" s="184" t="s">
        <v>218</v>
      </c>
      <c r="C49" s="152"/>
      <c r="D49" s="175"/>
      <c r="E49" s="185"/>
      <c r="F49" s="189"/>
      <c r="G49" s="181"/>
      <c r="H49" s="188"/>
      <c r="I49" s="181">
        <f t="shared" si="7"/>
        <v>-13</v>
      </c>
      <c r="J49" s="188" t="s">
        <v>222</v>
      </c>
      <c r="K49" s="152"/>
      <c r="L49" s="185"/>
      <c r="M49" s="23"/>
    </row>
    <row r="50" spans="1:13">
      <c r="A50" s="181">
        <f t="shared" si="6"/>
        <v>-6</v>
      </c>
      <c r="B50" s="188" t="s">
        <v>221</v>
      </c>
      <c r="C50" s="186"/>
      <c r="D50" s="152"/>
      <c r="E50" s="185"/>
      <c r="F50" s="189"/>
      <c r="G50" s="181"/>
      <c r="H50" s="27"/>
      <c r="I50" s="181">
        <f t="shared" si="7"/>
        <v>-14</v>
      </c>
      <c r="J50" s="175" t="s">
        <v>211</v>
      </c>
      <c r="K50" s="186"/>
      <c r="L50" s="185"/>
      <c r="M50" s="23"/>
    </row>
    <row r="51" spans="1:13">
      <c r="A51" s="181">
        <f t="shared" si="6"/>
        <v>-7</v>
      </c>
      <c r="B51" s="27" t="s">
        <v>71</v>
      </c>
      <c r="C51" s="190"/>
      <c r="D51" s="186"/>
      <c r="E51" s="185"/>
      <c r="F51" s="189"/>
      <c r="G51" s="181"/>
      <c r="H51" s="27"/>
      <c r="I51" s="181">
        <f t="shared" si="7"/>
        <v>-15</v>
      </c>
      <c r="J51" s="188" t="s">
        <v>196</v>
      </c>
      <c r="K51" s="186"/>
      <c r="L51" s="185"/>
      <c r="M51" s="23"/>
    </row>
    <row r="52" spans="1:13">
      <c r="A52" s="181">
        <f t="shared" si="6"/>
        <v>-8</v>
      </c>
      <c r="B52" s="188" t="s">
        <v>73</v>
      </c>
      <c r="D52" s="186"/>
      <c r="E52" s="185"/>
      <c r="F52" s="189"/>
      <c r="G52" s="181"/>
      <c r="H52" s="175"/>
      <c r="I52" s="181">
        <f t="shared" si="7"/>
        <v>-16</v>
      </c>
      <c r="J52" s="188" t="s">
        <v>225</v>
      </c>
      <c r="K52" s="186"/>
      <c r="L52" s="185"/>
      <c r="M52" s="23"/>
    </row>
    <row r="53" spans="1:13">
      <c r="A53" s="175"/>
      <c r="B53" s="187"/>
      <c r="C53" s="187"/>
      <c r="D53" s="186"/>
      <c r="E53" s="186"/>
      <c r="F53" s="186"/>
      <c r="G53" s="186"/>
      <c r="H53" s="186"/>
      <c r="I53" s="186"/>
      <c r="J53" s="186"/>
      <c r="K53" s="186"/>
      <c r="L53" s="185"/>
      <c r="M53" s="23"/>
    </row>
    <row r="54" spans="1:13">
      <c r="B54" s="20"/>
      <c r="C54" s="20"/>
      <c r="D54" s="21"/>
      <c r="E54" s="21"/>
      <c r="F54" s="364"/>
      <c r="G54" s="367"/>
      <c r="H54" s="367"/>
      <c r="I54" s="364"/>
      <c r="J54" s="367"/>
      <c r="K54" s="367"/>
      <c r="L54" s="22"/>
      <c r="M54" s="23"/>
    </row>
    <row r="55" spans="1:13">
      <c r="B55" s="20"/>
      <c r="C55" s="20"/>
      <c r="D55" s="21"/>
      <c r="E55" s="20"/>
      <c r="F55" s="365"/>
      <c r="G55" s="367"/>
      <c r="H55" s="371"/>
      <c r="I55" s="365"/>
      <c r="J55" s="367"/>
      <c r="K55" s="371"/>
      <c r="L55" s="365"/>
      <c r="M55" s="21"/>
    </row>
    <row r="56" spans="1:13">
      <c r="A56" s="34"/>
      <c r="B56" s="360"/>
      <c r="C56" s="361"/>
      <c r="D56" s="362"/>
      <c r="E56" s="356"/>
      <c r="F56" s="354"/>
      <c r="G56" s="368"/>
      <c r="H56" s="369"/>
      <c r="I56" s="354"/>
      <c r="J56" s="368"/>
      <c r="K56" s="369"/>
      <c r="L56" s="354"/>
      <c r="M56" s="355"/>
    </row>
    <row r="57" spans="1:13">
      <c r="A57" s="34"/>
      <c r="B57" s="360"/>
      <c r="C57" s="361"/>
      <c r="D57" s="360"/>
      <c r="E57" s="356"/>
      <c r="F57" s="354"/>
      <c r="G57" s="369"/>
      <c r="H57" s="369"/>
      <c r="I57" s="354"/>
      <c r="J57" s="369"/>
      <c r="K57" s="369"/>
      <c r="L57" s="354"/>
      <c r="M57" s="356"/>
    </row>
    <row r="58" spans="1:13">
      <c r="A58" s="34"/>
      <c r="B58" s="298"/>
      <c r="C58" s="363"/>
      <c r="D58" s="298"/>
      <c r="E58" s="113"/>
      <c r="F58" s="161"/>
      <c r="G58" s="370"/>
      <c r="H58" s="370"/>
      <c r="I58" s="161"/>
      <c r="J58" s="370"/>
      <c r="K58" s="370"/>
      <c r="L58" s="161"/>
      <c r="M58" s="113"/>
    </row>
    <row r="59" spans="1:13">
      <c r="A59" s="34"/>
      <c r="B59" s="298"/>
      <c r="C59" s="363"/>
      <c r="D59" s="298"/>
      <c r="E59" s="113"/>
      <c r="F59" s="161"/>
      <c r="G59" s="370"/>
      <c r="H59" s="370"/>
      <c r="I59" s="161"/>
      <c r="J59" s="370"/>
      <c r="K59" s="370"/>
      <c r="L59" s="161"/>
      <c r="M59" s="113"/>
    </row>
    <row r="60" spans="1:13">
      <c r="A60" s="34"/>
      <c r="B60" s="298"/>
      <c r="C60" s="363"/>
      <c r="D60" s="298"/>
      <c r="E60" s="113"/>
      <c r="F60" s="161"/>
      <c r="G60" s="370"/>
      <c r="H60" s="370"/>
      <c r="I60" s="161"/>
      <c r="J60" s="370"/>
      <c r="K60" s="370"/>
      <c r="L60" s="161"/>
      <c r="M60" s="113"/>
    </row>
    <row r="61" spans="1:13">
      <c r="A61" s="34"/>
      <c r="B61" s="298"/>
      <c r="C61" s="363"/>
      <c r="D61" s="298"/>
      <c r="E61" s="113"/>
      <c r="F61" s="161"/>
      <c r="G61" s="370"/>
      <c r="H61" s="370"/>
      <c r="I61" s="161"/>
      <c r="J61" s="370"/>
      <c r="K61" s="370"/>
      <c r="L61" s="161"/>
      <c r="M61" s="113"/>
    </row>
    <row r="62" spans="1:13">
      <c r="A62" s="34"/>
      <c r="B62" s="298"/>
      <c r="C62" s="363"/>
      <c r="D62" s="298"/>
      <c r="E62" s="113"/>
      <c r="F62" s="161"/>
      <c r="G62" s="370"/>
      <c r="H62" s="370"/>
      <c r="I62" s="161"/>
      <c r="J62" s="370"/>
      <c r="K62" s="370"/>
      <c r="L62" s="161"/>
      <c r="M62" s="113"/>
    </row>
    <row r="63" spans="1:13">
      <c r="A63" s="34"/>
      <c r="B63" s="298"/>
      <c r="C63" s="363"/>
      <c r="D63" s="298"/>
      <c r="E63" s="113"/>
      <c r="F63" s="161"/>
      <c r="G63" s="370"/>
      <c r="H63" s="370"/>
      <c r="I63" s="161"/>
      <c r="J63" s="370"/>
      <c r="K63" s="370"/>
      <c r="L63" s="161"/>
      <c r="M63" s="113"/>
    </row>
    <row r="64" spans="1:13">
      <c r="A64" s="34"/>
      <c r="B64" s="298"/>
      <c r="C64" s="363"/>
      <c r="D64" s="298"/>
      <c r="E64" s="113"/>
      <c r="F64" s="161"/>
      <c r="G64" s="370"/>
      <c r="H64" s="370"/>
      <c r="I64" s="161"/>
      <c r="J64" s="370"/>
      <c r="K64" s="370"/>
      <c r="L64" s="161"/>
      <c r="M64" s="113"/>
    </row>
    <row r="65" spans="1:13">
      <c r="A65" s="34"/>
      <c r="B65" s="298"/>
      <c r="C65" s="363"/>
      <c r="D65" s="298"/>
      <c r="E65" s="113"/>
      <c r="F65" s="161"/>
      <c r="G65" s="370"/>
      <c r="H65" s="370"/>
      <c r="I65" s="161"/>
      <c r="J65" s="370"/>
      <c r="K65" s="370"/>
      <c r="L65" s="161"/>
      <c r="M65" s="113"/>
    </row>
    <row r="66" spans="1:13">
      <c r="A66" s="34"/>
      <c r="B66" s="298"/>
      <c r="C66" s="363"/>
      <c r="D66" s="298"/>
      <c r="E66" s="113"/>
      <c r="F66" s="161"/>
      <c r="G66" s="370"/>
      <c r="H66" s="370"/>
      <c r="I66" s="161"/>
      <c r="J66" s="370"/>
      <c r="K66" s="370"/>
      <c r="L66" s="161"/>
      <c r="M66" s="113"/>
    </row>
    <row r="67" spans="1:13">
      <c r="A67" s="34"/>
      <c r="B67" s="298"/>
      <c r="C67" s="363"/>
      <c r="D67" s="298"/>
      <c r="E67" s="113"/>
      <c r="F67" s="161"/>
      <c r="G67" s="370"/>
      <c r="H67" s="370"/>
      <c r="I67" s="161"/>
      <c r="J67" s="370"/>
      <c r="K67" s="370"/>
      <c r="L67" s="161"/>
      <c r="M67" s="113"/>
    </row>
    <row r="68" spans="1:13">
      <c r="A68" s="34"/>
      <c r="B68" s="298"/>
      <c r="C68" s="363"/>
      <c r="D68" s="298"/>
      <c r="E68" s="113"/>
      <c r="F68" s="161"/>
      <c r="G68" s="370"/>
      <c r="H68" s="370"/>
      <c r="I68" s="161"/>
      <c r="J68" s="370"/>
      <c r="K68" s="370"/>
      <c r="L68" s="161"/>
      <c r="M68" s="113"/>
    </row>
    <row r="69" spans="1:13">
      <c r="A69" s="34"/>
      <c r="B69" s="298"/>
      <c r="C69" s="363"/>
      <c r="D69" s="298"/>
      <c r="E69" s="113"/>
      <c r="F69" s="161"/>
      <c r="G69" s="370"/>
      <c r="H69" s="370"/>
      <c r="I69" s="161"/>
      <c r="J69" s="370"/>
      <c r="K69" s="370"/>
      <c r="L69" s="161"/>
      <c r="M69" s="113"/>
    </row>
    <row r="70" spans="1:13">
      <c r="A70" s="34"/>
      <c r="B70" s="298"/>
      <c r="C70" s="363"/>
      <c r="D70" s="298"/>
      <c r="E70" s="113"/>
      <c r="F70" s="161"/>
      <c r="G70" s="370"/>
      <c r="H70" s="370"/>
      <c r="I70" s="161"/>
      <c r="J70" s="370"/>
      <c r="K70" s="370"/>
      <c r="L70" s="161"/>
      <c r="M70" s="113"/>
    </row>
    <row r="71" spans="1:13">
      <c r="A71" s="34"/>
      <c r="B71" s="298"/>
      <c r="C71" s="363"/>
      <c r="D71" s="298"/>
      <c r="E71" s="113"/>
      <c r="F71" s="161"/>
      <c r="G71" s="370"/>
      <c r="H71" s="370"/>
      <c r="I71" s="161"/>
      <c r="J71" s="370"/>
      <c r="K71" s="370"/>
      <c r="L71" s="161"/>
      <c r="M71" s="113"/>
    </row>
    <row r="72" spans="1:13">
      <c r="A72" s="34"/>
      <c r="B72" s="298"/>
      <c r="C72" s="363"/>
      <c r="D72" s="298"/>
      <c r="E72" s="113"/>
      <c r="F72" s="161"/>
      <c r="G72" s="113"/>
      <c r="H72" s="113"/>
      <c r="I72" s="161"/>
      <c r="J72" s="113"/>
      <c r="K72" s="113"/>
      <c r="L72" s="161"/>
      <c r="M72" s="113"/>
    </row>
    <row r="73" spans="1:13">
      <c r="A73" s="34"/>
      <c r="B73" s="298"/>
      <c r="C73" s="363"/>
      <c r="D73" s="298"/>
      <c r="E73" s="113"/>
      <c r="F73" s="161"/>
      <c r="G73" s="113"/>
      <c r="H73" s="113"/>
      <c r="I73" s="161"/>
      <c r="J73" s="113"/>
      <c r="K73" s="113"/>
      <c r="L73" s="161"/>
      <c r="M73" s="113"/>
    </row>
    <row r="74" spans="1:13">
      <c r="A74" s="34"/>
      <c r="B74" s="358"/>
      <c r="C74" s="359"/>
      <c r="D74" s="359"/>
      <c r="E74" s="113"/>
      <c r="F74" s="366"/>
      <c r="H74" s="113"/>
      <c r="K74" s="113"/>
    </row>
    <row r="75" spans="1:13">
      <c r="A75" s="34"/>
      <c r="F75" s="366"/>
    </row>
    <row r="76" spans="1:13">
      <c r="F76" s="366"/>
    </row>
    <row r="77" spans="1:13">
      <c r="F77" s="366"/>
    </row>
    <row r="78" spans="1:13">
      <c r="F78" s="366"/>
    </row>
    <row r="79" spans="1:13">
      <c r="F79" s="366"/>
    </row>
  </sheetData>
  <phoneticPr fontId="0" type="noConversion"/>
  <printOptions horizontalCentered="1"/>
  <pageMargins left="0.5" right="0.5" top="0.5" bottom="0.75" header="0.5" footer="0.35"/>
  <pageSetup scale="81" orientation="landscape" r:id="rId1"/>
  <headerFooter alignWithMargins="0">
    <oddFooter>&amp;L&amp;8&amp;F  &amp;A&amp;C&amp;8MBA Actuaries, Inc.&amp;R&amp;8&amp;D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theme="9" tint="0.39997558519241921"/>
    <pageSetUpPr fitToPage="1"/>
  </sheetPr>
  <dimension ref="A1:N82"/>
  <sheetViews>
    <sheetView workbookViewId="0">
      <selection activeCell="D4" sqref="D4"/>
    </sheetView>
  </sheetViews>
  <sheetFormatPr defaultRowHeight="12.75"/>
  <cols>
    <col min="1" max="1" width="9.42578125" style="3" customWidth="1"/>
    <col min="2" max="13" width="12.7109375" style="3" customWidth="1"/>
    <col min="14" max="14" width="1.7109375" style="3" customWidth="1"/>
    <col min="15" max="16384" width="9.140625" style="3"/>
  </cols>
  <sheetData>
    <row r="1" spans="1:14">
      <c r="C1" s="446" t="str">
        <f>scenario</f>
        <v>Severe Scenario, V\ Curve</v>
      </c>
      <c r="K1" s="164" t="s">
        <v>389</v>
      </c>
    </row>
    <row r="2" spans="1:14" customFormat="1" ht="15.75">
      <c r="A2" s="52" t="s">
        <v>57</v>
      </c>
      <c r="B2" s="28"/>
      <c r="C2" s="13"/>
      <c r="D2" s="54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customFormat="1" ht="15">
      <c r="A3" s="128" t="s">
        <v>65</v>
      </c>
      <c r="B3" s="28"/>
      <c r="C3" s="13"/>
      <c r="D3" s="54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customFormat="1" ht="15.75">
      <c r="A4" s="52"/>
      <c r="B4" s="3"/>
      <c r="C4" s="13"/>
      <c r="D4" s="13"/>
      <c r="E4" s="13"/>
      <c r="F4" s="13"/>
      <c r="G4" s="13"/>
      <c r="L4" s="13"/>
      <c r="M4" s="13"/>
      <c r="N4" s="13"/>
    </row>
    <row r="5" spans="1:14">
      <c r="C5" s="37" t="s">
        <v>36</v>
      </c>
      <c r="D5" s="194" t="s">
        <v>0</v>
      </c>
      <c r="E5" s="84" t="s">
        <v>1</v>
      </c>
      <c r="F5" s="105" t="s">
        <v>65</v>
      </c>
      <c r="G5" s="105"/>
      <c r="H5" s="105"/>
      <c r="I5" s="104" t="s">
        <v>66</v>
      </c>
      <c r="J5" s="105"/>
      <c r="K5" s="106"/>
      <c r="N5" s="37"/>
    </row>
    <row r="6" spans="1:14">
      <c r="C6" s="37" t="s">
        <v>37</v>
      </c>
      <c r="D6" s="195" t="s">
        <v>107</v>
      </c>
      <c r="E6" s="130" t="s">
        <v>34</v>
      </c>
      <c r="F6" s="19" t="str">
        <f>_PR1</f>
        <v>Not Seeking</v>
      </c>
      <c r="G6" s="152" t="str">
        <f>_PR2</f>
        <v>Outpatient</v>
      </c>
      <c r="H6" s="19" t="str">
        <f>_PR3</f>
        <v>Hospital</v>
      </c>
      <c r="I6" s="88" t="str">
        <f>_PR1</f>
        <v>Not Seeking</v>
      </c>
      <c r="J6" s="152" t="str">
        <f>_PR2</f>
        <v>Outpatient</v>
      </c>
      <c r="K6" s="89" t="str">
        <f>_PR3</f>
        <v>Hospital</v>
      </c>
      <c r="N6" s="19"/>
    </row>
    <row r="7" spans="1:14">
      <c r="C7" s="66"/>
      <c r="D7" s="63">
        <v>-1</v>
      </c>
      <c r="E7" s="64">
        <f t="shared" ref="E7:K7" si="0">+D7-1</f>
        <v>-2</v>
      </c>
      <c r="F7" s="149">
        <f t="shared" si="0"/>
        <v>-3</v>
      </c>
      <c r="G7" s="149">
        <f t="shared" si="0"/>
        <v>-4</v>
      </c>
      <c r="H7" s="149">
        <f t="shared" si="0"/>
        <v>-5</v>
      </c>
      <c r="I7" s="148">
        <f t="shared" si="0"/>
        <v>-6</v>
      </c>
      <c r="J7" s="149">
        <f t="shared" si="0"/>
        <v>-7</v>
      </c>
      <c r="K7" s="150">
        <f t="shared" si="0"/>
        <v>-8</v>
      </c>
      <c r="L7" s="66"/>
      <c r="N7" s="33"/>
    </row>
    <row r="8" spans="1:14" ht="5.0999999999999996" customHeight="1">
      <c r="C8" s="33"/>
      <c r="D8" s="31"/>
      <c r="E8" s="57"/>
      <c r="F8" s="19"/>
      <c r="G8" s="19"/>
      <c r="H8" s="19"/>
      <c r="I8" s="31"/>
      <c r="J8" s="33"/>
      <c r="K8" s="57"/>
      <c r="N8" s="33"/>
    </row>
    <row r="9" spans="1:14">
      <c r="C9" s="129" t="str">
        <f>+'Morbidity Distribution'!A23</f>
        <v>0 - 4</v>
      </c>
      <c r="D9" s="97">
        <f>+'Morbidity Distribution'!B23</f>
        <v>19722314.591499999</v>
      </c>
      <c r="E9" s="99">
        <f>+'Morbidity Distribution'!L23</f>
        <v>11833389</v>
      </c>
      <c r="F9" s="522">
        <f t="shared" ref="F9:F26" si="1">IF(Curve="S",B34,IF(Curve="M",E34,IF(Curve="VV",H34,IF(Curve="V\",K34,"N/A"))))</f>
        <v>0.29999999999999993</v>
      </c>
      <c r="G9" s="522">
        <f t="shared" ref="G9:G26" si="2">IF(Curve="S",C34,IF(Curve="M",F34,IF(Curve="VV",I34,IF(Curve="V\",L34,"N/A"))))</f>
        <v>0.55000000000000004</v>
      </c>
      <c r="H9" s="522">
        <f t="shared" ref="H9:H26" si="3">IF(Curve="S",D34,IF(Curve="M",G34,IF(Curve="VV",J34,IF(Curve="V\",M34,"N/A"))))</f>
        <v>0.15</v>
      </c>
      <c r="I9" s="97">
        <f t="shared" ref="I9:I26" si="4">ROUND(F9*$E9,0)</f>
        <v>3550017</v>
      </c>
      <c r="J9" s="98">
        <f t="shared" ref="J9:J26" si="5">ROUND(G9*$E9,0)</f>
        <v>6508364</v>
      </c>
      <c r="K9" s="99">
        <f t="shared" ref="K9:K26" si="6">ROUND(H9*$E9,0)</f>
        <v>1775008</v>
      </c>
      <c r="N9" s="98"/>
    </row>
    <row r="10" spans="1:14">
      <c r="C10" s="129" t="str">
        <f>+'Morbidity Distribution'!A24</f>
        <v>5 - 9</v>
      </c>
      <c r="D10" s="97">
        <f>+'Morbidity Distribution'!B24</f>
        <v>19876272.730066668</v>
      </c>
      <c r="E10" s="99">
        <f>+'Morbidity Distribution'!L24</f>
        <v>4472161</v>
      </c>
      <c r="F10" s="522">
        <f t="shared" si="1"/>
        <v>0.56499999999999995</v>
      </c>
      <c r="G10" s="522">
        <f t="shared" si="2"/>
        <v>0.4</v>
      </c>
      <c r="H10" s="522">
        <f t="shared" si="3"/>
        <v>3.5000000000000003E-2</v>
      </c>
      <c r="I10" s="97">
        <f t="shared" si="4"/>
        <v>2526771</v>
      </c>
      <c r="J10" s="98">
        <f t="shared" si="5"/>
        <v>1788864</v>
      </c>
      <c r="K10" s="99">
        <f t="shared" si="6"/>
        <v>156526</v>
      </c>
      <c r="N10" s="98"/>
    </row>
    <row r="11" spans="1:14">
      <c r="C11" s="129" t="str">
        <f>+'Morbidity Distribution'!A25</f>
        <v>10 - 14</v>
      </c>
      <c r="D11" s="97">
        <f>+'Morbidity Distribution'!B25</f>
        <v>21437113.664633334</v>
      </c>
      <c r="E11" s="99">
        <f>+'Morbidity Distribution'!L25</f>
        <v>4823351</v>
      </c>
      <c r="F11" s="522">
        <f t="shared" si="1"/>
        <v>0.56499999999999995</v>
      </c>
      <c r="G11" s="522">
        <f t="shared" si="2"/>
        <v>0.4</v>
      </c>
      <c r="H11" s="522">
        <f t="shared" si="3"/>
        <v>3.4999999999999996E-2</v>
      </c>
      <c r="I11" s="97">
        <f t="shared" si="4"/>
        <v>2725193</v>
      </c>
      <c r="J11" s="98">
        <f t="shared" si="5"/>
        <v>1929340</v>
      </c>
      <c r="K11" s="99">
        <f t="shared" si="6"/>
        <v>168817</v>
      </c>
      <c r="N11" s="98"/>
    </row>
    <row r="12" spans="1:14">
      <c r="C12" s="129" t="str">
        <f>+'Morbidity Distribution'!A26</f>
        <v>15 - 19</v>
      </c>
      <c r="D12" s="97">
        <f>+'Morbidity Distribution'!B26</f>
        <v>20692712.105099998</v>
      </c>
      <c r="E12" s="99">
        <f>+'Morbidity Distribution'!L26</f>
        <v>4655860</v>
      </c>
      <c r="F12" s="522">
        <f t="shared" si="1"/>
        <v>0.53</v>
      </c>
      <c r="G12" s="522">
        <f t="shared" si="2"/>
        <v>0.4</v>
      </c>
      <c r="H12" s="522">
        <f t="shared" si="3"/>
        <v>7.0000000000000007E-2</v>
      </c>
      <c r="I12" s="97">
        <f t="shared" si="4"/>
        <v>2467606</v>
      </c>
      <c r="J12" s="98">
        <f t="shared" si="5"/>
        <v>1862344</v>
      </c>
      <c r="K12" s="99">
        <f t="shared" si="6"/>
        <v>325910</v>
      </c>
      <c r="N12" s="98"/>
    </row>
    <row r="13" spans="1:14">
      <c r="C13" s="129" t="str">
        <f>+'Morbidity Distribution'!A27</f>
        <v>20 - 24</v>
      </c>
      <c r="D13" s="97">
        <f>+'Morbidity Distribution'!B27</f>
        <v>20715751.295743335</v>
      </c>
      <c r="E13" s="99">
        <f>+'Morbidity Distribution'!L27</f>
        <v>6214725</v>
      </c>
      <c r="F13" s="522">
        <f t="shared" si="1"/>
        <v>0.45000000000000007</v>
      </c>
      <c r="G13" s="522">
        <f t="shared" si="2"/>
        <v>0.45</v>
      </c>
      <c r="H13" s="522">
        <f t="shared" si="3"/>
        <v>0.1</v>
      </c>
      <c r="I13" s="97">
        <f t="shared" si="4"/>
        <v>2796626</v>
      </c>
      <c r="J13" s="98">
        <f t="shared" si="5"/>
        <v>2796626</v>
      </c>
      <c r="K13" s="99">
        <f t="shared" si="6"/>
        <v>621473</v>
      </c>
      <c r="N13" s="98"/>
    </row>
    <row r="14" spans="1:14">
      <c r="C14" s="129" t="str">
        <f>+'Morbidity Distribution'!A28</f>
        <v>25 - 29</v>
      </c>
      <c r="D14" s="97">
        <f>+'Morbidity Distribution'!B28</f>
        <v>19017393.88792</v>
      </c>
      <c r="E14" s="99">
        <f>+'Morbidity Distribution'!L28</f>
        <v>8557827</v>
      </c>
      <c r="F14" s="522">
        <f t="shared" si="1"/>
        <v>0.42000000000000004</v>
      </c>
      <c r="G14" s="522">
        <f t="shared" si="2"/>
        <v>0.45</v>
      </c>
      <c r="H14" s="522">
        <f t="shared" si="3"/>
        <v>0.13</v>
      </c>
      <c r="I14" s="97">
        <f t="shared" si="4"/>
        <v>3594287</v>
      </c>
      <c r="J14" s="98">
        <f t="shared" si="5"/>
        <v>3851022</v>
      </c>
      <c r="K14" s="99">
        <f t="shared" si="6"/>
        <v>1112518</v>
      </c>
      <c r="N14" s="98"/>
    </row>
    <row r="15" spans="1:14">
      <c r="C15" s="129" t="str">
        <f>+'Morbidity Distribution'!A29</f>
        <v>30 - 34</v>
      </c>
      <c r="D15" s="97">
        <f>+'Morbidity Distribution'!B29</f>
        <v>19902231.640719999</v>
      </c>
      <c r="E15" s="99">
        <f>+'Morbidity Distribution'!L29</f>
        <v>10448672</v>
      </c>
      <c r="F15" s="522">
        <f t="shared" si="1"/>
        <v>0.42000000000000004</v>
      </c>
      <c r="G15" s="522">
        <f t="shared" si="2"/>
        <v>0.45</v>
      </c>
      <c r="H15" s="522">
        <f t="shared" si="3"/>
        <v>0.13</v>
      </c>
      <c r="I15" s="97">
        <f t="shared" si="4"/>
        <v>4388442</v>
      </c>
      <c r="J15" s="98">
        <f t="shared" si="5"/>
        <v>4701902</v>
      </c>
      <c r="K15" s="99">
        <f t="shared" si="6"/>
        <v>1358327</v>
      </c>
      <c r="N15" s="98"/>
    </row>
    <row r="16" spans="1:14">
      <c r="C16" s="129" t="str">
        <f>+'Morbidity Distribution'!A30</f>
        <v>35 - 39</v>
      </c>
      <c r="D16" s="97">
        <f>+'Morbidity Distribution'!B30</f>
        <v>20905180.423659999</v>
      </c>
      <c r="E16" s="99">
        <f>+'Morbidity Distribution'!L30</f>
        <v>10975220</v>
      </c>
      <c r="F16" s="522">
        <f t="shared" si="1"/>
        <v>0.45000000000000007</v>
      </c>
      <c r="G16" s="522">
        <f t="shared" si="2"/>
        <v>0.45</v>
      </c>
      <c r="H16" s="522">
        <f t="shared" si="3"/>
        <v>0.1</v>
      </c>
      <c r="I16" s="97">
        <f t="shared" si="4"/>
        <v>4938849</v>
      </c>
      <c r="J16" s="98">
        <f t="shared" si="5"/>
        <v>4938849</v>
      </c>
      <c r="K16" s="99">
        <f t="shared" si="6"/>
        <v>1097522</v>
      </c>
      <c r="N16" s="98"/>
    </row>
    <row r="17" spans="1:14">
      <c r="C17" s="129" t="str">
        <f>+'Morbidity Distribution'!A31</f>
        <v>40 - 44</v>
      </c>
      <c r="D17" s="97">
        <f>+'Morbidity Distribution'!B31</f>
        <v>23015082.408</v>
      </c>
      <c r="E17" s="99">
        <f>+'Morbidity Distribution'!L31</f>
        <v>10356787</v>
      </c>
      <c r="F17" s="522">
        <f t="shared" si="1"/>
        <v>0.48000000000000004</v>
      </c>
      <c r="G17" s="522">
        <f t="shared" si="2"/>
        <v>0.45</v>
      </c>
      <c r="H17" s="522">
        <f t="shared" si="3"/>
        <v>7.0000000000000007E-2</v>
      </c>
      <c r="I17" s="97">
        <f t="shared" si="4"/>
        <v>4971258</v>
      </c>
      <c r="J17" s="98">
        <f t="shared" si="5"/>
        <v>4660554</v>
      </c>
      <c r="K17" s="99">
        <f t="shared" si="6"/>
        <v>724975</v>
      </c>
      <c r="N17" s="98"/>
    </row>
    <row r="18" spans="1:14">
      <c r="C18" s="129" t="str">
        <f>+'Morbidity Distribution'!A32</f>
        <v>45 - 49</v>
      </c>
      <c r="D18" s="97">
        <f>+'Morbidity Distribution'!B32</f>
        <v>22198084.296190001</v>
      </c>
      <c r="E18" s="99">
        <f>+'Morbidity Distribution'!L32</f>
        <v>6659425</v>
      </c>
      <c r="F18" s="522">
        <f t="shared" si="1"/>
        <v>0.5</v>
      </c>
      <c r="G18" s="522">
        <f t="shared" si="2"/>
        <v>0.45</v>
      </c>
      <c r="H18" s="522">
        <f t="shared" si="3"/>
        <v>0.05</v>
      </c>
      <c r="I18" s="97">
        <f t="shared" si="4"/>
        <v>3329713</v>
      </c>
      <c r="J18" s="98">
        <f t="shared" si="5"/>
        <v>2996741</v>
      </c>
      <c r="K18" s="99">
        <f t="shared" si="6"/>
        <v>332971</v>
      </c>
      <c r="N18" s="98"/>
    </row>
    <row r="19" spans="1:14">
      <c r="C19" s="129" t="str">
        <f>+'Morbidity Distribution'!A33</f>
        <v>50 - 54</v>
      </c>
      <c r="D19" s="97">
        <f>+'Morbidity Distribution'!B33</f>
        <v>19663986.25522</v>
      </c>
      <c r="E19" s="99">
        <f>+'Morbidity Distribution'!L33</f>
        <v>4424397</v>
      </c>
      <c r="F19" s="522">
        <f t="shared" si="1"/>
        <v>0.51500000000000001</v>
      </c>
      <c r="G19" s="522">
        <f t="shared" si="2"/>
        <v>0.45</v>
      </c>
      <c r="H19" s="522">
        <f t="shared" si="3"/>
        <v>3.5000000000000003E-2</v>
      </c>
      <c r="I19" s="97">
        <f t="shared" si="4"/>
        <v>2278564</v>
      </c>
      <c r="J19" s="98">
        <f t="shared" si="5"/>
        <v>1990979</v>
      </c>
      <c r="K19" s="99">
        <f t="shared" si="6"/>
        <v>154854</v>
      </c>
      <c r="N19" s="98"/>
    </row>
    <row r="20" spans="1:14">
      <c r="C20" s="129" t="str">
        <f>+'Morbidity Distribution'!A34</f>
        <v>55 - 59</v>
      </c>
      <c r="D20" s="97">
        <f>+'Morbidity Distribution'!B34</f>
        <v>16674332.254673334</v>
      </c>
      <c r="E20" s="99">
        <f>+'Morbidity Distribution'!L34</f>
        <v>2251035</v>
      </c>
      <c r="F20" s="522">
        <f t="shared" si="1"/>
        <v>0.625</v>
      </c>
      <c r="G20" s="522">
        <f t="shared" si="2"/>
        <v>0.35</v>
      </c>
      <c r="H20" s="522">
        <f t="shared" si="3"/>
        <v>2.5000000000000001E-2</v>
      </c>
      <c r="I20" s="97">
        <f t="shared" si="4"/>
        <v>1406897</v>
      </c>
      <c r="J20" s="98">
        <f t="shared" si="5"/>
        <v>787862</v>
      </c>
      <c r="K20" s="99">
        <f t="shared" si="6"/>
        <v>56276</v>
      </c>
      <c r="N20" s="98"/>
    </row>
    <row r="21" spans="1:14">
      <c r="C21" s="129" t="str">
        <f>+'Morbidity Distribution'!A35</f>
        <v>60 - 64</v>
      </c>
      <c r="D21" s="97">
        <f>+'Morbidity Distribution'!B35</f>
        <v>12763249.455833333</v>
      </c>
      <c r="E21" s="99">
        <f>+'Morbidity Distribution'!L35</f>
        <v>957244</v>
      </c>
      <c r="F21" s="522">
        <f t="shared" si="1"/>
        <v>0.73499999999999999</v>
      </c>
      <c r="G21" s="522">
        <f t="shared" si="2"/>
        <v>0.25</v>
      </c>
      <c r="H21" s="522">
        <f t="shared" si="3"/>
        <v>1.4999999999999999E-2</v>
      </c>
      <c r="I21" s="97">
        <f t="shared" si="4"/>
        <v>703574</v>
      </c>
      <c r="J21" s="98">
        <f t="shared" si="5"/>
        <v>239311</v>
      </c>
      <c r="K21" s="99">
        <f t="shared" si="6"/>
        <v>14359</v>
      </c>
      <c r="N21" s="98"/>
    </row>
    <row r="22" spans="1:14">
      <c r="C22" s="129" t="str">
        <f>+'Morbidity Distribution'!A36</f>
        <v>65 - 69</v>
      </c>
      <c r="D22" s="97">
        <f>+'Morbidity Distribution'!B36</f>
        <v>10119808.64762</v>
      </c>
      <c r="E22" s="99">
        <f>+'Morbidity Distribution'!L36</f>
        <v>455391</v>
      </c>
      <c r="F22" s="522">
        <f t="shared" si="1"/>
        <v>0.84</v>
      </c>
      <c r="G22" s="522">
        <f t="shared" si="2"/>
        <v>0.15</v>
      </c>
      <c r="H22" s="522">
        <f t="shared" si="3"/>
        <v>0.01</v>
      </c>
      <c r="I22" s="97">
        <f t="shared" si="4"/>
        <v>382528</v>
      </c>
      <c r="J22" s="98">
        <f t="shared" si="5"/>
        <v>68309</v>
      </c>
      <c r="K22" s="99">
        <f t="shared" si="6"/>
        <v>4554</v>
      </c>
      <c r="N22" s="98"/>
    </row>
    <row r="23" spans="1:14">
      <c r="C23" s="129" t="str">
        <f>+'Morbidity Distribution'!A37</f>
        <v>70 - 74</v>
      </c>
      <c r="D23" s="97">
        <f>+'Morbidity Distribution'!B37</f>
        <v>8646567.8076399993</v>
      </c>
      <c r="E23" s="99">
        <f>+'Morbidity Distribution'!L37</f>
        <v>259397</v>
      </c>
      <c r="F23" s="522">
        <f t="shared" si="1"/>
        <v>0.84</v>
      </c>
      <c r="G23" s="522">
        <f t="shared" si="2"/>
        <v>0.15</v>
      </c>
      <c r="H23" s="522">
        <f t="shared" si="3"/>
        <v>0.01</v>
      </c>
      <c r="I23" s="97">
        <f t="shared" si="4"/>
        <v>217893</v>
      </c>
      <c r="J23" s="98">
        <f t="shared" si="5"/>
        <v>38910</v>
      </c>
      <c r="K23" s="99">
        <f t="shared" si="6"/>
        <v>2594</v>
      </c>
      <c r="N23" s="98"/>
    </row>
    <row r="24" spans="1:14">
      <c r="C24" s="129" t="str">
        <f>+'Morbidity Distribution'!A38</f>
        <v>75 - 79</v>
      </c>
      <c r="D24" s="97">
        <f>+'Morbidity Distribution'!B38</f>
        <v>7551615.7514233338</v>
      </c>
      <c r="E24" s="99">
        <f>+'Morbidity Distribution'!L38</f>
        <v>226548</v>
      </c>
      <c r="F24" s="522">
        <f t="shared" si="1"/>
        <v>0.84</v>
      </c>
      <c r="G24" s="522">
        <f t="shared" si="2"/>
        <v>0.15</v>
      </c>
      <c r="H24" s="522">
        <f t="shared" si="3"/>
        <v>0.01</v>
      </c>
      <c r="I24" s="97">
        <f t="shared" si="4"/>
        <v>190300</v>
      </c>
      <c r="J24" s="98">
        <f t="shared" si="5"/>
        <v>33982</v>
      </c>
      <c r="K24" s="99">
        <f t="shared" si="6"/>
        <v>2265</v>
      </c>
      <c r="N24" s="98"/>
    </row>
    <row r="25" spans="1:14">
      <c r="C25" s="129" t="str">
        <f>+'Morbidity Distribution'!A39</f>
        <v>80 - 84</v>
      </c>
      <c r="D25" s="97">
        <f>+'Morbidity Distribution'!B39</f>
        <v>5665808.2181166671</v>
      </c>
      <c r="E25" s="151">
        <f>+'Morbidity Distribution'!L39</f>
        <v>169974</v>
      </c>
      <c r="F25" s="522">
        <f t="shared" si="1"/>
        <v>0.84</v>
      </c>
      <c r="G25" s="522">
        <f t="shared" si="2"/>
        <v>0.15</v>
      </c>
      <c r="H25" s="522">
        <f t="shared" si="3"/>
        <v>0.01</v>
      </c>
      <c r="I25" s="97">
        <f t="shared" si="4"/>
        <v>142778</v>
      </c>
      <c r="J25" s="98">
        <f t="shared" si="5"/>
        <v>25496</v>
      </c>
      <c r="K25" s="99">
        <f t="shared" si="6"/>
        <v>1700</v>
      </c>
      <c r="N25" s="98"/>
    </row>
    <row r="26" spans="1:14">
      <c r="C26" s="129" t="str">
        <f>+'Morbidity Distribution'!A40</f>
        <v>85+</v>
      </c>
      <c r="D26" s="100">
        <f>+'Morbidity Distribution'!B40</f>
        <v>4951999.301206667</v>
      </c>
      <c r="E26" s="101">
        <f>+'Morbidity Distribution'!L40</f>
        <v>148560</v>
      </c>
      <c r="F26" s="523">
        <f t="shared" si="1"/>
        <v>0.84</v>
      </c>
      <c r="G26" s="523">
        <f t="shared" si="2"/>
        <v>0.15</v>
      </c>
      <c r="H26" s="523">
        <f t="shared" si="3"/>
        <v>0.01</v>
      </c>
      <c r="I26" s="100">
        <f t="shared" si="4"/>
        <v>124790</v>
      </c>
      <c r="J26" s="32">
        <f t="shared" si="5"/>
        <v>22284</v>
      </c>
      <c r="K26" s="101">
        <f t="shared" si="6"/>
        <v>1486</v>
      </c>
      <c r="N26" s="98"/>
    </row>
    <row r="27" spans="1:14">
      <c r="C27" s="4" t="s">
        <v>1</v>
      </c>
      <c r="D27" s="7">
        <f>SUM(D9:D26)</f>
        <v>293519504.73526669</v>
      </c>
      <c r="E27" s="7">
        <f>SUM(E9:E26)</f>
        <v>87889963</v>
      </c>
      <c r="F27" s="7"/>
      <c r="I27" s="7">
        <f>SUM(I9:I26)</f>
        <v>40736086</v>
      </c>
      <c r="J27" s="7">
        <f>SUM(J9:J26)</f>
        <v>39241739</v>
      </c>
      <c r="K27" s="373">
        <f>SUM(K9:K26)</f>
        <v>7912135</v>
      </c>
      <c r="N27" s="7"/>
    </row>
    <row r="28" spans="1:14">
      <c r="B28" s="4"/>
      <c r="C28" s="7"/>
      <c r="D28" s="7"/>
      <c r="E28" s="7"/>
      <c r="G28" s="11"/>
      <c r="H28" s="11"/>
      <c r="I28" s="11"/>
      <c r="J28" s="11"/>
      <c r="M28" s="164"/>
      <c r="N28" s="7"/>
    </row>
    <row r="29" spans="1:14">
      <c r="A29" s="4"/>
      <c r="G29" s="102"/>
      <c r="I29" s="102"/>
      <c r="J29" s="102"/>
      <c r="K29" s="102"/>
      <c r="L29" s="102"/>
    </row>
    <row r="30" spans="1:14" s="33" customFormat="1">
      <c r="B30" s="104" t="str">
        <f>+Scenario!D10</f>
        <v>Seasonal</v>
      </c>
      <c r="C30" s="105"/>
      <c r="D30" s="106"/>
      <c r="E30" s="104" t="s">
        <v>204</v>
      </c>
      <c r="F30" s="105"/>
      <c r="G30" s="106"/>
      <c r="H30" s="105" t="s">
        <v>358</v>
      </c>
      <c r="I30" s="105"/>
      <c r="J30" s="105"/>
      <c r="K30" s="372" t="s">
        <v>202</v>
      </c>
      <c r="L30" s="105"/>
      <c r="M30" s="106"/>
    </row>
    <row r="31" spans="1:14" s="33" customFormat="1">
      <c r="A31" s="129" t="str">
        <f>+C6</f>
        <v>Range</v>
      </c>
      <c r="B31" s="88" t="str">
        <f>+F6</f>
        <v>Not Seeking</v>
      </c>
      <c r="C31" s="19" t="str">
        <f>+G6</f>
        <v>Outpatient</v>
      </c>
      <c r="D31" s="89" t="str">
        <f>+H6</f>
        <v>Hospital</v>
      </c>
      <c r="E31" s="88" t="str">
        <f t="shared" ref="E31:J31" si="7">+F6</f>
        <v>Not Seeking</v>
      </c>
      <c r="F31" s="19" t="str">
        <f t="shared" si="7"/>
        <v>Outpatient</v>
      </c>
      <c r="G31" s="89" t="str">
        <f t="shared" si="7"/>
        <v>Hospital</v>
      </c>
      <c r="H31" s="88" t="str">
        <f t="shared" si="7"/>
        <v>Not Seeking</v>
      </c>
      <c r="I31" s="19" t="str">
        <f t="shared" si="7"/>
        <v>Outpatient</v>
      </c>
      <c r="J31" s="89" t="str">
        <f t="shared" si="7"/>
        <v>Hospital</v>
      </c>
      <c r="K31" s="19" t="str">
        <f>+F6</f>
        <v>Not Seeking</v>
      </c>
      <c r="L31" s="19" t="str">
        <f>+G6</f>
        <v>Outpatient</v>
      </c>
      <c r="M31" s="89" t="str">
        <f>+H6</f>
        <v>Hospital</v>
      </c>
      <c r="N31" s="19"/>
    </row>
    <row r="32" spans="1:14" s="33" customFormat="1">
      <c r="A32" s="129"/>
      <c r="B32" s="148">
        <f>+K7-1</f>
        <v>-9</v>
      </c>
      <c r="C32" s="149">
        <f t="shared" ref="C32:M32" si="8">+B32-1</f>
        <v>-10</v>
      </c>
      <c r="D32" s="150">
        <f t="shared" si="8"/>
        <v>-11</v>
      </c>
      <c r="E32" s="148">
        <f t="shared" si="8"/>
        <v>-12</v>
      </c>
      <c r="F32" s="149">
        <f t="shared" si="8"/>
        <v>-13</v>
      </c>
      <c r="G32" s="150">
        <f t="shared" si="8"/>
        <v>-14</v>
      </c>
      <c r="H32" s="149">
        <f t="shared" si="8"/>
        <v>-15</v>
      </c>
      <c r="I32" s="149">
        <f t="shared" si="8"/>
        <v>-16</v>
      </c>
      <c r="J32" s="150">
        <f t="shared" si="8"/>
        <v>-17</v>
      </c>
      <c r="K32" s="149">
        <f t="shared" si="8"/>
        <v>-18</v>
      </c>
      <c r="L32" s="149">
        <f t="shared" si="8"/>
        <v>-19</v>
      </c>
      <c r="M32" s="150">
        <f t="shared" si="8"/>
        <v>-20</v>
      </c>
      <c r="N32" s="19"/>
    </row>
    <row r="33" spans="1:14" s="33" customFormat="1" ht="5.0999999999999996" customHeight="1">
      <c r="A33" s="129"/>
      <c r="B33" s="88"/>
      <c r="C33" s="19"/>
      <c r="D33" s="89"/>
      <c r="E33" s="88"/>
      <c r="F33" s="19"/>
      <c r="G33" s="89"/>
      <c r="H33" s="19"/>
      <c r="I33" s="19"/>
      <c r="J33" s="89"/>
      <c r="K33" s="19"/>
      <c r="L33" s="19"/>
      <c r="M33" s="89"/>
      <c r="N33" s="19"/>
    </row>
    <row r="34" spans="1:14" s="33" customFormat="1">
      <c r="A34" s="129" t="str">
        <f t="shared" ref="A34:A51" si="9">+C9</f>
        <v>0 - 4</v>
      </c>
      <c r="B34" s="108">
        <f t="shared" ref="B34:B51" si="10">1-C34-D34</f>
        <v>0.51100000000000001</v>
      </c>
      <c r="C34" s="434">
        <v>0.47499999999999998</v>
      </c>
      <c r="D34" s="435">
        <v>1.4E-2</v>
      </c>
      <c r="E34" s="108">
        <f t="shared" ref="E34:E51" si="11">1-F34-G34</f>
        <v>0.43499999999999994</v>
      </c>
      <c r="F34" s="433">
        <v>0.55000000000000004</v>
      </c>
      <c r="G34" s="438">
        <v>1.4999999999999999E-2</v>
      </c>
      <c r="H34" s="177">
        <f t="shared" ref="H34:H51" si="12">1-I34-J34</f>
        <v>0.29999999999999993</v>
      </c>
      <c r="I34" s="299">
        <f t="shared" ref="I34:I51" si="13">+F34</f>
        <v>0.55000000000000004</v>
      </c>
      <c r="J34" s="438">
        <v>0.15</v>
      </c>
      <c r="K34" s="177">
        <f t="shared" ref="K34:K51" si="14">1-L34-M34</f>
        <v>0.29999999999999993</v>
      </c>
      <c r="L34" s="441">
        <v>0.55000000000000004</v>
      </c>
      <c r="M34" s="438">
        <v>0.15</v>
      </c>
      <c r="N34" s="107"/>
    </row>
    <row r="35" spans="1:14" s="33" customFormat="1">
      <c r="A35" s="129" t="str">
        <f t="shared" si="9"/>
        <v>5 - 9</v>
      </c>
      <c r="B35" s="108">
        <f t="shared" si="10"/>
        <v>0.62439999999999996</v>
      </c>
      <c r="C35" s="436">
        <v>0.375</v>
      </c>
      <c r="D35" s="437">
        <v>5.9999999999999995E-4</v>
      </c>
      <c r="E35" s="108">
        <f t="shared" si="11"/>
        <v>0.54880000000000007</v>
      </c>
      <c r="F35" s="433">
        <v>0.45</v>
      </c>
      <c r="G35" s="438">
        <v>1.1999999999999999E-3</v>
      </c>
      <c r="H35" s="177">
        <f t="shared" si="12"/>
        <v>0.51500000000000001</v>
      </c>
      <c r="I35" s="299">
        <f t="shared" si="13"/>
        <v>0.45</v>
      </c>
      <c r="J35" s="438">
        <v>3.4999999999999996E-2</v>
      </c>
      <c r="K35" s="177">
        <f t="shared" si="14"/>
        <v>0.56499999999999995</v>
      </c>
      <c r="L35" s="441">
        <v>0.4</v>
      </c>
      <c r="M35" s="438">
        <v>3.5000000000000003E-2</v>
      </c>
      <c r="N35" s="107"/>
    </row>
    <row r="36" spans="1:14" s="33" customFormat="1">
      <c r="A36" s="129" t="str">
        <f t="shared" si="9"/>
        <v>10 - 14</v>
      </c>
      <c r="B36" s="108">
        <f t="shared" si="10"/>
        <v>0.64939999999999998</v>
      </c>
      <c r="C36" s="436">
        <v>0.35</v>
      </c>
      <c r="D36" s="437">
        <v>5.9999999999999995E-4</v>
      </c>
      <c r="E36" s="108">
        <f t="shared" si="11"/>
        <v>0.5988</v>
      </c>
      <c r="F36" s="433">
        <v>0.4</v>
      </c>
      <c r="G36" s="438">
        <v>1.1999999999999999E-3</v>
      </c>
      <c r="H36" s="177">
        <f t="shared" si="12"/>
        <v>0.56499999999999995</v>
      </c>
      <c r="I36" s="299">
        <f t="shared" si="13"/>
        <v>0.4</v>
      </c>
      <c r="J36" s="438">
        <v>3.4999999999999996E-2</v>
      </c>
      <c r="K36" s="177">
        <f t="shared" si="14"/>
        <v>0.56499999999999995</v>
      </c>
      <c r="L36" s="441">
        <f>+F36</f>
        <v>0.4</v>
      </c>
      <c r="M36" s="438">
        <v>3.4999999999999996E-2</v>
      </c>
      <c r="N36" s="107"/>
    </row>
    <row r="37" spans="1:14" s="33" customFormat="1">
      <c r="A37" s="129" t="str">
        <f t="shared" si="9"/>
        <v>15 - 19</v>
      </c>
      <c r="B37" s="108">
        <f t="shared" si="10"/>
        <v>0.64939999999999998</v>
      </c>
      <c r="C37" s="436">
        <v>0.35</v>
      </c>
      <c r="D37" s="437">
        <v>5.9999999999999995E-4</v>
      </c>
      <c r="E37" s="108">
        <f t="shared" si="11"/>
        <v>0.5988</v>
      </c>
      <c r="F37" s="433">
        <v>0.4</v>
      </c>
      <c r="G37" s="438">
        <v>1.1999999999999999E-3</v>
      </c>
      <c r="H37" s="177">
        <f t="shared" si="12"/>
        <v>0.53</v>
      </c>
      <c r="I37" s="299">
        <f t="shared" si="13"/>
        <v>0.4</v>
      </c>
      <c r="J37" s="438">
        <v>7.0000000000000007E-2</v>
      </c>
      <c r="K37" s="177">
        <f t="shared" si="14"/>
        <v>0.53</v>
      </c>
      <c r="L37" s="441">
        <f>+F37</f>
        <v>0.4</v>
      </c>
      <c r="M37" s="438">
        <v>7.0000000000000007E-2</v>
      </c>
      <c r="N37" s="107"/>
    </row>
    <row r="38" spans="1:14" s="33" customFormat="1">
      <c r="A38" s="129" t="str">
        <f t="shared" si="9"/>
        <v>20 - 24</v>
      </c>
      <c r="B38" s="108">
        <f t="shared" si="10"/>
        <v>0.64900000000000002</v>
      </c>
      <c r="C38" s="436">
        <v>0.35</v>
      </c>
      <c r="D38" s="435">
        <v>1E-3</v>
      </c>
      <c r="E38" s="108">
        <f t="shared" si="11"/>
        <v>0.59799999999999998</v>
      </c>
      <c r="F38" s="433">
        <v>0.4</v>
      </c>
      <c r="G38" s="438">
        <v>2E-3</v>
      </c>
      <c r="H38" s="177">
        <f t="shared" si="12"/>
        <v>0.49</v>
      </c>
      <c r="I38" s="299">
        <f t="shared" si="13"/>
        <v>0.4</v>
      </c>
      <c r="J38" s="438">
        <v>0.11</v>
      </c>
      <c r="K38" s="177">
        <f t="shared" si="14"/>
        <v>0.45000000000000007</v>
      </c>
      <c r="L38" s="441">
        <v>0.45</v>
      </c>
      <c r="M38" s="438">
        <v>0.1</v>
      </c>
      <c r="N38" s="107"/>
    </row>
    <row r="39" spans="1:14" s="33" customFormat="1">
      <c r="A39" s="129" t="str">
        <f t="shared" si="9"/>
        <v>25 - 29</v>
      </c>
      <c r="B39" s="108">
        <f t="shared" si="10"/>
        <v>0.64800000000000002</v>
      </c>
      <c r="C39" s="436">
        <v>0.35</v>
      </c>
      <c r="D39" s="435">
        <v>2E-3</v>
      </c>
      <c r="E39" s="108">
        <f t="shared" si="11"/>
        <v>0.59699999999999998</v>
      </c>
      <c r="F39" s="433">
        <v>0.4</v>
      </c>
      <c r="G39" s="438">
        <v>3.0000000000000001E-3</v>
      </c>
      <c r="H39" s="177">
        <f t="shared" si="12"/>
        <v>0.45999999999999996</v>
      </c>
      <c r="I39" s="299">
        <f t="shared" si="13"/>
        <v>0.4</v>
      </c>
      <c r="J39" s="438">
        <v>0.14000000000000001</v>
      </c>
      <c r="K39" s="177">
        <f t="shared" si="14"/>
        <v>0.42000000000000004</v>
      </c>
      <c r="L39" s="441">
        <v>0.45</v>
      </c>
      <c r="M39" s="438">
        <v>0.13</v>
      </c>
      <c r="N39" s="107"/>
    </row>
    <row r="40" spans="1:14" s="33" customFormat="1">
      <c r="A40" s="129" t="str">
        <f t="shared" si="9"/>
        <v>30 - 34</v>
      </c>
      <c r="B40" s="108">
        <f t="shared" si="10"/>
        <v>0.64700000000000002</v>
      </c>
      <c r="C40" s="436">
        <v>0.35</v>
      </c>
      <c r="D40" s="435">
        <v>3.0000000000000001E-3</v>
      </c>
      <c r="E40" s="108">
        <f t="shared" si="11"/>
        <v>0.59599999999999997</v>
      </c>
      <c r="F40" s="433">
        <v>0.4</v>
      </c>
      <c r="G40" s="438">
        <v>4.0000000000000001E-3</v>
      </c>
      <c r="H40" s="177">
        <f t="shared" si="12"/>
        <v>0.45999999999999996</v>
      </c>
      <c r="I40" s="299">
        <f t="shared" si="13"/>
        <v>0.4</v>
      </c>
      <c r="J40" s="438">
        <v>0.14000000000000001</v>
      </c>
      <c r="K40" s="177">
        <f t="shared" si="14"/>
        <v>0.42000000000000004</v>
      </c>
      <c r="L40" s="441">
        <v>0.45</v>
      </c>
      <c r="M40" s="438">
        <v>0.13</v>
      </c>
      <c r="N40" s="107"/>
    </row>
    <row r="41" spans="1:14" s="33" customFormat="1">
      <c r="A41" s="129" t="str">
        <f t="shared" si="9"/>
        <v>35 - 39</v>
      </c>
      <c r="B41" s="108">
        <f t="shared" si="10"/>
        <v>0.64600000000000002</v>
      </c>
      <c r="C41" s="436">
        <v>0.35</v>
      </c>
      <c r="D41" s="435">
        <v>4.0000000000000001E-3</v>
      </c>
      <c r="E41" s="108">
        <f t="shared" si="11"/>
        <v>0.59499999999999997</v>
      </c>
      <c r="F41" s="433">
        <v>0.4</v>
      </c>
      <c r="G41" s="438">
        <v>5.0000000000000001E-3</v>
      </c>
      <c r="H41" s="177">
        <f t="shared" si="12"/>
        <v>0.49</v>
      </c>
      <c r="I41" s="299">
        <f t="shared" si="13"/>
        <v>0.4</v>
      </c>
      <c r="J41" s="438">
        <v>0.11</v>
      </c>
      <c r="K41" s="177">
        <f t="shared" si="14"/>
        <v>0.45000000000000007</v>
      </c>
      <c r="L41" s="441">
        <v>0.45</v>
      </c>
      <c r="M41" s="438">
        <v>0.1</v>
      </c>
      <c r="N41" s="107"/>
    </row>
    <row r="42" spans="1:14" s="33" customFormat="1">
      <c r="A42" s="129" t="str">
        <f t="shared" si="9"/>
        <v>40 - 44</v>
      </c>
      <c r="B42" s="108">
        <f t="shared" si="10"/>
        <v>0.64400000000000002</v>
      </c>
      <c r="C42" s="436">
        <v>0.35</v>
      </c>
      <c r="D42" s="435">
        <v>6.0000000000000001E-3</v>
      </c>
      <c r="E42" s="108">
        <f t="shared" si="11"/>
        <v>0.59399999999999997</v>
      </c>
      <c r="F42" s="433">
        <v>0.4</v>
      </c>
      <c r="G42" s="438">
        <v>6.0000000000000001E-3</v>
      </c>
      <c r="H42" s="177">
        <f t="shared" si="12"/>
        <v>0.53</v>
      </c>
      <c r="I42" s="299">
        <f t="shared" si="13"/>
        <v>0.4</v>
      </c>
      <c r="J42" s="438">
        <v>7.0000000000000007E-2</v>
      </c>
      <c r="K42" s="177">
        <f t="shared" si="14"/>
        <v>0.48000000000000004</v>
      </c>
      <c r="L42" s="441">
        <v>0.45</v>
      </c>
      <c r="M42" s="438">
        <v>7.0000000000000007E-2</v>
      </c>
      <c r="N42" s="107"/>
    </row>
    <row r="43" spans="1:14" s="33" customFormat="1">
      <c r="A43" s="129" t="str">
        <f t="shared" si="9"/>
        <v>45 - 49</v>
      </c>
      <c r="B43" s="108">
        <f t="shared" si="10"/>
        <v>0.64100000000000001</v>
      </c>
      <c r="C43" s="436">
        <v>0.35</v>
      </c>
      <c r="D43" s="435">
        <v>8.9999999999999993E-3</v>
      </c>
      <c r="E43" s="108">
        <f t="shared" si="11"/>
        <v>0.59199999999999997</v>
      </c>
      <c r="F43" s="433">
        <v>0.4</v>
      </c>
      <c r="G43" s="438">
        <v>8.0000000000000002E-3</v>
      </c>
      <c r="H43" s="177">
        <f t="shared" si="12"/>
        <v>0.54999999999999993</v>
      </c>
      <c r="I43" s="299">
        <f t="shared" si="13"/>
        <v>0.4</v>
      </c>
      <c r="J43" s="438">
        <v>0.05</v>
      </c>
      <c r="K43" s="177">
        <f t="shared" si="14"/>
        <v>0.5</v>
      </c>
      <c r="L43" s="441">
        <v>0.45</v>
      </c>
      <c r="M43" s="438">
        <v>0.05</v>
      </c>
      <c r="N43" s="107"/>
    </row>
    <row r="44" spans="1:14" s="33" customFormat="1">
      <c r="A44" s="129" t="str">
        <f t="shared" si="9"/>
        <v>50 - 54</v>
      </c>
      <c r="B44" s="108">
        <f t="shared" si="10"/>
        <v>0.55999999999999994</v>
      </c>
      <c r="C44" s="436">
        <v>0.42499999999999999</v>
      </c>
      <c r="D44" s="435">
        <v>1.4999999999999999E-2</v>
      </c>
      <c r="E44" s="108">
        <f t="shared" si="11"/>
        <v>0.53850000000000009</v>
      </c>
      <c r="F44" s="433">
        <v>0.45</v>
      </c>
      <c r="G44" s="438">
        <v>1.15E-2</v>
      </c>
      <c r="H44" s="177">
        <f t="shared" si="12"/>
        <v>0.51500000000000001</v>
      </c>
      <c r="I44" s="299">
        <f t="shared" si="13"/>
        <v>0.45</v>
      </c>
      <c r="J44" s="438">
        <v>3.4999999999999996E-2</v>
      </c>
      <c r="K44" s="177">
        <f t="shared" si="14"/>
        <v>0.51500000000000001</v>
      </c>
      <c r="L44" s="441">
        <v>0.45</v>
      </c>
      <c r="M44" s="438">
        <v>3.5000000000000003E-2</v>
      </c>
      <c r="N44" s="107"/>
    </row>
    <row r="45" spans="1:14" s="33" customFormat="1">
      <c r="A45" s="129" t="str">
        <f t="shared" si="9"/>
        <v>55 - 59</v>
      </c>
      <c r="B45" s="108">
        <f t="shared" si="10"/>
        <v>0.55499999999999994</v>
      </c>
      <c r="C45" s="436">
        <v>0.42499999999999999</v>
      </c>
      <c r="D45" s="435">
        <v>0.02</v>
      </c>
      <c r="E45" s="108">
        <f t="shared" si="11"/>
        <v>0.48499999999999999</v>
      </c>
      <c r="F45" s="433">
        <v>0.5</v>
      </c>
      <c r="G45" s="438">
        <v>1.4999999999999999E-2</v>
      </c>
      <c r="H45" s="177">
        <f t="shared" si="12"/>
        <v>0.46500000000000002</v>
      </c>
      <c r="I45" s="299">
        <f t="shared" si="13"/>
        <v>0.5</v>
      </c>
      <c r="J45" s="438">
        <v>3.4999999999999996E-2</v>
      </c>
      <c r="K45" s="177">
        <f t="shared" si="14"/>
        <v>0.625</v>
      </c>
      <c r="L45" s="441">
        <v>0.35</v>
      </c>
      <c r="M45" s="438">
        <v>2.5000000000000001E-2</v>
      </c>
      <c r="N45" s="107"/>
    </row>
    <row r="46" spans="1:14" s="33" customFormat="1">
      <c r="A46" s="129" t="str">
        <f t="shared" si="9"/>
        <v>60 - 64</v>
      </c>
      <c r="B46" s="108">
        <f t="shared" si="10"/>
        <v>0.54999999999999993</v>
      </c>
      <c r="C46" s="433">
        <v>0.42499999999999999</v>
      </c>
      <c r="D46" s="438">
        <v>2.5000000000000001E-2</v>
      </c>
      <c r="E46" s="108">
        <f t="shared" si="11"/>
        <v>0.42999999999999994</v>
      </c>
      <c r="F46" s="433">
        <v>0.55000000000000004</v>
      </c>
      <c r="G46" s="438">
        <v>0.02</v>
      </c>
      <c r="H46" s="177">
        <f t="shared" si="12"/>
        <v>0.39999999999999997</v>
      </c>
      <c r="I46" s="299">
        <f t="shared" si="13"/>
        <v>0.55000000000000004</v>
      </c>
      <c r="J46" s="438">
        <v>0.05</v>
      </c>
      <c r="K46" s="177">
        <f t="shared" si="14"/>
        <v>0.73499999999999999</v>
      </c>
      <c r="L46" s="441">
        <v>0.25</v>
      </c>
      <c r="M46" s="438">
        <v>1.4999999999999999E-2</v>
      </c>
      <c r="N46" s="107"/>
    </row>
    <row r="47" spans="1:14" s="33" customFormat="1">
      <c r="A47" s="129" t="str">
        <f t="shared" si="9"/>
        <v>65 - 69</v>
      </c>
      <c r="B47" s="108">
        <f t="shared" si="10"/>
        <v>0.36499999999999999</v>
      </c>
      <c r="C47" s="433">
        <v>0.6</v>
      </c>
      <c r="D47" s="438">
        <v>3.5000000000000003E-2</v>
      </c>
      <c r="E47" s="108">
        <f t="shared" si="11"/>
        <v>0.375</v>
      </c>
      <c r="F47" s="433">
        <f>+C47</f>
        <v>0.6</v>
      </c>
      <c r="G47" s="438">
        <v>2.5000000000000001E-2</v>
      </c>
      <c r="H47" s="177">
        <f t="shared" si="12"/>
        <v>0.33</v>
      </c>
      <c r="I47" s="299">
        <f t="shared" si="13"/>
        <v>0.6</v>
      </c>
      <c r="J47" s="438">
        <v>7.0000000000000007E-2</v>
      </c>
      <c r="K47" s="177">
        <f t="shared" si="14"/>
        <v>0.84</v>
      </c>
      <c r="L47" s="441">
        <v>0.15</v>
      </c>
      <c r="M47" s="438">
        <v>0.01</v>
      </c>
      <c r="N47" s="107"/>
    </row>
    <row r="48" spans="1:14" s="33" customFormat="1">
      <c r="A48" s="129" t="str">
        <f t="shared" si="9"/>
        <v>70 - 74</v>
      </c>
      <c r="B48" s="108">
        <f t="shared" si="10"/>
        <v>0.25500000000000006</v>
      </c>
      <c r="C48" s="433">
        <v>0.7</v>
      </c>
      <c r="D48" s="438">
        <v>4.4999999999999998E-2</v>
      </c>
      <c r="E48" s="108">
        <f t="shared" si="11"/>
        <v>0.27500000000000002</v>
      </c>
      <c r="F48" s="433">
        <f>+C48</f>
        <v>0.7</v>
      </c>
      <c r="G48" s="438">
        <v>2.5000000000000001E-2</v>
      </c>
      <c r="H48" s="177">
        <f t="shared" si="12"/>
        <v>0.23000000000000004</v>
      </c>
      <c r="I48" s="299">
        <f t="shared" si="13"/>
        <v>0.7</v>
      </c>
      <c r="J48" s="438">
        <v>7.0000000000000007E-2</v>
      </c>
      <c r="K48" s="177">
        <f t="shared" si="14"/>
        <v>0.84</v>
      </c>
      <c r="L48" s="441">
        <v>0.15</v>
      </c>
      <c r="M48" s="438">
        <v>0.01</v>
      </c>
      <c r="N48" s="107"/>
    </row>
    <row r="49" spans="1:14" s="33" customFormat="1">
      <c r="A49" s="129" t="str">
        <f t="shared" si="9"/>
        <v>75 - 79</v>
      </c>
      <c r="B49" s="108">
        <f t="shared" si="10"/>
        <v>0.15499999999999997</v>
      </c>
      <c r="C49" s="433">
        <v>0.8</v>
      </c>
      <c r="D49" s="438">
        <v>4.4999999999999998E-2</v>
      </c>
      <c r="E49" s="108">
        <f t="shared" si="11"/>
        <v>0.17499999999999996</v>
      </c>
      <c r="F49" s="433">
        <v>0.8</v>
      </c>
      <c r="G49" s="438">
        <v>2.5000000000000001E-2</v>
      </c>
      <c r="H49" s="177">
        <f t="shared" si="12"/>
        <v>0.12999999999999995</v>
      </c>
      <c r="I49" s="299">
        <f t="shared" si="13"/>
        <v>0.8</v>
      </c>
      <c r="J49" s="438">
        <v>6.9999999999999993E-2</v>
      </c>
      <c r="K49" s="177">
        <f t="shared" si="14"/>
        <v>0.84</v>
      </c>
      <c r="L49" s="441">
        <v>0.15</v>
      </c>
      <c r="M49" s="438">
        <v>0.01</v>
      </c>
      <c r="N49" s="107"/>
    </row>
    <row r="50" spans="1:14" s="33" customFormat="1">
      <c r="A50" s="129" t="str">
        <f t="shared" si="9"/>
        <v>80 - 84</v>
      </c>
      <c r="B50" s="108">
        <f t="shared" si="10"/>
        <v>0.15499999999999997</v>
      </c>
      <c r="C50" s="433">
        <v>0.8</v>
      </c>
      <c r="D50" s="438">
        <v>4.4999999999999998E-2</v>
      </c>
      <c r="E50" s="108">
        <f t="shared" si="11"/>
        <v>0.17499999999999996</v>
      </c>
      <c r="F50" s="433">
        <f>+C50</f>
        <v>0.8</v>
      </c>
      <c r="G50" s="438">
        <v>2.5000000000000001E-2</v>
      </c>
      <c r="H50" s="177">
        <f t="shared" si="12"/>
        <v>0.12999999999999995</v>
      </c>
      <c r="I50" s="299">
        <f t="shared" si="13"/>
        <v>0.8</v>
      </c>
      <c r="J50" s="438">
        <v>6.9999999999999993E-2</v>
      </c>
      <c r="K50" s="177">
        <f t="shared" si="14"/>
        <v>0.84</v>
      </c>
      <c r="L50" s="441">
        <v>0.15</v>
      </c>
      <c r="M50" s="438">
        <v>0.01</v>
      </c>
      <c r="N50" s="107"/>
    </row>
    <row r="51" spans="1:14" s="33" customFormat="1">
      <c r="A51" s="129" t="str">
        <f t="shared" si="9"/>
        <v>85+</v>
      </c>
      <c r="B51" s="109">
        <f t="shared" si="10"/>
        <v>0.15499999999999997</v>
      </c>
      <c r="C51" s="439">
        <v>0.8</v>
      </c>
      <c r="D51" s="440">
        <v>4.4999999999999998E-2</v>
      </c>
      <c r="E51" s="109">
        <f t="shared" si="11"/>
        <v>0.17499999999999996</v>
      </c>
      <c r="F51" s="439">
        <f>+C51</f>
        <v>0.8</v>
      </c>
      <c r="G51" s="440">
        <v>2.5000000000000001E-2</v>
      </c>
      <c r="H51" s="178">
        <f t="shared" si="12"/>
        <v>0.12999999999999995</v>
      </c>
      <c r="I51" s="300">
        <f t="shared" si="13"/>
        <v>0.8</v>
      </c>
      <c r="J51" s="440">
        <v>6.9999999999999993E-2</v>
      </c>
      <c r="K51" s="178">
        <f t="shared" si="14"/>
        <v>0.84</v>
      </c>
      <c r="L51" s="442">
        <v>0.15</v>
      </c>
      <c r="M51" s="440">
        <v>0.01</v>
      </c>
      <c r="N51" s="107"/>
    </row>
    <row r="52" spans="1:14" s="33" customFormat="1"/>
    <row r="53" spans="1:14" customFormat="1">
      <c r="A53" s="179"/>
      <c r="B53" s="45" t="s">
        <v>9</v>
      </c>
      <c r="C53" s="180"/>
      <c r="D53" s="180"/>
      <c r="E53" s="175"/>
      <c r="F53" s="175"/>
      <c r="G53" s="175"/>
      <c r="H53" s="175"/>
      <c r="I53" s="175"/>
      <c r="J53" s="175"/>
      <c r="K53" s="175"/>
      <c r="L53" s="39"/>
      <c r="M53" s="27"/>
      <c r="N53" s="175"/>
    </row>
    <row r="54" spans="1:14" s="33" customFormat="1">
      <c r="A54" s="181">
        <v>-1</v>
      </c>
      <c r="B54" s="202" t="s">
        <v>227</v>
      </c>
      <c r="D54" s="181">
        <f>+A61-1</f>
        <v>-9</v>
      </c>
      <c r="E54" s="165" t="s">
        <v>232</v>
      </c>
      <c r="G54" s="181"/>
      <c r="H54" s="181">
        <f>+D60-1</f>
        <v>-15</v>
      </c>
      <c r="I54" s="165" t="s">
        <v>238</v>
      </c>
      <c r="J54" s="163"/>
      <c r="K54" s="181"/>
      <c r="L54" s="165"/>
      <c r="M54" s="288"/>
    </row>
    <row r="55" spans="1:14">
      <c r="A55" s="181">
        <f t="shared" ref="A55:A61" si="15">+A54-1</f>
        <v>-2</v>
      </c>
      <c r="B55" s="202" t="s">
        <v>226</v>
      </c>
      <c r="D55" s="181">
        <f>+D54-1</f>
        <v>-10</v>
      </c>
      <c r="E55" s="165" t="s">
        <v>233</v>
      </c>
      <c r="H55" s="181">
        <f>+H54-1</f>
        <v>-16</v>
      </c>
      <c r="I55" s="165" t="s">
        <v>239</v>
      </c>
      <c r="K55" s="181"/>
      <c r="L55" s="165"/>
      <c r="M55" s="302"/>
    </row>
    <row r="56" spans="1:14">
      <c r="A56" s="181">
        <f t="shared" si="15"/>
        <v>-3</v>
      </c>
      <c r="B56" s="165" t="s">
        <v>228</v>
      </c>
      <c r="D56" s="181">
        <f>+D55-1</f>
        <v>-11</v>
      </c>
      <c r="E56" s="165" t="s">
        <v>233</v>
      </c>
      <c r="H56" s="181">
        <f>+H55-1</f>
        <v>-17</v>
      </c>
      <c r="I56" s="165" t="s">
        <v>240</v>
      </c>
      <c r="J56" s="10"/>
      <c r="K56" s="181"/>
      <c r="L56" s="165"/>
      <c r="M56" s="304"/>
    </row>
    <row r="57" spans="1:14">
      <c r="A57" s="181">
        <f t="shared" si="15"/>
        <v>-4</v>
      </c>
      <c r="B57" s="165" t="s">
        <v>228</v>
      </c>
      <c r="D57" s="181">
        <f>+D56-1</f>
        <v>-12</v>
      </c>
      <c r="E57" s="165" t="s">
        <v>234</v>
      </c>
      <c r="H57" s="181">
        <f>+H56-1</f>
        <v>-18</v>
      </c>
      <c r="I57" s="165" t="s">
        <v>241</v>
      </c>
      <c r="J57" s="10"/>
      <c r="K57" s="10"/>
      <c r="L57" s="301"/>
      <c r="M57" s="304"/>
    </row>
    <row r="58" spans="1:14">
      <c r="A58" s="181">
        <f t="shared" si="15"/>
        <v>-5</v>
      </c>
      <c r="B58" s="165" t="s">
        <v>228</v>
      </c>
      <c r="D58" s="181">
        <f>+D57-1</f>
        <v>-13</v>
      </c>
      <c r="E58" s="165" t="s">
        <v>235</v>
      </c>
      <c r="H58" s="181">
        <f>+H57-1</f>
        <v>-19</v>
      </c>
      <c r="I58" s="165" t="s">
        <v>242</v>
      </c>
      <c r="J58" s="10"/>
      <c r="K58" s="10"/>
      <c r="L58" s="301"/>
      <c r="M58" s="304"/>
    </row>
    <row r="59" spans="1:14">
      <c r="A59" s="181">
        <f t="shared" si="15"/>
        <v>-6</v>
      </c>
      <c r="B59" s="202" t="s">
        <v>229</v>
      </c>
      <c r="E59" s="3" t="s">
        <v>236</v>
      </c>
      <c r="H59" s="181">
        <f>+H58-1</f>
        <v>-20</v>
      </c>
      <c r="I59" s="165" t="s">
        <v>243</v>
      </c>
      <c r="J59" s="10"/>
      <c r="K59" s="10"/>
      <c r="L59" s="301"/>
      <c r="M59" s="304"/>
    </row>
    <row r="60" spans="1:14">
      <c r="A60" s="181">
        <f t="shared" si="15"/>
        <v>-7</v>
      </c>
      <c r="B60" s="202" t="s">
        <v>230</v>
      </c>
      <c r="D60" s="181">
        <f>+D58-1</f>
        <v>-14</v>
      </c>
      <c r="E60" s="165" t="s">
        <v>235</v>
      </c>
      <c r="I60" s="10"/>
      <c r="J60" s="10"/>
      <c r="K60" s="10"/>
      <c r="L60" s="301"/>
      <c r="M60" s="304"/>
    </row>
    <row r="61" spans="1:14">
      <c r="A61" s="181">
        <f t="shared" si="15"/>
        <v>-8</v>
      </c>
      <c r="B61" s="202" t="s">
        <v>231</v>
      </c>
      <c r="E61" s="165" t="s">
        <v>237</v>
      </c>
      <c r="G61" s="10"/>
      <c r="H61" s="10"/>
      <c r="I61" s="10"/>
      <c r="J61" s="10"/>
      <c r="K61" s="10"/>
      <c r="L61" s="301"/>
      <c r="M61" s="304"/>
    </row>
    <row r="62" spans="1:14">
      <c r="D62" s="10"/>
      <c r="G62" s="10"/>
      <c r="H62" s="10"/>
      <c r="I62" s="10"/>
      <c r="J62" s="10"/>
      <c r="K62" s="10"/>
      <c r="L62" s="301"/>
      <c r="M62" s="304"/>
    </row>
    <row r="63" spans="1:14">
      <c r="D63" s="10"/>
      <c r="G63" s="10"/>
      <c r="H63" s="10"/>
      <c r="I63" s="10"/>
      <c r="J63" s="10"/>
      <c r="K63" s="10"/>
      <c r="L63" s="301"/>
      <c r="M63" s="304"/>
    </row>
    <row r="64" spans="1:14">
      <c r="D64" s="10"/>
      <c r="G64" s="10"/>
      <c r="H64" s="10"/>
      <c r="I64" s="10"/>
      <c r="J64" s="10"/>
      <c r="K64" s="10"/>
      <c r="L64" s="301"/>
      <c r="M64" s="304"/>
    </row>
    <row r="65" spans="4:13">
      <c r="D65" s="10"/>
      <c r="G65" s="10"/>
      <c r="H65" s="10"/>
      <c r="I65" s="10"/>
      <c r="J65" s="10"/>
      <c r="K65" s="10"/>
      <c r="L65" s="301"/>
      <c r="M65" s="304"/>
    </row>
    <row r="66" spans="4:13">
      <c r="D66" s="10"/>
      <c r="G66" s="10"/>
      <c r="H66" s="10"/>
      <c r="I66" s="10"/>
      <c r="J66" s="10"/>
      <c r="K66" s="10"/>
      <c r="L66" s="301"/>
      <c r="M66" s="304"/>
    </row>
    <row r="67" spans="4:13">
      <c r="D67" s="10"/>
      <c r="G67" s="10"/>
      <c r="H67" s="10"/>
      <c r="I67" s="10"/>
      <c r="J67" s="10"/>
      <c r="K67" s="10"/>
      <c r="L67" s="301"/>
      <c r="M67" s="304"/>
    </row>
    <row r="68" spans="4:13">
      <c r="G68" s="10"/>
      <c r="H68" s="10"/>
      <c r="I68" s="10"/>
      <c r="J68" s="10"/>
      <c r="K68" s="10"/>
      <c r="L68" s="301"/>
      <c r="M68" s="304"/>
    </row>
    <row r="69" spans="4:13">
      <c r="G69" s="10"/>
      <c r="H69" s="10"/>
      <c r="I69" s="10"/>
      <c r="J69" s="10"/>
      <c r="K69" s="10"/>
      <c r="L69" s="301"/>
      <c r="M69" s="304"/>
    </row>
    <row r="70" spans="4:13">
      <c r="G70" s="10"/>
      <c r="H70" s="10"/>
      <c r="I70" s="10"/>
      <c r="J70" s="10"/>
      <c r="K70" s="10"/>
      <c r="L70" s="301"/>
      <c r="M70" s="304"/>
    </row>
    <row r="71" spans="4:13">
      <c r="G71" s="10"/>
      <c r="H71" s="10"/>
      <c r="I71" s="10"/>
      <c r="J71" s="10"/>
      <c r="K71" s="10"/>
      <c r="L71" s="301"/>
      <c r="M71" s="304"/>
    </row>
    <row r="72" spans="4:13">
      <c r="G72" s="10"/>
      <c r="H72" s="10"/>
      <c r="I72" s="10"/>
      <c r="J72" s="10"/>
      <c r="K72" s="10"/>
      <c r="L72" s="301"/>
      <c r="M72" s="304"/>
    </row>
    <row r="73" spans="4:13">
      <c r="G73" s="192"/>
      <c r="H73" s="192"/>
      <c r="I73" s="192"/>
      <c r="J73" s="192"/>
      <c r="K73" s="10"/>
      <c r="L73" s="287"/>
      <c r="M73" s="304"/>
    </row>
    <row r="74" spans="4:13">
      <c r="K74" s="192"/>
      <c r="M74" s="192"/>
    </row>
    <row r="75" spans="4:13">
      <c r="L75" s="192"/>
      <c r="M75" s="192"/>
    </row>
    <row r="76" spans="4:13">
      <c r="L76" s="192"/>
      <c r="M76" s="192"/>
    </row>
    <row r="77" spans="4:13">
      <c r="L77" s="192"/>
      <c r="M77" s="192"/>
    </row>
    <row r="78" spans="4:13">
      <c r="L78" s="192"/>
      <c r="M78" s="192"/>
    </row>
    <row r="79" spans="4:13">
      <c r="L79" s="192"/>
      <c r="M79" s="192"/>
    </row>
    <row r="80" spans="4:13">
      <c r="L80" s="192"/>
      <c r="M80" s="192"/>
    </row>
    <row r="81" spans="12:13">
      <c r="L81" s="192"/>
      <c r="M81" s="192"/>
    </row>
    <row r="82" spans="12:13">
      <c r="L82" s="192"/>
      <c r="M82" s="192"/>
    </row>
  </sheetData>
  <phoneticPr fontId="0" type="noConversion"/>
  <printOptions horizontalCentered="1"/>
  <pageMargins left="0.5" right="0.5" top="0.5" bottom="0.75" header="0.5" footer="0.35"/>
  <pageSetup scale="69" orientation="landscape" r:id="rId1"/>
  <headerFooter alignWithMargins="0">
    <oddFooter>&amp;L&amp;8&amp;F 
&amp;A&amp;C&amp;8MBA Actuaries, Inc.&amp;R&amp;8&amp;D 
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O40"/>
  <sheetViews>
    <sheetView zoomScaleNormal="100" workbookViewId="0">
      <selection activeCell="D4" sqref="D4"/>
    </sheetView>
  </sheetViews>
  <sheetFormatPr defaultRowHeight="12.75"/>
  <cols>
    <col min="1" max="1" width="8.85546875" style="3" customWidth="1"/>
    <col min="2" max="3" width="9.140625" style="3"/>
    <col min="4" max="5" width="12.7109375" style="3" customWidth="1"/>
    <col min="6" max="6" width="10.7109375" style="3" customWidth="1"/>
    <col min="7" max="8" width="12.7109375" style="3" customWidth="1"/>
    <col min="9" max="9" width="10.7109375" style="3" customWidth="1"/>
    <col min="10" max="11" width="12.7109375" style="3" customWidth="1"/>
    <col min="12" max="12" width="10.7109375" style="3" customWidth="1"/>
    <col min="13" max="13" width="1" style="3" customWidth="1"/>
    <col min="14" max="14" width="11.28515625" style="3" bestFit="1" customWidth="1"/>
    <col min="15" max="16384" width="9.140625" style="3"/>
  </cols>
  <sheetData>
    <row r="1" spans="1:15">
      <c r="A1" s="446" t="str">
        <f>scenario</f>
        <v>Severe Scenario, V\ Curve</v>
      </c>
      <c r="M1" s="164" t="s">
        <v>390</v>
      </c>
    </row>
    <row r="2" spans="1:15" ht="15.75">
      <c r="A2" s="52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5" ht="15">
      <c r="A3" s="128" t="s">
        <v>76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5" customFormat="1" ht="15.75">
      <c r="A4" s="52"/>
      <c r="B4" s="13"/>
      <c r="C4" s="13"/>
      <c r="D4" s="13"/>
      <c r="E4" s="13"/>
      <c r="F4" s="13"/>
      <c r="I4" s="13"/>
      <c r="J4" s="13"/>
      <c r="K4" s="13"/>
      <c r="N4" s="29"/>
    </row>
    <row r="5" spans="1:15">
      <c r="A5" s="37" t="s">
        <v>36</v>
      </c>
      <c r="B5" s="83" t="s">
        <v>7</v>
      </c>
      <c r="C5" s="84" t="s">
        <v>7</v>
      </c>
      <c r="D5" s="104" t="s">
        <v>66</v>
      </c>
      <c r="E5" s="105"/>
      <c r="F5" s="106"/>
      <c r="G5" s="104" t="s">
        <v>69</v>
      </c>
      <c r="H5" s="105"/>
      <c r="I5" s="106"/>
      <c r="J5" s="104" t="s">
        <v>70</v>
      </c>
      <c r="K5" s="105"/>
      <c r="L5" s="106"/>
    </row>
    <row r="6" spans="1:15">
      <c r="A6" s="37" t="s">
        <v>37</v>
      </c>
      <c r="B6" s="153" t="s">
        <v>51</v>
      </c>
      <c r="C6" s="156" t="s">
        <v>53</v>
      </c>
      <c r="D6" s="88" t="str">
        <f>_PR1</f>
        <v>Not Seeking</v>
      </c>
      <c r="E6" s="152" t="str">
        <f>_PR2</f>
        <v>Outpatient</v>
      </c>
      <c r="F6" s="89" t="str">
        <f>_PR3</f>
        <v>Hospital</v>
      </c>
      <c r="G6" s="88" t="str">
        <f>_PR1</f>
        <v>Not Seeking</v>
      </c>
      <c r="H6" s="152" t="str">
        <f>_PR2</f>
        <v>Outpatient</v>
      </c>
      <c r="I6" s="89" t="str">
        <f>_PR3</f>
        <v>Hospital</v>
      </c>
      <c r="J6" s="88" t="str">
        <f>_PR1</f>
        <v>Not Seeking</v>
      </c>
      <c r="K6" s="152" t="str">
        <f>_PR2</f>
        <v>Outpatient</v>
      </c>
      <c r="L6" s="89" t="str">
        <f>_PR3</f>
        <v>Hospital</v>
      </c>
    </row>
    <row r="7" spans="1:15">
      <c r="B7" s="63">
        <v>-1</v>
      </c>
      <c r="C7" s="150">
        <f>+B7-1</f>
        <v>-2</v>
      </c>
      <c r="D7" s="148">
        <f t="shared" ref="D7:L7" si="0">+C7-1</f>
        <v>-3</v>
      </c>
      <c r="E7" s="149">
        <f t="shared" si="0"/>
        <v>-4</v>
      </c>
      <c r="F7" s="150">
        <f t="shared" si="0"/>
        <v>-5</v>
      </c>
      <c r="G7" s="148">
        <f t="shared" si="0"/>
        <v>-6</v>
      </c>
      <c r="H7" s="149">
        <f t="shared" si="0"/>
        <v>-7</v>
      </c>
      <c r="I7" s="150">
        <f t="shared" si="0"/>
        <v>-8</v>
      </c>
      <c r="J7" s="148">
        <f t="shared" si="0"/>
        <v>-9</v>
      </c>
      <c r="K7" s="149">
        <f t="shared" si="0"/>
        <v>-10</v>
      </c>
      <c r="L7" s="150">
        <f t="shared" si="0"/>
        <v>-11</v>
      </c>
    </row>
    <row r="8" spans="1:15" ht="5.0999999999999996" customHeight="1">
      <c r="B8" s="103"/>
      <c r="C8" s="130"/>
      <c r="D8" s="31"/>
      <c r="E8" s="33"/>
      <c r="F8" s="57"/>
      <c r="G8" s="31"/>
      <c r="H8" s="33"/>
      <c r="I8" s="57"/>
      <c r="J8" s="31"/>
      <c r="K8" s="33"/>
      <c r="L8" s="57"/>
    </row>
    <row r="9" spans="1:15">
      <c r="A9" s="78" t="str">
        <f>+'Morbidity Distribution'!A23</f>
        <v>0 - 4</v>
      </c>
      <c r="B9" s="154">
        <f t="shared" ref="B9:B26" si="1">1-C9</f>
        <v>0.95</v>
      </c>
      <c r="C9" s="506">
        <v>0.05</v>
      </c>
      <c r="D9" s="97">
        <f>+'Distribution by Provider'!I9</f>
        <v>3550017</v>
      </c>
      <c r="E9" s="98">
        <f>+'Distribution by Provider'!J9</f>
        <v>6508364</v>
      </c>
      <c r="F9" s="99">
        <f>+'Distribution by Provider'!K9</f>
        <v>1775008</v>
      </c>
      <c r="G9" s="97">
        <f t="shared" ref="G9:G26" si="2">+$B9*D9</f>
        <v>3372516.15</v>
      </c>
      <c r="H9" s="98">
        <f t="shared" ref="H9:H26" si="3">+$B9*E9</f>
        <v>6182945.7999999998</v>
      </c>
      <c r="I9" s="99">
        <f t="shared" ref="I9:I26" si="4">+$B9*F9</f>
        <v>1686257.5999999999</v>
      </c>
      <c r="J9" s="97">
        <f t="shared" ref="J9:J26" si="5">+$C9*D9</f>
        <v>177500.85</v>
      </c>
      <c r="K9" s="98">
        <f t="shared" ref="K9:K26" si="6">+$C9*E9</f>
        <v>325418.2</v>
      </c>
      <c r="L9" s="99">
        <f t="shared" ref="L9:L26" si="7">+$C9*F9</f>
        <v>88750.400000000009</v>
      </c>
      <c r="N9" s="6"/>
      <c r="O9" s="5"/>
    </row>
    <row r="10" spans="1:15">
      <c r="A10" s="78" t="str">
        <f>+'Morbidity Distribution'!A24</f>
        <v>5 - 9</v>
      </c>
      <c r="B10" s="154">
        <f t="shared" si="1"/>
        <v>0.9</v>
      </c>
      <c r="C10" s="506">
        <v>0.1</v>
      </c>
      <c r="D10" s="97">
        <f>+'Distribution by Provider'!I10</f>
        <v>2526771</v>
      </c>
      <c r="E10" s="98">
        <f>+'Distribution by Provider'!J10</f>
        <v>1788864</v>
      </c>
      <c r="F10" s="99">
        <f>+'Distribution by Provider'!K10</f>
        <v>156526</v>
      </c>
      <c r="G10" s="97">
        <f t="shared" si="2"/>
        <v>2274093.9</v>
      </c>
      <c r="H10" s="98">
        <f t="shared" si="3"/>
        <v>1609977.6</v>
      </c>
      <c r="I10" s="99">
        <f t="shared" si="4"/>
        <v>140873.4</v>
      </c>
      <c r="J10" s="97">
        <f t="shared" si="5"/>
        <v>252677.1</v>
      </c>
      <c r="K10" s="98">
        <f t="shared" si="6"/>
        <v>178886.40000000002</v>
      </c>
      <c r="L10" s="99">
        <f t="shared" si="7"/>
        <v>15652.6</v>
      </c>
      <c r="N10" s="6"/>
      <c r="O10" s="5"/>
    </row>
    <row r="11" spans="1:15">
      <c r="A11" s="78" t="str">
        <f>+'Morbidity Distribution'!A25</f>
        <v>10 - 14</v>
      </c>
      <c r="B11" s="154">
        <f t="shared" si="1"/>
        <v>0.9</v>
      </c>
      <c r="C11" s="506">
        <v>0.1</v>
      </c>
      <c r="D11" s="97">
        <f>+'Distribution by Provider'!I11</f>
        <v>2725193</v>
      </c>
      <c r="E11" s="98">
        <f>+'Distribution by Provider'!J11</f>
        <v>1929340</v>
      </c>
      <c r="F11" s="99">
        <f>+'Distribution by Provider'!K11</f>
        <v>168817</v>
      </c>
      <c r="G11" s="97">
        <f t="shared" si="2"/>
        <v>2452673.7000000002</v>
      </c>
      <c r="H11" s="98">
        <f t="shared" si="3"/>
        <v>1736406</v>
      </c>
      <c r="I11" s="99">
        <f t="shared" si="4"/>
        <v>151935.30000000002</v>
      </c>
      <c r="J11" s="97">
        <f t="shared" si="5"/>
        <v>272519.3</v>
      </c>
      <c r="K11" s="98">
        <f t="shared" si="6"/>
        <v>192934</v>
      </c>
      <c r="L11" s="99">
        <f t="shared" si="7"/>
        <v>16881.7</v>
      </c>
      <c r="N11" s="6"/>
      <c r="O11" s="5"/>
    </row>
    <row r="12" spans="1:15">
      <c r="A12" s="78" t="str">
        <f>+'Morbidity Distribution'!A26</f>
        <v>15 - 19</v>
      </c>
      <c r="B12" s="154">
        <f t="shared" si="1"/>
        <v>0.9</v>
      </c>
      <c r="C12" s="506">
        <v>0.1</v>
      </c>
      <c r="D12" s="97">
        <f>+'Distribution by Provider'!I12</f>
        <v>2467606</v>
      </c>
      <c r="E12" s="98">
        <f>+'Distribution by Provider'!J12</f>
        <v>1862344</v>
      </c>
      <c r="F12" s="99">
        <f>+'Distribution by Provider'!K12</f>
        <v>325910</v>
      </c>
      <c r="G12" s="97">
        <f t="shared" si="2"/>
        <v>2220845.4</v>
      </c>
      <c r="H12" s="98">
        <f t="shared" si="3"/>
        <v>1676109.6</v>
      </c>
      <c r="I12" s="99">
        <f t="shared" si="4"/>
        <v>293319</v>
      </c>
      <c r="J12" s="97">
        <f t="shared" si="5"/>
        <v>246760.6</v>
      </c>
      <c r="K12" s="98">
        <f t="shared" si="6"/>
        <v>186234.40000000002</v>
      </c>
      <c r="L12" s="99">
        <f t="shared" si="7"/>
        <v>32591</v>
      </c>
      <c r="N12" s="6"/>
      <c r="O12" s="5"/>
    </row>
    <row r="13" spans="1:15">
      <c r="A13" s="78" t="str">
        <f>+'Morbidity Distribution'!A27</f>
        <v>20 - 24</v>
      </c>
      <c r="B13" s="154">
        <f t="shared" si="1"/>
        <v>0.85</v>
      </c>
      <c r="C13" s="506">
        <v>0.15</v>
      </c>
      <c r="D13" s="97">
        <f>+'Distribution by Provider'!I13</f>
        <v>2796626</v>
      </c>
      <c r="E13" s="98">
        <f>+'Distribution by Provider'!J13</f>
        <v>2796626</v>
      </c>
      <c r="F13" s="99">
        <f>+'Distribution by Provider'!K13</f>
        <v>621473</v>
      </c>
      <c r="G13" s="97">
        <f t="shared" si="2"/>
        <v>2377132.1</v>
      </c>
      <c r="H13" s="98">
        <f t="shared" si="3"/>
        <v>2377132.1</v>
      </c>
      <c r="I13" s="99">
        <f t="shared" si="4"/>
        <v>528252.04999999993</v>
      </c>
      <c r="J13" s="97">
        <f t="shared" si="5"/>
        <v>419493.89999999997</v>
      </c>
      <c r="K13" s="98">
        <f t="shared" si="6"/>
        <v>419493.89999999997</v>
      </c>
      <c r="L13" s="99">
        <f t="shared" si="7"/>
        <v>93220.95</v>
      </c>
      <c r="N13" s="6"/>
      <c r="O13" s="5"/>
    </row>
    <row r="14" spans="1:15">
      <c r="A14" s="78" t="str">
        <f>+'Morbidity Distribution'!A28</f>
        <v>25 - 29</v>
      </c>
      <c r="B14" s="154">
        <f t="shared" si="1"/>
        <v>0.85</v>
      </c>
      <c r="C14" s="506">
        <v>0.15</v>
      </c>
      <c r="D14" s="97">
        <f>+'Distribution by Provider'!I14</f>
        <v>3594287</v>
      </c>
      <c r="E14" s="98">
        <f>+'Distribution by Provider'!J14</f>
        <v>3851022</v>
      </c>
      <c r="F14" s="99">
        <f>+'Distribution by Provider'!K14</f>
        <v>1112518</v>
      </c>
      <c r="G14" s="97">
        <f t="shared" si="2"/>
        <v>3055143.9499999997</v>
      </c>
      <c r="H14" s="98">
        <f t="shared" si="3"/>
        <v>3273368.6999999997</v>
      </c>
      <c r="I14" s="99">
        <f t="shared" si="4"/>
        <v>945640.29999999993</v>
      </c>
      <c r="J14" s="97">
        <f t="shared" si="5"/>
        <v>539143.04999999993</v>
      </c>
      <c r="K14" s="98">
        <f t="shared" si="6"/>
        <v>577653.29999999993</v>
      </c>
      <c r="L14" s="99">
        <f t="shared" si="7"/>
        <v>166877.69999999998</v>
      </c>
      <c r="N14" s="6"/>
      <c r="O14" s="5"/>
    </row>
    <row r="15" spans="1:15">
      <c r="A15" s="78" t="str">
        <f>+'Morbidity Distribution'!A29</f>
        <v>30 - 34</v>
      </c>
      <c r="B15" s="154">
        <f t="shared" si="1"/>
        <v>0.85</v>
      </c>
      <c r="C15" s="506">
        <v>0.15</v>
      </c>
      <c r="D15" s="97">
        <f>+'Distribution by Provider'!I15</f>
        <v>4388442</v>
      </c>
      <c r="E15" s="98">
        <f>+'Distribution by Provider'!J15</f>
        <v>4701902</v>
      </c>
      <c r="F15" s="99">
        <f>+'Distribution by Provider'!K15</f>
        <v>1358327</v>
      </c>
      <c r="G15" s="97">
        <f t="shared" si="2"/>
        <v>3730175.6999999997</v>
      </c>
      <c r="H15" s="98">
        <f t="shared" si="3"/>
        <v>3996616.6999999997</v>
      </c>
      <c r="I15" s="99">
        <f t="shared" si="4"/>
        <v>1154577.95</v>
      </c>
      <c r="J15" s="97">
        <f t="shared" si="5"/>
        <v>658266.29999999993</v>
      </c>
      <c r="K15" s="98">
        <f t="shared" si="6"/>
        <v>705285.29999999993</v>
      </c>
      <c r="L15" s="99">
        <f t="shared" si="7"/>
        <v>203749.05</v>
      </c>
      <c r="N15" s="6"/>
      <c r="O15" s="5"/>
    </row>
    <row r="16" spans="1:15">
      <c r="A16" s="78" t="str">
        <f>+'Morbidity Distribution'!A30</f>
        <v>35 - 39</v>
      </c>
      <c r="B16" s="154">
        <f t="shared" si="1"/>
        <v>0.85</v>
      </c>
      <c r="C16" s="506">
        <v>0.15</v>
      </c>
      <c r="D16" s="97">
        <f>+'Distribution by Provider'!I16</f>
        <v>4938849</v>
      </c>
      <c r="E16" s="98">
        <f>+'Distribution by Provider'!J16</f>
        <v>4938849</v>
      </c>
      <c r="F16" s="99">
        <f>+'Distribution by Provider'!K16</f>
        <v>1097522</v>
      </c>
      <c r="G16" s="97">
        <f t="shared" si="2"/>
        <v>4198021.6499999994</v>
      </c>
      <c r="H16" s="98">
        <f t="shared" si="3"/>
        <v>4198021.6499999994</v>
      </c>
      <c r="I16" s="99">
        <f t="shared" si="4"/>
        <v>932893.7</v>
      </c>
      <c r="J16" s="97">
        <f t="shared" si="5"/>
        <v>740827.35</v>
      </c>
      <c r="K16" s="98">
        <f t="shared" si="6"/>
        <v>740827.35</v>
      </c>
      <c r="L16" s="99">
        <f t="shared" si="7"/>
        <v>164628.29999999999</v>
      </c>
      <c r="N16" s="6"/>
      <c r="O16" s="5"/>
    </row>
    <row r="17" spans="1:15">
      <c r="A17" s="78" t="str">
        <f>+'Morbidity Distribution'!A31</f>
        <v>40 - 44</v>
      </c>
      <c r="B17" s="154">
        <f t="shared" si="1"/>
        <v>0.85</v>
      </c>
      <c r="C17" s="506">
        <v>0.15</v>
      </c>
      <c r="D17" s="97">
        <f>+'Distribution by Provider'!I17</f>
        <v>4971258</v>
      </c>
      <c r="E17" s="98">
        <f>+'Distribution by Provider'!J17</f>
        <v>4660554</v>
      </c>
      <c r="F17" s="99">
        <f>+'Distribution by Provider'!K17</f>
        <v>724975</v>
      </c>
      <c r="G17" s="97">
        <f t="shared" si="2"/>
        <v>4225569.3</v>
      </c>
      <c r="H17" s="98">
        <f t="shared" si="3"/>
        <v>3961470.9</v>
      </c>
      <c r="I17" s="99">
        <f t="shared" si="4"/>
        <v>616228.75</v>
      </c>
      <c r="J17" s="97">
        <f t="shared" si="5"/>
        <v>745688.7</v>
      </c>
      <c r="K17" s="98">
        <f t="shared" si="6"/>
        <v>699083.1</v>
      </c>
      <c r="L17" s="99">
        <f t="shared" si="7"/>
        <v>108746.25</v>
      </c>
      <c r="N17" s="6"/>
      <c r="O17" s="5"/>
    </row>
    <row r="18" spans="1:15">
      <c r="A18" s="78" t="str">
        <f>+'Morbidity Distribution'!A32</f>
        <v>45 - 49</v>
      </c>
      <c r="B18" s="154">
        <f t="shared" si="1"/>
        <v>0.8</v>
      </c>
      <c r="C18" s="506">
        <v>0.2</v>
      </c>
      <c r="D18" s="97">
        <f>+'Distribution by Provider'!I18</f>
        <v>3329713</v>
      </c>
      <c r="E18" s="98">
        <f>+'Distribution by Provider'!J18</f>
        <v>2996741</v>
      </c>
      <c r="F18" s="99">
        <f>+'Distribution by Provider'!K18</f>
        <v>332971</v>
      </c>
      <c r="G18" s="97">
        <f t="shared" si="2"/>
        <v>2663770.4000000004</v>
      </c>
      <c r="H18" s="98">
        <f t="shared" si="3"/>
        <v>2397392.8000000003</v>
      </c>
      <c r="I18" s="99">
        <f t="shared" si="4"/>
        <v>266376.8</v>
      </c>
      <c r="J18" s="97">
        <f t="shared" si="5"/>
        <v>665942.60000000009</v>
      </c>
      <c r="K18" s="98">
        <f t="shared" si="6"/>
        <v>599348.20000000007</v>
      </c>
      <c r="L18" s="99">
        <f t="shared" si="7"/>
        <v>66594.2</v>
      </c>
      <c r="N18" s="6"/>
      <c r="O18" s="5"/>
    </row>
    <row r="19" spans="1:15">
      <c r="A19" s="78" t="str">
        <f>+'Morbidity Distribution'!A33</f>
        <v>50 - 54</v>
      </c>
      <c r="B19" s="154">
        <f t="shared" si="1"/>
        <v>0.75</v>
      </c>
      <c r="C19" s="506">
        <v>0.25</v>
      </c>
      <c r="D19" s="97">
        <f>+'Distribution by Provider'!I19</f>
        <v>2278564</v>
      </c>
      <c r="E19" s="98">
        <f>+'Distribution by Provider'!J19</f>
        <v>1990979</v>
      </c>
      <c r="F19" s="99">
        <f>+'Distribution by Provider'!K19</f>
        <v>154854</v>
      </c>
      <c r="G19" s="97">
        <f t="shared" si="2"/>
        <v>1708923</v>
      </c>
      <c r="H19" s="98">
        <f t="shared" si="3"/>
        <v>1493234.25</v>
      </c>
      <c r="I19" s="99">
        <f t="shared" si="4"/>
        <v>116140.5</v>
      </c>
      <c r="J19" s="97">
        <f t="shared" si="5"/>
        <v>569641</v>
      </c>
      <c r="K19" s="98">
        <f t="shared" si="6"/>
        <v>497744.75</v>
      </c>
      <c r="L19" s="99">
        <f t="shared" si="7"/>
        <v>38713.5</v>
      </c>
      <c r="N19" s="6"/>
      <c r="O19" s="5"/>
    </row>
    <row r="20" spans="1:15">
      <c r="A20" s="78" t="str">
        <f>+'Morbidity Distribution'!A34</f>
        <v>55 - 59</v>
      </c>
      <c r="B20" s="154">
        <f t="shared" si="1"/>
        <v>0.65</v>
      </c>
      <c r="C20" s="506">
        <v>0.35</v>
      </c>
      <c r="D20" s="97">
        <f>+'Distribution by Provider'!I20</f>
        <v>1406897</v>
      </c>
      <c r="E20" s="98">
        <f>+'Distribution by Provider'!J20</f>
        <v>787862</v>
      </c>
      <c r="F20" s="99">
        <f>+'Distribution by Provider'!K20</f>
        <v>56276</v>
      </c>
      <c r="G20" s="97">
        <f t="shared" si="2"/>
        <v>914483.05</v>
      </c>
      <c r="H20" s="98">
        <f t="shared" si="3"/>
        <v>512110.30000000005</v>
      </c>
      <c r="I20" s="99">
        <f t="shared" si="4"/>
        <v>36579.4</v>
      </c>
      <c r="J20" s="97">
        <f t="shared" si="5"/>
        <v>492413.94999999995</v>
      </c>
      <c r="K20" s="98">
        <f t="shared" si="6"/>
        <v>275751.69999999995</v>
      </c>
      <c r="L20" s="99">
        <f t="shared" si="7"/>
        <v>19696.599999999999</v>
      </c>
      <c r="N20" s="6"/>
      <c r="O20" s="5"/>
    </row>
    <row r="21" spans="1:15">
      <c r="A21" s="78" t="str">
        <f>+'Morbidity Distribution'!A35</f>
        <v>60 - 64</v>
      </c>
      <c r="B21" s="154">
        <f t="shared" si="1"/>
        <v>0.6</v>
      </c>
      <c r="C21" s="506">
        <v>0.4</v>
      </c>
      <c r="D21" s="97">
        <f>+'Distribution by Provider'!I21</f>
        <v>703574</v>
      </c>
      <c r="E21" s="98">
        <f>+'Distribution by Provider'!J21</f>
        <v>239311</v>
      </c>
      <c r="F21" s="99">
        <f>+'Distribution by Provider'!K21</f>
        <v>14359</v>
      </c>
      <c r="G21" s="97">
        <f t="shared" si="2"/>
        <v>422144.39999999997</v>
      </c>
      <c r="H21" s="98">
        <f t="shared" si="3"/>
        <v>143586.6</v>
      </c>
      <c r="I21" s="99">
        <f t="shared" si="4"/>
        <v>8615.4</v>
      </c>
      <c r="J21" s="97">
        <f t="shared" si="5"/>
        <v>281429.60000000003</v>
      </c>
      <c r="K21" s="98">
        <f t="shared" si="6"/>
        <v>95724.400000000009</v>
      </c>
      <c r="L21" s="99">
        <f t="shared" si="7"/>
        <v>5743.6</v>
      </c>
      <c r="N21" s="6"/>
      <c r="O21" s="5"/>
    </row>
    <row r="22" spans="1:15">
      <c r="A22" s="78" t="str">
        <f>+'Morbidity Distribution'!A36</f>
        <v>65 - 69</v>
      </c>
      <c r="B22" s="154">
        <f t="shared" si="1"/>
        <v>0.55000000000000004</v>
      </c>
      <c r="C22" s="506">
        <v>0.45</v>
      </c>
      <c r="D22" s="97">
        <f>+'Distribution by Provider'!I22</f>
        <v>382528</v>
      </c>
      <c r="E22" s="98">
        <f>+'Distribution by Provider'!J22</f>
        <v>68309</v>
      </c>
      <c r="F22" s="99">
        <f>+'Distribution by Provider'!K22</f>
        <v>4554</v>
      </c>
      <c r="G22" s="97">
        <f t="shared" si="2"/>
        <v>210390.40000000002</v>
      </c>
      <c r="H22" s="98">
        <f t="shared" si="3"/>
        <v>37569.950000000004</v>
      </c>
      <c r="I22" s="99">
        <f t="shared" si="4"/>
        <v>2504.7000000000003</v>
      </c>
      <c r="J22" s="97">
        <f t="shared" si="5"/>
        <v>172137.60000000001</v>
      </c>
      <c r="K22" s="98">
        <f t="shared" si="6"/>
        <v>30739.05</v>
      </c>
      <c r="L22" s="99">
        <f t="shared" si="7"/>
        <v>2049.3000000000002</v>
      </c>
      <c r="N22" s="6"/>
      <c r="O22" s="5"/>
    </row>
    <row r="23" spans="1:15">
      <c r="A23" s="78" t="str">
        <f>+'Morbidity Distribution'!A37</f>
        <v>70 - 74</v>
      </c>
      <c r="B23" s="154">
        <f t="shared" si="1"/>
        <v>0.5</v>
      </c>
      <c r="C23" s="506">
        <v>0.5</v>
      </c>
      <c r="D23" s="97">
        <f>+'Distribution by Provider'!I23</f>
        <v>217893</v>
      </c>
      <c r="E23" s="98">
        <f>+'Distribution by Provider'!J23</f>
        <v>38910</v>
      </c>
      <c r="F23" s="99">
        <f>+'Distribution by Provider'!K23</f>
        <v>2594</v>
      </c>
      <c r="G23" s="97">
        <f t="shared" si="2"/>
        <v>108946.5</v>
      </c>
      <c r="H23" s="98">
        <f t="shared" si="3"/>
        <v>19455</v>
      </c>
      <c r="I23" s="99">
        <f t="shared" si="4"/>
        <v>1297</v>
      </c>
      <c r="J23" s="97">
        <f t="shared" si="5"/>
        <v>108946.5</v>
      </c>
      <c r="K23" s="98">
        <f t="shared" si="6"/>
        <v>19455</v>
      </c>
      <c r="L23" s="99">
        <f t="shared" si="7"/>
        <v>1297</v>
      </c>
      <c r="N23" s="6"/>
      <c r="O23" s="5"/>
    </row>
    <row r="24" spans="1:15">
      <c r="A24" s="78" t="str">
        <f>+'Morbidity Distribution'!A38</f>
        <v>75 - 79</v>
      </c>
      <c r="B24" s="154">
        <f t="shared" si="1"/>
        <v>0.44999999999999996</v>
      </c>
      <c r="C24" s="506">
        <v>0.55000000000000004</v>
      </c>
      <c r="D24" s="97">
        <f>+'Distribution by Provider'!I24</f>
        <v>190300</v>
      </c>
      <c r="E24" s="98">
        <f>+'Distribution by Provider'!J24</f>
        <v>33982</v>
      </c>
      <c r="F24" s="99">
        <f>+'Distribution by Provider'!K24</f>
        <v>2265</v>
      </c>
      <c r="G24" s="97">
        <f t="shared" si="2"/>
        <v>85634.999999999985</v>
      </c>
      <c r="H24" s="98">
        <f t="shared" si="3"/>
        <v>15291.899999999998</v>
      </c>
      <c r="I24" s="99">
        <f t="shared" si="4"/>
        <v>1019.2499999999999</v>
      </c>
      <c r="J24" s="97">
        <f t="shared" si="5"/>
        <v>104665.00000000001</v>
      </c>
      <c r="K24" s="98">
        <f t="shared" si="6"/>
        <v>18690.100000000002</v>
      </c>
      <c r="L24" s="99">
        <f t="shared" si="7"/>
        <v>1245.75</v>
      </c>
      <c r="N24" s="6"/>
      <c r="O24" s="5"/>
    </row>
    <row r="25" spans="1:15">
      <c r="A25" s="78" t="str">
        <f>+'Morbidity Distribution'!A39</f>
        <v>80 - 84</v>
      </c>
      <c r="B25" s="154">
        <f t="shared" si="1"/>
        <v>0.44999999999999996</v>
      </c>
      <c r="C25" s="506">
        <v>0.55000000000000004</v>
      </c>
      <c r="D25" s="97">
        <f>+'Distribution by Provider'!I25</f>
        <v>142778</v>
      </c>
      <c r="E25" s="98">
        <f>+'Distribution by Provider'!J25</f>
        <v>25496</v>
      </c>
      <c r="F25" s="99">
        <f>+'Distribution by Provider'!K25</f>
        <v>1700</v>
      </c>
      <c r="G25" s="97">
        <f t="shared" si="2"/>
        <v>64250.099999999991</v>
      </c>
      <c r="H25" s="98">
        <f t="shared" si="3"/>
        <v>11473.199999999999</v>
      </c>
      <c r="I25" s="99">
        <f t="shared" si="4"/>
        <v>764.99999999999989</v>
      </c>
      <c r="J25" s="97">
        <f t="shared" si="5"/>
        <v>78527.900000000009</v>
      </c>
      <c r="K25" s="98">
        <f t="shared" si="6"/>
        <v>14022.800000000001</v>
      </c>
      <c r="L25" s="99">
        <f t="shared" si="7"/>
        <v>935.00000000000011</v>
      </c>
      <c r="N25" s="6"/>
      <c r="O25" s="5"/>
    </row>
    <row r="26" spans="1:15">
      <c r="A26" s="78" t="str">
        <f>+'Morbidity Distribution'!A40</f>
        <v>85+</v>
      </c>
      <c r="B26" s="155">
        <f t="shared" si="1"/>
        <v>0.44999999999999996</v>
      </c>
      <c r="C26" s="507">
        <v>0.55000000000000004</v>
      </c>
      <c r="D26" s="100">
        <f>+'Distribution by Provider'!I26</f>
        <v>124790</v>
      </c>
      <c r="E26" s="32">
        <f>+'Distribution by Provider'!J26</f>
        <v>22284</v>
      </c>
      <c r="F26" s="101">
        <f>+'Distribution by Provider'!K26</f>
        <v>1486</v>
      </c>
      <c r="G26" s="100">
        <f t="shared" si="2"/>
        <v>56155.499999999993</v>
      </c>
      <c r="H26" s="32">
        <f t="shared" si="3"/>
        <v>10027.799999999999</v>
      </c>
      <c r="I26" s="101">
        <f t="shared" si="4"/>
        <v>668.69999999999993</v>
      </c>
      <c r="J26" s="100">
        <f t="shared" si="5"/>
        <v>68634.5</v>
      </c>
      <c r="K26" s="32">
        <f t="shared" si="6"/>
        <v>12256.2</v>
      </c>
      <c r="L26" s="101">
        <f t="shared" si="7"/>
        <v>817.30000000000007</v>
      </c>
      <c r="N26" s="6"/>
      <c r="O26" s="5"/>
    </row>
    <row r="27" spans="1:15">
      <c r="A27" s="78" t="s">
        <v>1</v>
      </c>
      <c r="D27" s="7">
        <f t="shared" ref="D27:L27" si="8">SUM(D9:D26)</f>
        <v>40736086</v>
      </c>
      <c r="E27" s="7">
        <f t="shared" si="8"/>
        <v>39241739</v>
      </c>
      <c r="F27" s="7">
        <f t="shared" si="8"/>
        <v>7912135</v>
      </c>
      <c r="G27" s="7">
        <f t="shared" si="8"/>
        <v>34140870.200000003</v>
      </c>
      <c r="H27" s="7">
        <f t="shared" si="8"/>
        <v>33652190.850000001</v>
      </c>
      <c r="I27" s="7">
        <f t="shared" si="8"/>
        <v>6883944.8000000007</v>
      </c>
      <c r="J27" s="7">
        <f t="shared" si="8"/>
        <v>6595215.7999999998</v>
      </c>
      <c r="K27" s="7">
        <f t="shared" si="8"/>
        <v>5589548.1500000004</v>
      </c>
      <c r="L27" s="7">
        <f t="shared" si="8"/>
        <v>1028190.2</v>
      </c>
    </row>
    <row r="28" spans="1:15">
      <c r="G28" s="7"/>
      <c r="H28" s="7"/>
      <c r="I28" s="7"/>
    </row>
    <row r="29" spans="1:15">
      <c r="C29" s="7"/>
      <c r="F29" s="11"/>
    </row>
    <row r="30" spans="1:15">
      <c r="A30" s="179"/>
      <c r="B30" s="45" t="s">
        <v>9</v>
      </c>
      <c r="C30" s="180"/>
      <c r="D30" s="180"/>
      <c r="E30" s="175"/>
      <c r="F30" s="175"/>
      <c r="G30" s="175"/>
      <c r="H30" s="175"/>
      <c r="I30" s="175"/>
      <c r="J30" s="175"/>
      <c r="K30" s="175"/>
      <c r="L30" s="39"/>
      <c r="M30" s="27"/>
    </row>
    <row r="31" spans="1:15">
      <c r="A31" s="181">
        <v>-1</v>
      </c>
      <c r="B31" s="165" t="s">
        <v>244</v>
      </c>
      <c r="E31" s="374">
        <f>+A35-1</f>
        <v>-6</v>
      </c>
      <c r="F31" s="165" t="s">
        <v>248</v>
      </c>
      <c r="G31" s="181">
        <f>+E33-1</f>
        <v>-9</v>
      </c>
      <c r="H31" s="165" t="s">
        <v>251</v>
      </c>
    </row>
    <row r="32" spans="1:15">
      <c r="A32" s="181">
        <f>+A31-1</f>
        <v>-2</v>
      </c>
      <c r="B32" s="165" t="s">
        <v>233</v>
      </c>
      <c r="E32" s="181">
        <f>+E31-1</f>
        <v>-7</v>
      </c>
      <c r="F32" s="165" t="s">
        <v>249</v>
      </c>
      <c r="G32" s="181">
        <f>+G31-1</f>
        <v>-10</v>
      </c>
      <c r="H32" s="165" t="s">
        <v>252</v>
      </c>
    </row>
    <row r="33" spans="1:9">
      <c r="A33" s="181">
        <f>+A32-1</f>
        <v>-3</v>
      </c>
      <c r="B33" s="165" t="s">
        <v>245</v>
      </c>
      <c r="E33" s="181">
        <f>+E32-1</f>
        <v>-8</v>
      </c>
      <c r="F33" s="165" t="s">
        <v>250</v>
      </c>
      <c r="G33" s="181">
        <f>+G32-1</f>
        <v>-11</v>
      </c>
      <c r="H33" s="165" t="s">
        <v>253</v>
      </c>
    </row>
    <row r="34" spans="1:9">
      <c r="A34" s="181">
        <f>+A33-1</f>
        <v>-4</v>
      </c>
      <c r="B34" s="165" t="s">
        <v>246</v>
      </c>
      <c r="G34" s="7"/>
      <c r="H34" s="7"/>
      <c r="I34" s="7"/>
    </row>
    <row r="35" spans="1:9">
      <c r="A35" s="181">
        <f>+A34-1</f>
        <v>-5</v>
      </c>
      <c r="B35" s="165" t="s">
        <v>247</v>
      </c>
      <c r="G35" s="7"/>
      <c r="H35" s="7"/>
      <c r="I35" s="7"/>
    </row>
    <row r="36" spans="1:9">
      <c r="G36" s="7"/>
      <c r="H36" s="7"/>
      <c r="I36" s="7"/>
    </row>
    <row r="37" spans="1:9">
      <c r="G37" s="7"/>
      <c r="H37" s="7"/>
      <c r="I37" s="7"/>
    </row>
    <row r="38" spans="1:9">
      <c r="G38" s="7"/>
      <c r="H38" s="7"/>
      <c r="I38" s="7"/>
    </row>
    <row r="39" spans="1:9">
      <c r="G39" s="7"/>
      <c r="H39" s="7"/>
      <c r="I39" s="7"/>
    </row>
    <row r="40" spans="1:9">
      <c r="G40" s="7"/>
      <c r="H40" s="7"/>
      <c r="I40" s="7"/>
    </row>
  </sheetData>
  <phoneticPr fontId="0" type="noConversion"/>
  <pageMargins left="0.5" right="0.5" top="0.75" bottom="0.75" header="0.5" footer="0.35"/>
  <pageSetup scale="95" orientation="landscape" r:id="rId1"/>
  <headerFooter alignWithMargins="0">
    <oddFooter>&amp;L&amp;8&amp;F 
&amp;A&amp;C&amp;8MBA Actuaries, Inc.&amp;R&amp;8&amp;D 
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23"/>
  <sheetViews>
    <sheetView workbookViewId="0">
      <selection activeCell="D4" sqref="D4"/>
    </sheetView>
  </sheetViews>
  <sheetFormatPr defaultRowHeight="12.75"/>
  <cols>
    <col min="1" max="16384" width="9.140625" style="274"/>
  </cols>
  <sheetData>
    <row r="23" spans="1:1">
      <c r="A23" s="275"/>
    </row>
  </sheetData>
  <pageMargins left="0.5" right="0.5" top="0.75" bottom="0.75" header="0.5" footer="0.35"/>
  <pageSetup orientation="portrait" r:id="rId1"/>
  <headerFooter alignWithMargins="0">
    <oddFooter>&amp;L&amp;8&amp;F 
&amp;A&amp;C&amp;8MBA Actuaries, Inc.&amp;R&amp;8&amp;D 
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tabColor theme="9" tint="0.39997558519241921"/>
    <pageSetUpPr fitToPage="1"/>
  </sheetPr>
  <dimension ref="A1:N57"/>
  <sheetViews>
    <sheetView topLeftCell="A38" zoomScaleNormal="100" workbookViewId="0">
      <selection activeCell="D65" sqref="D65"/>
    </sheetView>
  </sheetViews>
  <sheetFormatPr defaultRowHeight="12.75"/>
  <cols>
    <col min="1" max="1" width="6" style="3" customWidth="1"/>
    <col min="2" max="2" width="2.5703125" style="3" customWidth="1"/>
    <col min="3" max="3" width="20" style="3" customWidth="1"/>
    <col min="4" max="4" width="12.85546875" style="3" bestFit="1" customWidth="1"/>
    <col min="5" max="7" width="12.7109375" style="3" customWidth="1"/>
    <col min="8" max="9" width="9.7109375" style="197" customWidth="1"/>
    <col min="10" max="10" width="1.5703125" style="27" customWidth="1"/>
    <col min="11" max="11" width="16.28515625" style="3" customWidth="1"/>
    <col min="12" max="12" width="10.28515625" style="3" bestFit="1" customWidth="1"/>
    <col min="13" max="16384" width="9.140625" style="3"/>
  </cols>
  <sheetData>
    <row r="1" spans="1:12">
      <c r="A1" s="446" t="str">
        <f>scenario</f>
        <v>Severe Scenario, V\ Curve</v>
      </c>
      <c r="J1" s="164" t="s">
        <v>404</v>
      </c>
    </row>
    <row r="2" spans="1:12">
      <c r="I2" s="239"/>
      <c r="J2" s="179"/>
    </row>
    <row r="3" spans="1:12" ht="18">
      <c r="A3" s="36" t="s">
        <v>130</v>
      </c>
      <c r="B3" s="28"/>
      <c r="C3" s="36"/>
      <c r="D3" s="36"/>
      <c r="E3" s="36"/>
      <c r="F3" s="36"/>
      <c r="G3" s="36"/>
      <c r="H3" s="240"/>
      <c r="I3" s="240"/>
      <c r="J3" s="3"/>
    </row>
    <row r="4" spans="1:12" ht="18">
      <c r="A4" s="128" t="s">
        <v>136</v>
      </c>
      <c r="B4" s="28"/>
      <c r="C4" s="28"/>
      <c r="D4" s="36"/>
      <c r="E4" s="36"/>
      <c r="F4" s="36"/>
      <c r="G4" s="36"/>
      <c r="H4" s="240"/>
      <c r="I4" s="240"/>
      <c r="J4" s="3"/>
    </row>
    <row r="5" spans="1:12" ht="12.75" customHeight="1">
      <c r="B5" s="36"/>
      <c r="C5" s="36"/>
      <c r="D5" s="36"/>
      <c r="E5" s="36"/>
      <c r="F5" s="36"/>
      <c r="G5" s="36"/>
      <c r="H5" s="240"/>
      <c r="I5" s="240"/>
      <c r="J5" s="191"/>
    </row>
    <row r="6" spans="1:12" ht="15.75">
      <c r="C6" s="55" t="s">
        <v>81</v>
      </c>
      <c r="D6" s="80"/>
      <c r="H6" s="529" t="s">
        <v>129</v>
      </c>
      <c r="I6" s="530"/>
    </row>
    <row r="7" spans="1:12" ht="5.0999999999999996" customHeight="1">
      <c r="C7" s="164"/>
      <c r="D7" s="80"/>
      <c r="H7" s="241"/>
      <c r="I7" s="242"/>
    </row>
    <row r="8" spans="1:12">
      <c r="C8" s="164" t="s">
        <v>80</v>
      </c>
      <c r="D8" s="168" t="s">
        <v>4</v>
      </c>
      <c r="E8" s="206" t="str">
        <f>+Scenario!D10</f>
        <v>Seasonal</v>
      </c>
      <c r="F8" s="206" t="str">
        <f>+Scenario!E10</f>
        <v>Moderate</v>
      </c>
      <c r="G8" s="206" t="str">
        <f>+Scenario!F10</f>
        <v>Severe</v>
      </c>
      <c r="H8" s="243" t="s">
        <v>6</v>
      </c>
      <c r="I8" s="244" t="s">
        <v>5</v>
      </c>
    </row>
    <row r="9" spans="1:12">
      <c r="A9" s="181">
        <v>-1</v>
      </c>
      <c r="C9" s="166" t="s">
        <v>78</v>
      </c>
      <c r="D9" s="157">
        <f>IF(Severity="Seasonal",E9,IF(Severity="Moderate",F9,IF(Severity="Severe",G9,"N/A")))</f>
        <v>1183750</v>
      </c>
      <c r="E9" s="409">
        <v>947000</v>
      </c>
      <c r="F9" s="98">
        <f>E9*H9</f>
        <v>1041700.0000000001</v>
      </c>
      <c r="G9" s="98">
        <f>E9*I9</f>
        <v>1183750</v>
      </c>
      <c r="H9" s="414">
        <v>1.1000000000000001</v>
      </c>
      <c r="I9" s="415">
        <v>1.25</v>
      </c>
      <c r="J9" s="174"/>
      <c r="K9" s="40"/>
    </row>
    <row r="10" spans="1:12">
      <c r="A10" s="374">
        <f>+A9-1</f>
        <v>-2</v>
      </c>
      <c r="C10" s="166" t="s">
        <v>255</v>
      </c>
      <c r="D10" s="157">
        <f>IF(Severity="Seasonal",E10,IF(Severity="Moderate",F10,IF(Severity="Severe",G10,"N/A")))</f>
        <v>99000.000000000015</v>
      </c>
      <c r="E10" s="410">
        <v>90000</v>
      </c>
      <c r="F10" s="98">
        <f>E10*H10</f>
        <v>94500</v>
      </c>
      <c r="G10" s="98">
        <f>E10*I10</f>
        <v>99000.000000000015</v>
      </c>
      <c r="H10" s="414">
        <v>1.05</v>
      </c>
      <c r="I10" s="415">
        <v>1.1000000000000001</v>
      </c>
      <c r="J10" s="174"/>
      <c r="K10" s="40"/>
    </row>
    <row r="11" spans="1:12">
      <c r="A11" s="374">
        <f>+A10-1</f>
        <v>-3</v>
      </c>
      <c r="C11" s="166" t="s">
        <v>82</v>
      </c>
      <c r="D11" s="157">
        <f>IF(Severity="Seasonal",E11,IF(Severity="Moderate",F11,IF(Severity="Severe",G11,"N/A")))</f>
        <v>1084750</v>
      </c>
      <c r="E11" s="35">
        <f>+E9-E10</f>
        <v>857000</v>
      </c>
      <c r="F11" s="98">
        <f>+F9-F10</f>
        <v>947200.00000000012</v>
      </c>
      <c r="G11" s="98">
        <f>+G9-G10</f>
        <v>1084750</v>
      </c>
      <c r="H11" s="378"/>
      <c r="I11" s="379"/>
    </row>
    <row r="12" spans="1:12">
      <c r="A12" s="383">
        <f>+A11-1</f>
        <v>-4</v>
      </c>
      <c r="C12" s="166" t="s">
        <v>83</v>
      </c>
      <c r="D12" s="157">
        <f>IF(Severity="Seasonal",E12,IF(Severity="Moderate",F12,IF(Severity="Severe",G12,"N/A")))</f>
        <v>110000</v>
      </c>
      <c r="E12" s="410">
        <f>110000</f>
        <v>110000</v>
      </c>
      <c r="F12" s="98">
        <f>+E12</f>
        <v>110000</v>
      </c>
      <c r="G12" s="98">
        <f>+F12</f>
        <v>110000</v>
      </c>
      <c r="H12" s="378"/>
      <c r="I12" s="379"/>
      <c r="K12" s="40"/>
      <c r="L12" s="173"/>
    </row>
    <row r="13" spans="1:12" ht="5.0999999999999996" customHeight="1">
      <c r="C13" s="166"/>
      <c r="D13" s="118"/>
      <c r="E13" s="56"/>
      <c r="F13" s="98"/>
      <c r="G13" s="98"/>
      <c r="H13" s="378"/>
      <c r="I13" s="379"/>
      <c r="K13" s="40"/>
    </row>
    <row r="14" spans="1:12" ht="12.75" customHeight="1">
      <c r="C14" s="164" t="s">
        <v>87</v>
      </c>
      <c r="D14" s="118"/>
      <c r="E14" s="56"/>
      <c r="F14" s="98"/>
      <c r="G14" s="98"/>
      <c r="H14" s="378"/>
      <c r="I14" s="379"/>
      <c r="K14" s="40"/>
    </row>
    <row r="15" spans="1:12">
      <c r="A15" s="383">
        <f>+A12-1</f>
        <v>-5</v>
      </c>
      <c r="C15" s="169" t="s">
        <v>88</v>
      </c>
      <c r="D15" s="157">
        <f>IF(Severity="Seasonal",E15,IF(Severity="Moderate",F15,IF(Severity="Severe",G15,"N/A")))</f>
        <v>522400</v>
      </c>
      <c r="E15" s="409">
        <v>653000</v>
      </c>
      <c r="F15" s="98">
        <f>E15*H15</f>
        <v>620350</v>
      </c>
      <c r="G15" s="98">
        <f>E15*I15</f>
        <v>522400</v>
      </c>
      <c r="H15" s="416">
        <v>0.95</v>
      </c>
      <c r="I15" s="417">
        <v>0.8</v>
      </c>
      <c r="J15" s="170"/>
      <c r="K15" s="353"/>
      <c r="L15" s="27"/>
    </row>
    <row r="16" spans="1:12">
      <c r="A16" s="383">
        <f>+A15-1</f>
        <v>-6</v>
      </c>
      <c r="C16" s="166" t="s">
        <v>84</v>
      </c>
      <c r="D16" s="157">
        <f>IF(Severity="Seasonal",E16,IF(Severity="Moderate",F16,IF(Severity="Severe",G16,"N/A")))</f>
        <v>60750</v>
      </c>
      <c r="E16" s="282">
        <f>+E10*0.75</f>
        <v>67500</v>
      </c>
      <c r="F16" s="98">
        <f>E16*H16</f>
        <v>64125</v>
      </c>
      <c r="G16" s="98">
        <f>E16*I16</f>
        <v>60750</v>
      </c>
      <c r="H16" s="416">
        <v>0.95</v>
      </c>
      <c r="I16" s="417">
        <v>0.9</v>
      </c>
      <c r="J16" s="170"/>
      <c r="K16" s="167"/>
    </row>
    <row r="17" spans="1:11">
      <c r="A17" s="383">
        <f>+A16-1</f>
        <v>-7</v>
      </c>
      <c r="B17" s="33"/>
      <c r="C17" s="169" t="s">
        <v>85</v>
      </c>
      <c r="D17" s="157">
        <f>IF(Severity="Seasonal",E17,IF(Severity="Moderate",F17,IF(Severity="Severe",G17,"N/A")))</f>
        <v>461650</v>
      </c>
      <c r="E17" s="171">
        <f>+E15-E16</f>
        <v>585500</v>
      </c>
      <c r="F17" s="98">
        <f>+F15-F16</f>
        <v>556225</v>
      </c>
      <c r="G17" s="144">
        <f>+G15-G16</f>
        <v>461650</v>
      </c>
      <c r="H17" s="380"/>
      <c r="I17" s="381"/>
      <c r="J17" s="170"/>
    </row>
    <row r="18" spans="1:11">
      <c r="A18" s="383">
        <f>+A17-1</f>
        <v>-8</v>
      </c>
      <c r="C18" s="166" t="s">
        <v>86</v>
      </c>
      <c r="D18" s="157">
        <f>IF(Severity="Seasonal",E18,IF(Severity="Moderate",F18,IF(Severity="Severe",G18,"N/A")))</f>
        <v>76500</v>
      </c>
      <c r="E18" s="411">
        <v>85000</v>
      </c>
      <c r="F18" s="98">
        <f>E18*H18</f>
        <v>80750</v>
      </c>
      <c r="G18" s="98">
        <f>E18*I18</f>
        <v>76500</v>
      </c>
      <c r="H18" s="416">
        <v>0.95</v>
      </c>
      <c r="I18" s="417">
        <v>0.9</v>
      </c>
      <c r="J18" s="170"/>
      <c r="K18" s="167"/>
    </row>
    <row r="19" spans="1:11" ht="5.0999999999999996" customHeight="1">
      <c r="B19" s="33"/>
      <c r="C19" s="169"/>
      <c r="D19" s="157"/>
      <c r="E19" s="171"/>
      <c r="F19" s="98"/>
      <c r="G19" s="144"/>
      <c r="H19" s="380"/>
      <c r="I19" s="381"/>
      <c r="J19" s="170"/>
    </row>
    <row r="20" spans="1:11">
      <c r="C20" s="164" t="s">
        <v>391</v>
      </c>
      <c r="E20" s="33"/>
      <c r="F20" s="33"/>
      <c r="G20" s="33"/>
      <c r="H20" s="378"/>
      <c r="I20" s="379"/>
    </row>
    <row r="21" spans="1:11">
      <c r="A21" s="383">
        <f>+A18-1</f>
        <v>-9</v>
      </c>
      <c r="C21" s="166" t="s">
        <v>92</v>
      </c>
      <c r="D21" s="157">
        <f>IF(Severity="Seasonal",E21,IF(Severity="Moderate",F21,IF(Severity="Severe",G21,"N/A")))</f>
        <v>661350</v>
      </c>
      <c r="E21" s="144">
        <f t="shared" ref="E21:G24" si="0">+E9-E15</f>
        <v>294000</v>
      </c>
      <c r="F21" s="144">
        <f t="shared" si="0"/>
        <v>421350.00000000012</v>
      </c>
      <c r="G21" s="144">
        <f t="shared" si="0"/>
        <v>661350</v>
      </c>
      <c r="H21" s="378"/>
      <c r="I21" s="379"/>
    </row>
    <row r="22" spans="1:11">
      <c r="A22" s="383">
        <f>+A21-1</f>
        <v>-10</v>
      </c>
      <c r="C22" s="223" t="s">
        <v>256</v>
      </c>
      <c r="D22" s="157">
        <f>IF(Severity="Seasonal",E22,IF(Severity="Moderate",F22,IF(Severity="Severe",G22,"N/A")))</f>
        <v>38250.000000000015</v>
      </c>
      <c r="E22" s="245">
        <f t="shared" si="0"/>
        <v>22500</v>
      </c>
      <c r="F22" s="245">
        <f t="shared" si="0"/>
        <v>30375</v>
      </c>
      <c r="G22" s="245">
        <f t="shared" si="0"/>
        <v>38250.000000000015</v>
      </c>
      <c r="H22" s="378"/>
      <c r="I22" s="379"/>
    </row>
    <row r="23" spans="1:11">
      <c r="A23" s="383">
        <f>+A22-1</f>
        <v>-11</v>
      </c>
      <c r="C23" s="169" t="s">
        <v>93</v>
      </c>
      <c r="D23" s="157">
        <f>IF(Severity="Seasonal",E23,IF(Severity="Moderate",F23,IF(Severity="Severe",G23,"N/A")))</f>
        <v>623100</v>
      </c>
      <c r="E23" s="144">
        <f t="shared" si="0"/>
        <v>271500</v>
      </c>
      <c r="F23" s="144">
        <f t="shared" si="0"/>
        <v>390975.00000000012</v>
      </c>
      <c r="G23" s="144">
        <f t="shared" si="0"/>
        <v>623100</v>
      </c>
      <c r="H23" s="378"/>
      <c r="I23" s="379"/>
    </row>
    <row r="24" spans="1:11">
      <c r="A24" s="383">
        <f>+A23-1</f>
        <v>-12</v>
      </c>
      <c r="C24" s="166" t="s">
        <v>94</v>
      </c>
      <c r="D24" s="157">
        <f>IF(Severity="Seasonal",E24,IF(Severity="Moderate",F24,IF(Severity="Severe",G24,"N/A")))</f>
        <v>33500</v>
      </c>
      <c r="E24" s="144">
        <f t="shared" si="0"/>
        <v>25000</v>
      </c>
      <c r="F24" s="144">
        <f t="shared" si="0"/>
        <v>29250</v>
      </c>
      <c r="G24" s="144">
        <f t="shared" si="0"/>
        <v>33500</v>
      </c>
      <c r="H24" s="378"/>
      <c r="I24" s="379"/>
    </row>
    <row r="25" spans="1:11">
      <c r="A25" s="165"/>
      <c r="C25" s="166"/>
      <c r="D25" s="157"/>
      <c r="E25" s="144"/>
      <c r="F25" s="144"/>
      <c r="G25" s="144"/>
      <c r="H25" s="378"/>
      <c r="I25" s="379"/>
    </row>
    <row r="26" spans="1:11" ht="15.75">
      <c r="C26" s="55" t="s">
        <v>89</v>
      </c>
      <c r="E26" s="33"/>
      <c r="F26" s="33"/>
      <c r="G26" s="33"/>
      <c r="H26" s="378"/>
      <c r="I26" s="379"/>
    </row>
    <row r="27" spans="1:11" ht="5.0999999999999996" customHeight="1">
      <c r="C27" s="55"/>
      <c r="E27" s="33"/>
      <c r="F27" s="33"/>
      <c r="G27" s="259"/>
      <c r="H27" s="378"/>
      <c r="I27" s="379"/>
    </row>
    <row r="28" spans="1:11">
      <c r="A28" s="374">
        <f>+A24-1</f>
        <v>-13</v>
      </c>
      <c r="C28" s="9" t="s">
        <v>39</v>
      </c>
      <c r="D28" s="98">
        <f>IF(Severity="Seasonal",E28,IF(Severity="Moderate",F28,IF(Severity="Severe",G28,"N/A")))</f>
        <v>225000</v>
      </c>
      <c r="E28" s="409">
        <f>(115000+110000)</f>
        <v>225000</v>
      </c>
      <c r="F28" s="98">
        <f>E28*H28</f>
        <v>247500.00000000003</v>
      </c>
      <c r="G28" s="98">
        <f>E28*I28</f>
        <v>225000</v>
      </c>
      <c r="H28" s="414">
        <v>1.1000000000000001</v>
      </c>
      <c r="I28" s="415">
        <v>1</v>
      </c>
      <c r="J28" s="174"/>
      <c r="K28" s="40"/>
    </row>
    <row r="29" spans="1:11">
      <c r="A29" s="383">
        <f>+A28-1</f>
        <v>-14</v>
      </c>
      <c r="C29" s="166" t="s">
        <v>90</v>
      </c>
      <c r="D29" s="246">
        <f>IF(Severity="Seasonal",E29,IF(Severity="Moderate",F29,IF(Severity="Severe",G29,"N/A")))</f>
        <v>0.19</v>
      </c>
      <c r="E29" s="246">
        <f>ROUND(E28/E9,2)</f>
        <v>0.24</v>
      </c>
      <c r="F29" s="246">
        <f>ROUND(F28/F9,2)</f>
        <v>0.24</v>
      </c>
      <c r="G29" s="246">
        <f>ROUND(G28/G9,2)</f>
        <v>0.19</v>
      </c>
      <c r="H29" s="376"/>
      <c r="I29" s="377"/>
      <c r="J29" s="174"/>
      <c r="K29" s="40"/>
    </row>
    <row r="30" spans="1:11">
      <c r="A30" s="383">
        <f>+A29-1</f>
        <v>-15</v>
      </c>
      <c r="C30" s="9" t="s">
        <v>40</v>
      </c>
      <c r="D30" s="98">
        <f>IF(Severity="Seasonal",E30,IF(Severity="Moderate",F30,IF(Severity="Severe",G30,"N/A")))</f>
        <v>1370000</v>
      </c>
      <c r="E30" s="409">
        <f>(140000+1230000)</f>
        <v>1370000</v>
      </c>
      <c r="F30" s="98">
        <f>E30*H30</f>
        <v>1507000.0000000002</v>
      </c>
      <c r="G30" s="98">
        <f>E30*I30</f>
        <v>1370000</v>
      </c>
      <c r="H30" s="414">
        <v>1.1000000000000001</v>
      </c>
      <c r="I30" s="415">
        <v>1</v>
      </c>
      <c r="J30" s="174"/>
      <c r="K30" s="40"/>
    </row>
    <row r="31" spans="1:11">
      <c r="A31" s="383">
        <f>+A30-1</f>
        <v>-16</v>
      </c>
      <c r="C31" s="166" t="s">
        <v>91</v>
      </c>
      <c r="D31" s="246">
        <f>IF(Severity="Seasonal",E31,IF(Severity="Moderate",F31,IF(Severity="Severe",G31,"N/A")))</f>
        <v>1.1599999999999999</v>
      </c>
      <c r="E31" s="246">
        <f>ROUND(E30/E9,2)</f>
        <v>1.45</v>
      </c>
      <c r="F31" s="246">
        <f>ROUND(F30/F9,2)</f>
        <v>1.45</v>
      </c>
      <c r="G31" s="246">
        <f>ROUND(G30/G9,2)</f>
        <v>1.1599999999999999</v>
      </c>
      <c r="H31" s="376"/>
      <c r="I31" s="377"/>
      <c r="J31" s="174"/>
    </row>
    <row r="32" spans="1:11">
      <c r="A32" s="446"/>
      <c r="H32" s="378"/>
      <c r="I32" s="379"/>
      <c r="J32" s="164"/>
      <c r="K32" s="40"/>
    </row>
    <row r="33" spans="1:14" ht="15.75">
      <c r="C33" s="55" t="s">
        <v>95</v>
      </c>
      <c r="E33" s="33"/>
      <c r="F33" s="33"/>
      <c r="G33" s="33"/>
      <c r="H33" s="378"/>
      <c r="I33" s="379"/>
    </row>
    <row r="34" spans="1:14" ht="5.0999999999999996" customHeight="1">
      <c r="E34" s="33"/>
      <c r="F34" s="33"/>
      <c r="G34" s="33"/>
      <c r="H34" s="378"/>
      <c r="I34" s="379"/>
    </row>
    <row r="35" spans="1:14">
      <c r="A35" s="374">
        <f>+A31-1</f>
        <v>-17</v>
      </c>
      <c r="C35" s="166" t="s">
        <v>265</v>
      </c>
      <c r="D35" s="247">
        <f>IF(Severity="Seasonal",E35,IF(Severity="Moderate",F35,IF(Severity="Severe",G35,"N/A")))</f>
        <v>4</v>
      </c>
      <c r="E35" s="412">
        <v>5</v>
      </c>
      <c r="F35" s="247">
        <f t="shared" ref="F35:G37" si="1">+$E35*H35</f>
        <v>5</v>
      </c>
      <c r="G35" s="261">
        <f t="shared" si="1"/>
        <v>4</v>
      </c>
      <c r="H35" s="414">
        <v>1</v>
      </c>
      <c r="I35" s="415">
        <v>0.8</v>
      </c>
      <c r="J35" s="174"/>
      <c r="K35" s="352"/>
      <c r="L35" s="27"/>
      <c r="M35" s="27"/>
      <c r="N35" s="27"/>
    </row>
    <row r="36" spans="1:14">
      <c r="A36" s="383">
        <f>+A35-1</f>
        <v>-18</v>
      </c>
      <c r="C36" s="166" t="s">
        <v>266</v>
      </c>
      <c r="D36" s="247">
        <f>IF(Severity="Seasonal",E36,IF(Severity="Moderate",F36,IF(Severity="Severe",G36,"N/A")))</f>
        <v>8</v>
      </c>
      <c r="E36" s="412">
        <v>10</v>
      </c>
      <c r="F36" s="247">
        <f t="shared" si="1"/>
        <v>10</v>
      </c>
      <c r="G36" s="261">
        <f t="shared" si="1"/>
        <v>8</v>
      </c>
      <c r="H36" s="414">
        <v>1</v>
      </c>
      <c r="I36" s="415">
        <v>0.8</v>
      </c>
      <c r="J36" s="174"/>
      <c r="K36" s="165"/>
    </row>
    <row r="37" spans="1:14">
      <c r="A37" s="383">
        <f>+A36-1</f>
        <v>-19</v>
      </c>
      <c r="C37" s="166" t="s">
        <v>96</v>
      </c>
      <c r="D37" s="247">
        <f>IF(Severity="Seasonal",E37,IF(Severity="Moderate",F37,IF(Severity="Severe",G37,"N/A")))</f>
        <v>8</v>
      </c>
      <c r="E37" s="412">
        <v>10</v>
      </c>
      <c r="F37" s="247">
        <f t="shared" si="1"/>
        <v>10</v>
      </c>
      <c r="G37" s="261">
        <f t="shared" si="1"/>
        <v>8</v>
      </c>
      <c r="H37" s="414">
        <v>1</v>
      </c>
      <c r="I37" s="415">
        <v>0.8</v>
      </c>
      <c r="J37" s="174"/>
    </row>
    <row r="38" spans="1:14">
      <c r="A38" s="383">
        <f>+A37-1</f>
        <v>-20</v>
      </c>
      <c r="C38" s="166" t="s">
        <v>267</v>
      </c>
      <c r="D38" s="344">
        <f>IF(Severity="Seasonal",E38,IF(Severity="Moderate",F38,IF(Severity="Severe",G38,"N/A")))</f>
        <v>0.5</v>
      </c>
      <c r="E38" s="413">
        <v>0</v>
      </c>
      <c r="F38" s="413">
        <v>0.1</v>
      </c>
      <c r="G38" s="413">
        <v>0.5</v>
      </c>
      <c r="H38" s="376"/>
      <c r="I38" s="377"/>
      <c r="J38" s="174"/>
    </row>
    <row r="39" spans="1:14">
      <c r="C39" s="166"/>
      <c r="D39" s="158"/>
      <c r="E39" s="260"/>
      <c r="F39" s="248"/>
      <c r="G39" s="262"/>
      <c r="H39" s="376"/>
      <c r="I39" s="377"/>
      <c r="J39" s="174"/>
    </row>
    <row r="40" spans="1:14">
      <c r="A40" s="383">
        <f>A38-1</f>
        <v>-21</v>
      </c>
      <c r="C40" s="166" t="s">
        <v>102</v>
      </c>
      <c r="D40" s="445">
        <f>IF(Severity="Seasonal",E40,IF(Severity="Moderate",F40,IF(Severity="Severe",G40,"N/A")))</f>
        <v>0.15</v>
      </c>
      <c r="E40" s="418">
        <v>7.4999999999999997E-2</v>
      </c>
      <c r="F40" s="418">
        <v>0.15</v>
      </c>
      <c r="G40" s="418">
        <v>0.15</v>
      </c>
      <c r="H40" s="376"/>
      <c r="I40" s="377"/>
      <c r="J40" s="174"/>
      <c r="K40" s="40"/>
    </row>
    <row r="41" spans="1:14">
      <c r="A41" s="383">
        <f>+A40-1</f>
        <v>-22</v>
      </c>
      <c r="C41" s="166" t="s">
        <v>103</v>
      </c>
      <c r="D41" s="445">
        <f>IF(Severity="Seasonal",E41,IF(Severity="Moderate",F41,IF(Severity="Severe",G41,"N/A")))</f>
        <v>0.15</v>
      </c>
      <c r="E41" s="445">
        <f t="shared" ref="E41:G41" si="2">+E40</f>
        <v>7.4999999999999997E-2</v>
      </c>
      <c r="F41" s="445">
        <f t="shared" si="2"/>
        <v>0.15</v>
      </c>
      <c r="G41" s="445">
        <f t="shared" si="2"/>
        <v>0.15</v>
      </c>
      <c r="H41" s="376"/>
      <c r="I41" s="377"/>
      <c r="J41" s="174"/>
    </row>
    <row r="42" spans="1:14">
      <c r="A42" s="383">
        <f>+A41-1</f>
        <v>-23</v>
      </c>
      <c r="C42" s="166" t="s">
        <v>97</v>
      </c>
      <c r="D42" s="344">
        <f>IF(Severity="Seasonal",E42,IF(Severity="Moderate",F42,IF(Severity="Severe",G42,"N/A")))</f>
        <v>0.85</v>
      </c>
      <c r="E42" s="413">
        <v>1</v>
      </c>
      <c r="F42" s="344">
        <f>+$E42*H42</f>
        <v>0.95</v>
      </c>
      <c r="G42" s="344">
        <f>+$E42*I42</f>
        <v>0.85</v>
      </c>
      <c r="H42" s="414">
        <v>0.95</v>
      </c>
      <c r="I42" s="415">
        <v>0.85</v>
      </c>
      <c r="K42" s="352"/>
      <c r="L42" s="27"/>
    </row>
    <row r="43" spans="1:14">
      <c r="A43" s="446"/>
      <c r="H43" s="378"/>
      <c r="I43" s="379"/>
      <c r="J43" s="164"/>
      <c r="K43" s="40"/>
    </row>
    <row r="44" spans="1:14" ht="15.75">
      <c r="C44" s="55" t="s">
        <v>137</v>
      </c>
      <c r="E44" s="33"/>
      <c r="F44" s="33"/>
      <c r="G44" s="33"/>
      <c r="H44" s="378"/>
      <c r="I44" s="379"/>
      <c r="J44" s="3"/>
    </row>
    <row r="45" spans="1:14" ht="5.0999999999999996" customHeight="1">
      <c r="C45" s="55"/>
      <c r="E45" s="33"/>
      <c r="F45" s="33"/>
      <c r="G45" s="259"/>
      <c r="H45" s="378"/>
      <c r="I45" s="379"/>
      <c r="J45" s="3"/>
    </row>
    <row r="46" spans="1:14">
      <c r="A46" s="383">
        <f>+A42-1</f>
        <v>-24</v>
      </c>
      <c r="C46" s="166" t="s">
        <v>90</v>
      </c>
      <c r="D46" s="246">
        <f>IF(Severity="Seasonal",E46,IF(Severity="Moderate",F46,IF(Severity="Severe",G46,"N/A")))</f>
        <v>0.04</v>
      </c>
      <c r="E46" s="246">
        <f>+'Provider Scenario'!E29</f>
        <v>0.24</v>
      </c>
      <c r="F46" s="246">
        <f>ROUND('Provider Scenario'!F29*H46,2)</f>
        <v>7.0000000000000007E-2</v>
      </c>
      <c r="G46" s="246">
        <f>ROUND('Provider Scenario'!G29*I46,2)</f>
        <v>0.04</v>
      </c>
      <c r="H46" s="414">
        <v>0.3</v>
      </c>
      <c r="I46" s="415">
        <v>0.2</v>
      </c>
      <c r="J46" s="3"/>
      <c r="K46" s="40"/>
    </row>
    <row r="47" spans="1:14">
      <c r="A47" s="383">
        <f>+A46-1</f>
        <v>-25</v>
      </c>
      <c r="C47" s="166" t="s">
        <v>91</v>
      </c>
      <c r="D47" s="246">
        <f>IF(Severity="Seasonal",E47,IF(Severity="Moderate",F47,IF(Severity="Severe",G47,"N/A")))</f>
        <v>0.46</v>
      </c>
      <c r="E47" s="246">
        <f>+'Provider Scenario'!E31</f>
        <v>1.45</v>
      </c>
      <c r="F47" s="246">
        <f>ROUND('Provider Scenario'!F31*H47,2)</f>
        <v>0.87</v>
      </c>
      <c r="G47" s="246">
        <f>ROUND('Provider Scenario'!G31*I47,2)</f>
        <v>0.46</v>
      </c>
      <c r="H47" s="414">
        <v>0.6</v>
      </c>
      <c r="I47" s="415">
        <v>0.4</v>
      </c>
      <c r="J47" s="3"/>
      <c r="K47" s="40"/>
    </row>
    <row r="48" spans="1:14">
      <c r="A48" s="383">
        <f>+A47-1</f>
        <v>-26</v>
      </c>
      <c r="C48" s="166" t="s">
        <v>138</v>
      </c>
      <c r="D48" s="249">
        <f>IF(Severity="Seasonal",E48,IF(Severity="Moderate",F48,IF(Severity="Severe",G48,"N/A")))</f>
        <v>5</v>
      </c>
      <c r="E48" s="249">
        <f>+E35</f>
        <v>5</v>
      </c>
      <c r="F48" s="249">
        <f>+$E48*H48</f>
        <v>5</v>
      </c>
      <c r="G48" s="249">
        <f>+$E48*I48</f>
        <v>5</v>
      </c>
      <c r="H48" s="414">
        <v>1</v>
      </c>
      <c r="I48" s="415">
        <v>1</v>
      </c>
      <c r="J48" s="3"/>
      <c r="K48" s="40"/>
    </row>
    <row r="49" spans="1:11">
      <c r="A49" s="383">
        <f>+A48-1</f>
        <v>-27</v>
      </c>
      <c r="C49" s="166" t="s">
        <v>142</v>
      </c>
      <c r="D49" s="282">
        <f>IF(Severity="Seasonal",E49,IF(Severity="Moderate",F49,IF(Severity="Severe",G49,"N/A")))</f>
        <v>500</v>
      </c>
      <c r="E49" s="411">
        <v>500</v>
      </c>
      <c r="F49" s="282">
        <f>+$E49*H49</f>
        <v>500</v>
      </c>
      <c r="G49" s="282">
        <f>+$E49*I49</f>
        <v>500</v>
      </c>
      <c r="H49" s="414">
        <v>1</v>
      </c>
      <c r="I49" s="415">
        <v>1</v>
      </c>
      <c r="J49" s="3"/>
      <c r="K49" s="40"/>
    </row>
    <row r="50" spans="1:11">
      <c r="E50" s="33"/>
      <c r="F50" s="33"/>
      <c r="G50" s="33"/>
      <c r="H50" s="378"/>
      <c r="I50" s="379"/>
    </row>
    <row r="51" spans="1:11" ht="15.75">
      <c r="C51" s="55" t="s">
        <v>131</v>
      </c>
      <c r="E51" s="33"/>
      <c r="F51" s="33"/>
      <c r="G51" s="33"/>
      <c r="H51" s="378"/>
      <c r="I51" s="379"/>
    </row>
    <row r="52" spans="1:11" ht="5.0999999999999996" customHeight="1">
      <c r="C52" s="55"/>
      <c r="E52" s="33"/>
      <c r="F52" s="33"/>
      <c r="G52" s="33"/>
      <c r="H52" s="378"/>
      <c r="I52" s="379"/>
    </row>
    <row r="53" spans="1:11">
      <c r="A53" s="383">
        <f>+A49-1</f>
        <v>-28</v>
      </c>
      <c r="C53" s="209" t="s">
        <v>132</v>
      </c>
      <c r="D53" s="98">
        <f>IF(Severity="Seasonal",E53,IF(Severity="Moderate",F53,IF(Severity="Severe",G53,"N/A")))</f>
        <v>966000</v>
      </c>
      <c r="E53" s="419">
        <v>920000</v>
      </c>
      <c r="F53" s="98">
        <f>E53*H53</f>
        <v>920000</v>
      </c>
      <c r="G53" s="98">
        <f>E53*I53</f>
        <v>966000</v>
      </c>
      <c r="H53" s="414">
        <v>1</v>
      </c>
      <c r="I53" s="415">
        <v>1.05</v>
      </c>
      <c r="K53" s="40"/>
    </row>
    <row r="54" spans="1:11">
      <c r="A54" s="383">
        <f>+A53-1</f>
        <v>-29</v>
      </c>
      <c r="C54" s="209" t="s">
        <v>133</v>
      </c>
      <c r="D54" s="98">
        <f>IF(Severity="Seasonal",E54,IF(Severity="Moderate",F54,IF(Severity="Severe",G54,"N/A")))</f>
        <v>2750000</v>
      </c>
      <c r="E54" s="419">
        <v>2500000</v>
      </c>
      <c r="F54" s="98">
        <f>E54*H54</f>
        <v>2500000</v>
      </c>
      <c r="G54" s="98">
        <f>E54*I54</f>
        <v>2750000</v>
      </c>
      <c r="H54" s="414">
        <v>1</v>
      </c>
      <c r="I54" s="415">
        <v>1.1000000000000001</v>
      </c>
      <c r="K54" s="40"/>
    </row>
    <row r="55" spans="1:11">
      <c r="A55" s="383">
        <f>+A54-1</f>
        <v>-30</v>
      </c>
      <c r="C55" s="169" t="s">
        <v>77</v>
      </c>
      <c r="D55" s="247">
        <f>IF(Severity="Seasonal",E55,IF(Severity="Moderate",F55,IF(Severity="Severe",G55,"N/A")))</f>
        <v>1.5</v>
      </c>
      <c r="E55" s="420">
        <v>0.5</v>
      </c>
      <c r="F55" s="247">
        <f>+$E55*H55</f>
        <v>1</v>
      </c>
      <c r="G55" s="261">
        <f>+$E55*I55</f>
        <v>1.5</v>
      </c>
      <c r="H55" s="421">
        <v>2</v>
      </c>
      <c r="I55" s="422">
        <v>3</v>
      </c>
    </row>
    <row r="56" spans="1:11">
      <c r="C56" s="169"/>
      <c r="D56" s="158"/>
      <c r="E56" s="220"/>
      <c r="F56" s="220"/>
      <c r="G56" s="220"/>
    </row>
    <row r="57" spans="1:11">
      <c r="A57" s="165"/>
      <c r="B57" s="165" t="s">
        <v>268</v>
      </c>
      <c r="C57" s="166"/>
    </row>
  </sheetData>
  <mergeCells count="1">
    <mergeCell ref="H6:I6"/>
  </mergeCells>
  <phoneticPr fontId="0" type="noConversion"/>
  <printOptions horizontalCentered="1"/>
  <pageMargins left="0.5" right="0.5" top="0.75" bottom="0.75" header="0.5" footer="0.35"/>
  <pageSetup scale="97" orientation="portrait" r:id="rId1"/>
  <headerFooter alignWithMargins="0">
    <oddFooter>&amp;L&amp;8&amp;F 
&amp;A&amp;C&amp;8MBA Actuaries, Inc.&amp;R&amp;8&amp;D 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94</vt:i4>
      </vt:variant>
    </vt:vector>
  </HeadingPairs>
  <TitlesOfParts>
    <vt:vector size="119" baseType="lpstr">
      <vt:lpstr>Comments</vt:lpstr>
      <vt:lpstr>Scenario</vt:lpstr>
      <vt:lpstr>Scenario Assumptions</vt:lpstr>
      <vt:lpstr>Mortality Distribution</vt:lpstr>
      <vt:lpstr>Morbidity Distribution</vt:lpstr>
      <vt:lpstr>Distribution by Provider</vt:lpstr>
      <vt:lpstr>Distribution by Risk Class</vt:lpstr>
      <vt:lpstr>Provider Assumptions</vt:lpstr>
      <vt:lpstr>Provider Scenario</vt:lpstr>
      <vt:lpstr>Provider Charges</vt:lpstr>
      <vt:lpstr>Provider Utilization</vt:lpstr>
      <vt:lpstr>Case Distribution</vt:lpstr>
      <vt:lpstr>Case Graph</vt:lpstr>
      <vt:lpstr>ACF Costs</vt:lpstr>
      <vt:lpstr>Deferred Care</vt:lpstr>
      <vt:lpstr>Company Specific</vt:lpstr>
      <vt:lpstr>LOB1 Dist</vt:lpstr>
      <vt:lpstr>LOB1 Costs</vt:lpstr>
      <vt:lpstr>LOB1 Sum</vt:lpstr>
      <vt:lpstr>LOB2 Dist</vt:lpstr>
      <vt:lpstr>LOB2 Costs</vt:lpstr>
      <vt:lpstr>LOB2 Sum</vt:lpstr>
      <vt:lpstr>Total Costs</vt:lpstr>
      <vt:lpstr>Total Summary</vt:lpstr>
      <vt:lpstr>Sheet1</vt:lpstr>
      <vt:lpstr>_PR1</vt:lpstr>
      <vt:lpstr>_PR2</vt:lpstr>
      <vt:lpstr>_PR3</vt:lpstr>
      <vt:lpstr>ACFCharge</vt:lpstr>
      <vt:lpstr>ACFCosts</vt:lpstr>
      <vt:lpstr>ACFDemand</vt:lpstr>
      <vt:lpstr>ACFNurse</vt:lpstr>
      <vt:lpstr>ACFPct</vt:lpstr>
      <vt:lpstr>ACFPhys</vt:lpstr>
      <vt:lpstr>ACFStay</vt:lpstr>
      <vt:lpstr>CareFactor</vt:lpstr>
      <vt:lpstr>Curve</vt:lpstr>
      <vt:lpstr>DthHospPct</vt:lpstr>
      <vt:lpstr>DthPct</vt:lpstr>
      <vt:lpstr>duration</vt:lpstr>
      <vt:lpstr>HospAdmitHigh</vt:lpstr>
      <vt:lpstr>HospAdmitLow</vt:lpstr>
      <vt:lpstr>HospAdmits</vt:lpstr>
      <vt:lpstr>HospBeds</vt:lpstr>
      <vt:lpstr>HospCap</vt:lpstr>
      <vt:lpstr>HospChgAdj</vt:lpstr>
      <vt:lpstr>HospPct</vt:lpstr>
      <vt:lpstr>HospUse</vt:lpstr>
      <vt:lpstr>ICUBeds</vt:lpstr>
      <vt:lpstr>ICUCap</vt:lpstr>
      <vt:lpstr>ICUPct</vt:lpstr>
      <vt:lpstr>ICUStay</vt:lpstr>
      <vt:lpstr>ICUStepdown</vt:lpstr>
      <vt:lpstr>ICUUse</vt:lpstr>
      <vt:lpstr>inflation</vt:lpstr>
      <vt:lpstr>InfRate</vt:lpstr>
      <vt:lpstr>InsPop</vt:lpstr>
      <vt:lpstr>LOB_1</vt:lpstr>
      <vt:lpstr>LOB_2</vt:lpstr>
      <vt:lpstr>LOB1Pop</vt:lpstr>
      <vt:lpstr>LOB2Pop</vt:lpstr>
      <vt:lpstr>MorbCurve</vt:lpstr>
      <vt:lpstr>Morbidity</vt:lpstr>
      <vt:lpstr>Mortality</vt:lpstr>
      <vt:lpstr>MortCurve</vt:lpstr>
      <vt:lpstr>MortRatio</vt:lpstr>
      <vt:lpstr>NonICUBeds</vt:lpstr>
      <vt:lpstr>NonICUCap</vt:lpstr>
      <vt:lpstr>NonICUStay</vt:lpstr>
      <vt:lpstr>NonICUUse</vt:lpstr>
      <vt:lpstr>NurseHosp</vt:lpstr>
      <vt:lpstr>NursePerBed</vt:lpstr>
      <vt:lpstr>Nurses</vt:lpstr>
      <vt:lpstr>OutPct</vt:lpstr>
      <vt:lpstr>OutPt</vt:lpstr>
      <vt:lpstr>OutPtHigh</vt:lpstr>
      <vt:lpstr>OutPtLow</vt:lpstr>
      <vt:lpstr>PhysHosp</vt:lpstr>
      <vt:lpstr>Physicians</vt:lpstr>
      <vt:lpstr>PhysPerBed</vt:lpstr>
      <vt:lpstr>Pop0to69</vt:lpstr>
      <vt:lpstr>Population</vt:lpstr>
      <vt:lpstr>'ACF Costs'!Print_Area</vt:lpstr>
      <vt:lpstr>'Case Distribution'!Print_Area</vt:lpstr>
      <vt:lpstr>'Case Graph'!Print_Area</vt:lpstr>
      <vt:lpstr>'Deferred Care'!Print_Area</vt:lpstr>
      <vt:lpstr>'Distribution by Provider'!Print_Area</vt:lpstr>
      <vt:lpstr>'LOB1 Costs'!Print_Area</vt:lpstr>
      <vt:lpstr>'LOB1 Dist'!Print_Area</vt:lpstr>
      <vt:lpstr>'LOB1 Sum'!Print_Area</vt:lpstr>
      <vt:lpstr>'LOB2 Costs'!Print_Area</vt:lpstr>
      <vt:lpstr>'LOB2 Sum'!Print_Area</vt:lpstr>
      <vt:lpstr>'Morbidity Distribution'!Print_Area</vt:lpstr>
      <vt:lpstr>'Mortality Distribution'!Print_Area</vt:lpstr>
      <vt:lpstr>'Provider Charges'!Print_Area</vt:lpstr>
      <vt:lpstr>'Provider Scenario'!Print_Area</vt:lpstr>
      <vt:lpstr>'Provider Utilization'!Print_Area</vt:lpstr>
      <vt:lpstr>'Total Costs'!Print_Area</vt:lpstr>
      <vt:lpstr>'Total Summary'!Print_Area</vt:lpstr>
      <vt:lpstr>'Case Distribution'!Print_Titles</vt:lpstr>
      <vt:lpstr>'Provider Utilization'!Print_Titles</vt:lpstr>
      <vt:lpstr>RiskAdj</vt:lpstr>
      <vt:lpstr>scenario</vt:lpstr>
      <vt:lpstr>SelfPct</vt:lpstr>
      <vt:lpstr>Severity</vt:lpstr>
      <vt:lpstr>Severity_Listing</vt:lpstr>
      <vt:lpstr>StdFactor</vt:lpstr>
      <vt:lpstr>TaxRate</vt:lpstr>
      <vt:lpstr>TotPI</vt:lpstr>
      <vt:lpstr>UtilAdj</vt:lpstr>
      <vt:lpstr>VentCap</vt:lpstr>
      <vt:lpstr>VentPCT</vt:lpstr>
      <vt:lpstr>Vents</vt:lpstr>
      <vt:lpstr>VentStay</vt:lpstr>
      <vt:lpstr>VentUse</vt:lpstr>
      <vt:lpstr>WaveDur</vt:lpstr>
      <vt:lpstr>Weibull_Alpha</vt:lpstr>
      <vt:lpstr>Weibull_Beta</vt:lpstr>
      <vt:lpstr>XSDths</vt:lpstr>
    </vt:vector>
  </TitlesOfParts>
  <Company>Odell &amp;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Toole</dc:creator>
  <cp:lastModifiedBy>SOA USER</cp:lastModifiedBy>
  <cp:lastPrinted>2010-05-22T21:53:06Z</cp:lastPrinted>
  <dcterms:created xsi:type="dcterms:W3CDTF">2003-01-12T21:03:41Z</dcterms:created>
  <dcterms:modified xsi:type="dcterms:W3CDTF">2010-07-28T18:29:21Z</dcterms:modified>
</cp:coreProperties>
</file>