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olutions\May 2024 Solutions\CFE SDM\"/>
    </mc:Choice>
  </mc:AlternateContent>
  <xr:revisionPtr revIDLastSave="0" documentId="13_ncr:1_{72FA58D9-0499-495E-A078-7571F0DB9A95}" xr6:coauthVersionLast="47" xr6:coauthVersionMax="47" xr10:uidLastSave="{00000000-0000-0000-0000-000000000000}"/>
  <bookViews>
    <workbookView xWindow="0" yWindow="0" windowWidth="11520" windowHeight="12360" firstSheet="1" activeTab="3" xr2:uid="{3807833E-DEE3-4FF1-90F9-AC7FFF4CCE5C}"/>
  </bookViews>
  <sheets>
    <sheet name="Q1 d(i)" sheetId="2" r:id="rId1"/>
    <sheet name="Q1 e" sheetId="3" r:id="rId2"/>
    <sheet name="Q1 f (i)(ii)" sheetId="5" r:id="rId3"/>
    <sheet name="ITEM (COMPLETE)" sheetId="6" r:id="rId4"/>
  </sheets>
  <definedNames>
    <definedName name="_xlchart.v1.0" hidden="1">'ITEM (COMPLETE)'!$X$9:$X$108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6" l="1"/>
  <c r="O9" i="6" s="1"/>
  <c r="N9" i="6"/>
  <c r="T9" i="6"/>
  <c r="V9" i="6" s="1"/>
  <c r="U9" i="6"/>
  <c r="I10" i="6"/>
  <c r="N10" i="6"/>
  <c r="O10" i="6" s="1"/>
  <c r="Q10" i="6" s="1"/>
  <c r="P10" i="6"/>
  <c r="T10" i="6"/>
  <c r="V10" i="6" s="1"/>
  <c r="U10" i="6"/>
  <c r="I11" i="6"/>
  <c r="I12" i="6" s="1"/>
  <c r="I13" i="6" s="1"/>
  <c r="I14" i="6" s="1"/>
  <c r="I15" i="6" s="1"/>
  <c r="I16" i="6" s="1"/>
  <c r="I17" i="6" s="1"/>
  <c r="I18" i="6" s="1"/>
  <c r="I19" i="6" s="1"/>
  <c r="I20" i="6" s="1"/>
  <c r="I21" i="6" s="1"/>
  <c r="I22" i="6" s="1"/>
  <c r="I23" i="6" s="1"/>
  <c r="I24" i="6" s="1"/>
  <c r="I25" i="6" s="1"/>
  <c r="N11" i="6"/>
  <c r="O11" i="6" s="1"/>
  <c r="Q11" i="6" s="1"/>
  <c r="P11" i="6"/>
  <c r="T11" i="6"/>
  <c r="U11" i="6"/>
  <c r="N12" i="6"/>
  <c r="O12" i="6" s="1"/>
  <c r="Q12" i="6" s="1"/>
  <c r="P12" i="6"/>
  <c r="T12" i="6"/>
  <c r="U12" i="6"/>
  <c r="N13" i="6"/>
  <c r="O13" i="6" s="1"/>
  <c r="Q13" i="6" s="1"/>
  <c r="P13" i="6"/>
  <c r="T13" i="6"/>
  <c r="U13" i="6"/>
  <c r="N14" i="6"/>
  <c r="O14" i="6"/>
  <c r="P14" i="6"/>
  <c r="T14" i="6"/>
  <c r="V14" i="6" s="1"/>
  <c r="U14" i="6"/>
  <c r="N15" i="6"/>
  <c r="O15" i="6" s="1"/>
  <c r="Q15" i="6" s="1"/>
  <c r="P15" i="6"/>
  <c r="T15" i="6"/>
  <c r="U15" i="6"/>
  <c r="N16" i="6"/>
  <c r="O16" i="6"/>
  <c r="Q16" i="6" s="1"/>
  <c r="P16" i="6"/>
  <c r="T16" i="6"/>
  <c r="V16" i="6" s="1"/>
  <c r="U16" i="6"/>
  <c r="D17" i="6"/>
  <c r="N17" i="6"/>
  <c r="O17" i="6" s="1"/>
  <c r="Q17" i="6" s="1"/>
  <c r="P17" i="6"/>
  <c r="T17" i="6"/>
  <c r="U17" i="6"/>
  <c r="W17" i="6"/>
  <c r="N18" i="6"/>
  <c r="O18" i="6" s="1"/>
  <c r="Q18" i="6" s="1"/>
  <c r="P18" i="6"/>
  <c r="T18" i="6"/>
  <c r="V18" i="6" s="1"/>
  <c r="U18" i="6"/>
  <c r="N19" i="6"/>
  <c r="O19" i="6" s="1"/>
  <c r="P19" i="6"/>
  <c r="T19" i="6"/>
  <c r="U19" i="6"/>
  <c r="N20" i="6"/>
  <c r="O20" i="6" s="1"/>
  <c r="Q20" i="6" s="1"/>
  <c r="P20" i="6"/>
  <c r="T20" i="6"/>
  <c r="U20" i="6"/>
  <c r="W20" i="6"/>
  <c r="N21" i="6"/>
  <c r="O21" i="6" s="1"/>
  <c r="P21" i="6"/>
  <c r="T21" i="6"/>
  <c r="U21" i="6"/>
  <c r="W21" i="6"/>
  <c r="N22" i="6"/>
  <c r="O22" i="6" s="1"/>
  <c r="Q22" i="6" s="1"/>
  <c r="P22" i="6"/>
  <c r="T22" i="6"/>
  <c r="V22" i="6" s="1"/>
  <c r="U22" i="6"/>
  <c r="N23" i="6"/>
  <c r="O23" i="6" s="1"/>
  <c r="P23" i="6"/>
  <c r="T23" i="6"/>
  <c r="V23" i="6" s="1"/>
  <c r="U23" i="6"/>
  <c r="N24" i="6"/>
  <c r="O24" i="6" s="1"/>
  <c r="Q24" i="6" s="1"/>
  <c r="P24" i="6"/>
  <c r="T24" i="6"/>
  <c r="V24" i="6" s="1"/>
  <c r="U24" i="6"/>
  <c r="N25" i="6"/>
  <c r="O25" i="6" s="1"/>
  <c r="Q25" i="6" s="1"/>
  <c r="P25" i="6"/>
  <c r="T25" i="6"/>
  <c r="U25" i="6"/>
  <c r="W25" i="6"/>
  <c r="D26" i="6"/>
  <c r="I26" i="6"/>
  <c r="N26" i="6"/>
  <c r="O26" i="6" s="1"/>
  <c r="P26" i="6"/>
  <c r="T26" i="6"/>
  <c r="U26" i="6"/>
  <c r="V26" i="6"/>
  <c r="X26" i="6" s="1"/>
  <c r="W26" i="6"/>
  <c r="I27" i="6"/>
  <c r="I28" i="6" s="1"/>
  <c r="I29" i="6" s="1"/>
  <c r="I30" i="6" s="1"/>
  <c r="I31" i="6" s="1"/>
  <c r="I32" i="6" s="1"/>
  <c r="I33" i="6" s="1"/>
  <c r="I34" i="6" s="1"/>
  <c r="I35" i="6" s="1"/>
  <c r="I36" i="6" s="1"/>
  <c r="I37" i="6" s="1"/>
  <c r="I38" i="6" s="1"/>
  <c r="I39" i="6" s="1"/>
  <c r="I40" i="6" s="1"/>
  <c r="I41" i="6" s="1"/>
  <c r="I42" i="6" s="1"/>
  <c r="I43" i="6" s="1"/>
  <c r="I44" i="6" s="1"/>
  <c r="I45" i="6" s="1"/>
  <c r="I46" i="6" s="1"/>
  <c r="I47" i="6" s="1"/>
  <c r="I48" i="6" s="1"/>
  <c r="I49" i="6" s="1"/>
  <c r="I50" i="6" s="1"/>
  <c r="I51" i="6" s="1"/>
  <c r="I52" i="6" s="1"/>
  <c r="I53" i="6" s="1"/>
  <c r="I54" i="6" s="1"/>
  <c r="I55" i="6" s="1"/>
  <c r="I56" i="6" s="1"/>
  <c r="I57" i="6" s="1"/>
  <c r="I58" i="6" s="1"/>
  <c r="I59" i="6" s="1"/>
  <c r="I60" i="6" s="1"/>
  <c r="I61" i="6" s="1"/>
  <c r="I62" i="6" s="1"/>
  <c r="I63" i="6" s="1"/>
  <c r="I64" i="6" s="1"/>
  <c r="I65" i="6" s="1"/>
  <c r="I66" i="6" s="1"/>
  <c r="I67" i="6" s="1"/>
  <c r="I68" i="6" s="1"/>
  <c r="I69" i="6" s="1"/>
  <c r="I70" i="6" s="1"/>
  <c r="I71" i="6" s="1"/>
  <c r="I72" i="6" s="1"/>
  <c r="I73" i="6" s="1"/>
  <c r="I74" i="6" s="1"/>
  <c r="I75" i="6" s="1"/>
  <c r="I76" i="6" s="1"/>
  <c r="I77" i="6" s="1"/>
  <c r="I78" i="6" s="1"/>
  <c r="I79" i="6" s="1"/>
  <c r="I80" i="6" s="1"/>
  <c r="I81" i="6" s="1"/>
  <c r="I82" i="6" s="1"/>
  <c r="I83" i="6" s="1"/>
  <c r="I84" i="6" s="1"/>
  <c r="I85" i="6" s="1"/>
  <c r="I86" i="6" s="1"/>
  <c r="I87" i="6" s="1"/>
  <c r="I88" i="6" s="1"/>
  <c r="I89" i="6" s="1"/>
  <c r="I90" i="6" s="1"/>
  <c r="I91" i="6" s="1"/>
  <c r="I92" i="6" s="1"/>
  <c r="I93" i="6" s="1"/>
  <c r="I94" i="6" s="1"/>
  <c r="I95" i="6" s="1"/>
  <c r="I96" i="6" s="1"/>
  <c r="I97" i="6" s="1"/>
  <c r="I98" i="6" s="1"/>
  <c r="I99" i="6" s="1"/>
  <c r="I100" i="6" s="1"/>
  <c r="I101" i="6" s="1"/>
  <c r="I102" i="6" s="1"/>
  <c r="I103" i="6" s="1"/>
  <c r="I104" i="6" s="1"/>
  <c r="I105" i="6" s="1"/>
  <c r="I106" i="6" s="1"/>
  <c r="I107" i="6" s="1"/>
  <c r="I108" i="6" s="1"/>
  <c r="N27" i="6"/>
  <c r="O27" i="6" s="1"/>
  <c r="P27" i="6"/>
  <c r="T27" i="6"/>
  <c r="W27" i="6" s="1"/>
  <c r="U27" i="6"/>
  <c r="N28" i="6"/>
  <c r="O28" i="6" s="1"/>
  <c r="P28" i="6"/>
  <c r="T28" i="6"/>
  <c r="W28" i="6" s="1"/>
  <c r="U28" i="6"/>
  <c r="V28" i="6"/>
  <c r="N29" i="6"/>
  <c r="O29" i="6" s="1"/>
  <c r="P29" i="6"/>
  <c r="Q29" i="6"/>
  <c r="T29" i="6"/>
  <c r="W29" i="6" s="1"/>
  <c r="U29" i="6"/>
  <c r="V29" i="6"/>
  <c r="X29" i="6" s="1"/>
  <c r="N30" i="6"/>
  <c r="O30" i="6" s="1"/>
  <c r="Q30" i="6" s="1"/>
  <c r="P30" i="6"/>
  <c r="T30" i="6"/>
  <c r="V30" i="6" s="1"/>
  <c r="U30" i="6"/>
  <c r="N31" i="6"/>
  <c r="O31" i="6" s="1"/>
  <c r="Q31" i="6" s="1"/>
  <c r="P31" i="6"/>
  <c r="T31" i="6"/>
  <c r="U31" i="6"/>
  <c r="N32" i="6"/>
  <c r="O32" i="6" s="1"/>
  <c r="P32" i="6"/>
  <c r="T32" i="6"/>
  <c r="V32" i="6" s="1"/>
  <c r="U32" i="6"/>
  <c r="N33" i="6"/>
  <c r="O33" i="6" s="1"/>
  <c r="P33" i="6"/>
  <c r="Q33" i="6"/>
  <c r="T33" i="6"/>
  <c r="W33" i="6" s="1"/>
  <c r="U33" i="6"/>
  <c r="N34" i="6"/>
  <c r="O34" i="6"/>
  <c r="P34" i="6"/>
  <c r="Q34" i="6" s="1"/>
  <c r="T34" i="6"/>
  <c r="W34" i="6" s="1"/>
  <c r="U34" i="6"/>
  <c r="N35" i="6"/>
  <c r="O35" i="6" s="1"/>
  <c r="P35" i="6"/>
  <c r="T35" i="6"/>
  <c r="W35" i="6" s="1"/>
  <c r="U35" i="6"/>
  <c r="N36" i="6"/>
  <c r="O36" i="6" s="1"/>
  <c r="P36" i="6"/>
  <c r="T36" i="6"/>
  <c r="U36" i="6"/>
  <c r="N37" i="6"/>
  <c r="O37" i="6"/>
  <c r="P37" i="6"/>
  <c r="T37" i="6"/>
  <c r="U37" i="6"/>
  <c r="N38" i="6"/>
  <c r="O38" i="6" s="1"/>
  <c r="Q38" i="6" s="1"/>
  <c r="P38" i="6"/>
  <c r="T38" i="6"/>
  <c r="W38" i="6" s="1"/>
  <c r="U38" i="6"/>
  <c r="V38" i="6"/>
  <c r="X38" i="6" s="1"/>
  <c r="N39" i="6"/>
  <c r="O39" i="6" s="1"/>
  <c r="Q39" i="6" s="1"/>
  <c r="P39" i="6"/>
  <c r="T39" i="6"/>
  <c r="W39" i="6" s="1"/>
  <c r="U39" i="6"/>
  <c r="N40" i="6"/>
  <c r="O40" i="6" s="1"/>
  <c r="P40" i="6"/>
  <c r="T40" i="6"/>
  <c r="W40" i="6" s="1"/>
  <c r="U40" i="6"/>
  <c r="N41" i="6"/>
  <c r="O41" i="6"/>
  <c r="Q41" i="6" s="1"/>
  <c r="P41" i="6"/>
  <c r="T41" i="6"/>
  <c r="U41" i="6"/>
  <c r="V41" i="6" s="1"/>
  <c r="W41" i="6"/>
  <c r="N42" i="6"/>
  <c r="O42" i="6"/>
  <c r="Q42" i="6" s="1"/>
  <c r="P42" i="6"/>
  <c r="T42" i="6"/>
  <c r="U42" i="6"/>
  <c r="N43" i="6"/>
  <c r="O43" i="6" s="1"/>
  <c r="Q43" i="6" s="1"/>
  <c r="P43" i="6"/>
  <c r="T43" i="6"/>
  <c r="W43" i="6" s="1"/>
  <c r="U43" i="6"/>
  <c r="N44" i="6"/>
  <c r="O44" i="6" s="1"/>
  <c r="P44" i="6"/>
  <c r="T44" i="6"/>
  <c r="W44" i="6" s="1"/>
  <c r="U44" i="6"/>
  <c r="V44" i="6"/>
  <c r="X44" i="6" s="1"/>
  <c r="N45" i="6"/>
  <c r="O45" i="6" s="1"/>
  <c r="Q45" i="6" s="1"/>
  <c r="P45" i="6"/>
  <c r="T45" i="6"/>
  <c r="U45" i="6"/>
  <c r="N46" i="6"/>
  <c r="O46" i="6"/>
  <c r="Q46" i="6" s="1"/>
  <c r="P46" i="6"/>
  <c r="T46" i="6"/>
  <c r="W46" i="6" s="1"/>
  <c r="U46" i="6"/>
  <c r="N47" i="6"/>
  <c r="O47" i="6" s="1"/>
  <c r="P47" i="6"/>
  <c r="T47" i="6"/>
  <c r="U47" i="6"/>
  <c r="N48" i="6"/>
  <c r="O48" i="6"/>
  <c r="Q48" i="6" s="1"/>
  <c r="P48" i="6"/>
  <c r="T48" i="6"/>
  <c r="U48" i="6"/>
  <c r="N49" i="6"/>
  <c r="O49" i="6" s="1"/>
  <c r="Q49" i="6" s="1"/>
  <c r="P49" i="6"/>
  <c r="T49" i="6"/>
  <c r="W49" i="6" s="1"/>
  <c r="U49" i="6"/>
  <c r="N50" i="6"/>
  <c r="O50" i="6"/>
  <c r="Q50" i="6" s="1"/>
  <c r="P50" i="6"/>
  <c r="T50" i="6"/>
  <c r="U50" i="6"/>
  <c r="N51" i="6"/>
  <c r="O51" i="6" s="1"/>
  <c r="Q51" i="6" s="1"/>
  <c r="P51" i="6"/>
  <c r="T51" i="6"/>
  <c r="W51" i="6" s="1"/>
  <c r="U51" i="6"/>
  <c r="N52" i="6"/>
  <c r="O52" i="6" s="1"/>
  <c r="Q52" i="6" s="1"/>
  <c r="P52" i="6"/>
  <c r="T52" i="6"/>
  <c r="W52" i="6" s="1"/>
  <c r="U52" i="6"/>
  <c r="N53" i="6"/>
  <c r="O53" i="6" s="1"/>
  <c r="Q53" i="6" s="1"/>
  <c r="P53" i="6"/>
  <c r="T53" i="6"/>
  <c r="V53" i="6" s="1"/>
  <c r="U53" i="6"/>
  <c r="N54" i="6"/>
  <c r="O54" i="6" s="1"/>
  <c r="Q54" i="6" s="1"/>
  <c r="P54" i="6"/>
  <c r="T54" i="6"/>
  <c r="W54" i="6" s="1"/>
  <c r="U54" i="6"/>
  <c r="V54" i="6" s="1"/>
  <c r="X54" i="6" s="1"/>
  <c r="N55" i="6"/>
  <c r="O55" i="6" s="1"/>
  <c r="Q55" i="6" s="1"/>
  <c r="P55" i="6"/>
  <c r="T55" i="6"/>
  <c r="W55" i="6" s="1"/>
  <c r="U55" i="6"/>
  <c r="N56" i="6"/>
  <c r="O56" i="6"/>
  <c r="P56" i="6"/>
  <c r="T56" i="6"/>
  <c r="W56" i="6" s="1"/>
  <c r="U56" i="6"/>
  <c r="N57" i="6"/>
  <c r="O57" i="6" s="1"/>
  <c r="Q57" i="6" s="1"/>
  <c r="P57" i="6"/>
  <c r="T57" i="6"/>
  <c r="W57" i="6" s="1"/>
  <c r="U57" i="6"/>
  <c r="V57" i="6"/>
  <c r="N58" i="6"/>
  <c r="O58" i="6" s="1"/>
  <c r="Q58" i="6" s="1"/>
  <c r="P58" i="6"/>
  <c r="T58" i="6"/>
  <c r="W58" i="6" s="1"/>
  <c r="U58" i="6"/>
  <c r="N59" i="6"/>
  <c r="O59" i="6"/>
  <c r="Q59" i="6" s="1"/>
  <c r="P59" i="6"/>
  <c r="T59" i="6"/>
  <c r="W59" i="6" s="1"/>
  <c r="U59" i="6"/>
  <c r="N60" i="6"/>
  <c r="O60" i="6"/>
  <c r="P60" i="6"/>
  <c r="Q60" i="6" s="1"/>
  <c r="T60" i="6"/>
  <c r="W60" i="6" s="1"/>
  <c r="U60" i="6"/>
  <c r="N61" i="6"/>
  <c r="O61" i="6" s="1"/>
  <c r="Q61" i="6" s="1"/>
  <c r="P61" i="6"/>
  <c r="T61" i="6"/>
  <c r="W61" i="6" s="1"/>
  <c r="U61" i="6"/>
  <c r="N62" i="6"/>
  <c r="O62" i="6" s="1"/>
  <c r="Q62" i="6" s="1"/>
  <c r="P62" i="6"/>
  <c r="T62" i="6"/>
  <c r="W62" i="6" s="1"/>
  <c r="U62" i="6"/>
  <c r="N63" i="6"/>
  <c r="O63" i="6" s="1"/>
  <c r="Q63" i="6" s="1"/>
  <c r="P63" i="6"/>
  <c r="T63" i="6"/>
  <c r="V63" i="6" s="1"/>
  <c r="U63" i="6"/>
  <c r="N64" i="6"/>
  <c r="O64" i="6" s="1"/>
  <c r="P64" i="6"/>
  <c r="T64" i="6"/>
  <c r="U64" i="6"/>
  <c r="N65" i="6"/>
  <c r="O65" i="6"/>
  <c r="Q65" i="6" s="1"/>
  <c r="P65" i="6"/>
  <c r="T65" i="6"/>
  <c r="W65" i="6" s="1"/>
  <c r="U65" i="6"/>
  <c r="N66" i="6"/>
  <c r="O66" i="6" s="1"/>
  <c r="Q66" i="6" s="1"/>
  <c r="P66" i="6"/>
  <c r="T66" i="6"/>
  <c r="U66" i="6"/>
  <c r="N67" i="6"/>
  <c r="O67" i="6" s="1"/>
  <c r="Q67" i="6" s="1"/>
  <c r="P67" i="6"/>
  <c r="T67" i="6"/>
  <c r="W67" i="6" s="1"/>
  <c r="U67" i="6"/>
  <c r="N68" i="6"/>
  <c r="O68" i="6"/>
  <c r="Q68" i="6" s="1"/>
  <c r="P68" i="6"/>
  <c r="T68" i="6"/>
  <c r="W68" i="6" s="1"/>
  <c r="U68" i="6"/>
  <c r="N69" i="6"/>
  <c r="O69" i="6" s="1"/>
  <c r="P69" i="6"/>
  <c r="T69" i="6"/>
  <c r="U69" i="6"/>
  <c r="N70" i="6"/>
  <c r="O70" i="6"/>
  <c r="Q70" i="6" s="1"/>
  <c r="P70" i="6"/>
  <c r="T70" i="6"/>
  <c r="W70" i="6" s="1"/>
  <c r="U70" i="6"/>
  <c r="N71" i="6"/>
  <c r="O71" i="6" s="1"/>
  <c r="Q71" i="6" s="1"/>
  <c r="P71" i="6"/>
  <c r="T71" i="6"/>
  <c r="W71" i="6" s="1"/>
  <c r="U71" i="6"/>
  <c r="N72" i="6"/>
  <c r="O72" i="6"/>
  <c r="P72" i="6"/>
  <c r="T72" i="6"/>
  <c r="W72" i="6" s="1"/>
  <c r="U72" i="6"/>
  <c r="N73" i="6"/>
  <c r="O73" i="6" s="1"/>
  <c r="Q73" i="6" s="1"/>
  <c r="P73" i="6"/>
  <c r="T73" i="6"/>
  <c r="U73" i="6"/>
  <c r="V73" i="6"/>
  <c r="W73" i="6"/>
  <c r="N74" i="6"/>
  <c r="O74" i="6"/>
  <c r="Q74" i="6" s="1"/>
  <c r="P74" i="6"/>
  <c r="T74" i="6"/>
  <c r="W74" i="6" s="1"/>
  <c r="U74" i="6"/>
  <c r="N75" i="6"/>
  <c r="O75" i="6" s="1"/>
  <c r="Q75" i="6" s="1"/>
  <c r="P75" i="6"/>
  <c r="T75" i="6"/>
  <c r="W75" i="6" s="1"/>
  <c r="U75" i="6"/>
  <c r="V75" i="6"/>
  <c r="X75" i="6" s="1"/>
  <c r="N76" i="6"/>
  <c r="O76" i="6"/>
  <c r="P76" i="6"/>
  <c r="Q76" i="6" s="1"/>
  <c r="T76" i="6"/>
  <c r="W76" i="6" s="1"/>
  <c r="U76" i="6"/>
  <c r="V76" i="6"/>
  <c r="X76" i="6" s="1"/>
  <c r="N77" i="6"/>
  <c r="O77" i="6" s="1"/>
  <c r="Q77" i="6" s="1"/>
  <c r="P77" i="6"/>
  <c r="T77" i="6"/>
  <c r="U77" i="6"/>
  <c r="W77" i="6"/>
  <c r="N78" i="6"/>
  <c r="O78" i="6" s="1"/>
  <c r="Q78" i="6" s="1"/>
  <c r="P78" i="6"/>
  <c r="T78" i="6"/>
  <c r="W78" i="6" s="1"/>
  <c r="U78" i="6"/>
  <c r="V78" i="6" s="1"/>
  <c r="X78" i="6" s="1"/>
  <c r="N79" i="6"/>
  <c r="O79" i="6" s="1"/>
  <c r="P79" i="6"/>
  <c r="T79" i="6"/>
  <c r="U79" i="6"/>
  <c r="N80" i="6"/>
  <c r="O80" i="6"/>
  <c r="P80" i="6"/>
  <c r="T80" i="6"/>
  <c r="U80" i="6"/>
  <c r="N81" i="6"/>
  <c r="O81" i="6" s="1"/>
  <c r="Q81" i="6" s="1"/>
  <c r="P81" i="6"/>
  <c r="T81" i="6"/>
  <c r="U81" i="6"/>
  <c r="W81" i="6"/>
  <c r="N82" i="6"/>
  <c r="O82" i="6"/>
  <c r="P82" i="6"/>
  <c r="Q82" i="6"/>
  <c r="T82" i="6"/>
  <c r="U82" i="6"/>
  <c r="N83" i="6"/>
  <c r="O83" i="6" s="1"/>
  <c r="P83" i="6"/>
  <c r="T83" i="6"/>
  <c r="W83" i="6" s="1"/>
  <c r="U83" i="6"/>
  <c r="N84" i="6"/>
  <c r="O84" i="6"/>
  <c r="P84" i="6"/>
  <c r="Q84" i="6"/>
  <c r="T84" i="6"/>
  <c r="W84" i="6" s="1"/>
  <c r="U84" i="6"/>
  <c r="N85" i="6"/>
  <c r="O85" i="6" s="1"/>
  <c r="Q85" i="6" s="1"/>
  <c r="P85" i="6"/>
  <c r="T85" i="6"/>
  <c r="V85" i="6" s="1"/>
  <c r="U85" i="6"/>
  <c r="N86" i="6"/>
  <c r="O86" i="6" s="1"/>
  <c r="Q86" i="6" s="1"/>
  <c r="P86" i="6"/>
  <c r="T86" i="6"/>
  <c r="W86" i="6" s="1"/>
  <c r="U86" i="6"/>
  <c r="V86" i="6" s="1"/>
  <c r="X86" i="6" s="1"/>
  <c r="N87" i="6"/>
  <c r="O87" i="6"/>
  <c r="P87" i="6"/>
  <c r="T87" i="6"/>
  <c r="W87" i="6" s="1"/>
  <c r="U87" i="6"/>
  <c r="V87" i="6" s="1"/>
  <c r="X87" i="6" s="1"/>
  <c r="N88" i="6"/>
  <c r="O88" i="6" s="1"/>
  <c r="Q88" i="6" s="1"/>
  <c r="P88" i="6"/>
  <c r="T88" i="6"/>
  <c r="W88" i="6" s="1"/>
  <c r="U88" i="6"/>
  <c r="N89" i="6"/>
  <c r="O89" i="6" s="1"/>
  <c r="Q89" i="6" s="1"/>
  <c r="P89" i="6"/>
  <c r="T89" i="6"/>
  <c r="W89" i="6" s="1"/>
  <c r="U89" i="6"/>
  <c r="N90" i="6"/>
  <c r="O90" i="6" s="1"/>
  <c r="Q90" i="6" s="1"/>
  <c r="P90" i="6"/>
  <c r="T90" i="6"/>
  <c r="U90" i="6"/>
  <c r="N91" i="6"/>
  <c r="O91" i="6" s="1"/>
  <c r="Q91" i="6" s="1"/>
  <c r="P91" i="6"/>
  <c r="T91" i="6"/>
  <c r="W91" i="6" s="1"/>
  <c r="U91" i="6"/>
  <c r="N92" i="6"/>
  <c r="O92" i="6" s="1"/>
  <c r="Q92" i="6" s="1"/>
  <c r="P92" i="6"/>
  <c r="T92" i="6"/>
  <c r="W92" i="6" s="1"/>
  <c r="U92" i="6"/>
  <c r="V92" i="6"/>
  <c r="X92" i="6" s="1"/>
  <c r="N93" i="6"/>
  <c r="O93" i="6" s="1"/>
  <c r="P93" i="6"/>
  <c r="T93" i="6"/>
  <c r="U93" i="6"/>
  <c r="N94" i="6"/>
  <c r="O94" i="6"/>
  <c r="P94" i="6"/>
  <c r="T94" i="6"/>
  <c r="W94" i="6" s="1"/>
  <c r="U94" i="6"/>
  <c r="N95" i="6"/>
  <c r="O95" i="6" s="1"/>
  <c r="P95" i="6"/>
  <c r="T95" i="6"/>
  <c r="U95" i="6"/>
  <c r="W95" i="6"/>
  <c r="N96" i="6"/>
  <c r="O96" i="6" s="1"/>
  <c r="P96" i="6"/>
  <c r="T96" i="6"/>
  <c r="W96" i="6" s="1"/>
  <c r="U96" i="6"/>
  <c r="N97" i="6"/>
  <c r="O97" i="6" s="1"/>
  <c r="P97" i="6"/>
  <c r="T97" i="6"/>
  <c r="W97" i="6" s="1"/>
  <c r="U97" i="6"/>
  <c r="N98" i="6"/>
  <c r="O98" i="6" s="1"/>
  <c r="P98" i="6"/>
  <c r="T98" i="6"/>
  <c r="U98" i="6"/>
  <c r="N99" i="6"/>
  <c r="O99" i="6"/>
  <c r="P99" i="6"/>
  <c r="T99" i="6"/>
  <c r="U99" i="6"/>
  <c r="W99" i="6"/>
  <c r="N100" i="6"/>
  <c r="O100" i="6" s="1"/>
  <c r="P100" i="6"/>
  <c r="T100" i="6"/>
  <c r="U100" i="6"/>
  <c r="N101" i="6"/>
  <c r="O101" i="6" s="1"/>
  <c r="P101" i="6"/>
  <c r="T101" i="6"/>
  <c r="U101" i="6"/>
  <c r="N102" i="6"/>
  <c r="O102" i="6" s="1"/>
  <c r="P102" i="6"/>
  <c r="T102" i="6"/>
  <c r="W102" i="6" s="1"/>
  <c r="U102" i="6"/>
  <c r="N103" i="6"/>
  <c r="O103" i="6" s="1"/>
  <c r="Q103" i="6" s="1"/>
  <c r="P103" i="6"/>
  <c r="T103" i="6"/>
  <c r="U103" i="6"/>
  <c r="N104" i="6"/>
  <c r="O104" i="6" s="1"/>
  <c r="P104" i="6"/>
  <c r="T104" i="6"/>
  <c r="U104" i="6"/>
  <c r="W104" i="6"/>
  <c r="N105" i="6"/>
  <c r="O105" i="6" s="1"/>
  <c r="Q105" i="6" s="1"/>
  <c r="P105" i="6"/>
  <c r="T105" i="6"/>
  <c r="U105" i="6"/>
  <c r="N106" i="6"/>
  <c r="O106" i="6" s="1"/>
  <c r="P106" i="6"/>
  <c r="T106" i="6"/>
  <c r="W106" i="6" s="1"/>
  <c r="U106" i="6"/>
  <c r="N107" i="6"/>
  <c r="O107" i="6"/>
  <c r="P107" i="6"/>
  <c r="T107" i="6"/>
  <c r="U107" i="6"/>
  <c r="N108" i="6"/>
  <c r="O108" i="6" s="1"/>
  <c r="P108" i="6"/>
  <c r="T108" i="6"/>
  <c r="U108" i="6"/>
  <c r="X28" i="6" l="1"/>
  <c r="W22" i="6"/>
  <c r="V104" i="6"/>
  <c r="X104" i="6" s="1"/>
  <c r="V99" i="6"/>
  <c r="X99" i="6" s="1"/>
  <c r="V91" i="6"/>
  <c r="V88" i="6"/>
  <c r="X88" i="6" s="1"/>
  <c r="V84" i="6"/>
  <c r="X84" i="6" s="1"/>
  <c r="V83" i="6"/>
  <c r="X83" i="6" s="1"/>
  <c r="V79" i="6"/>
  <c r="V71" i="6"/>
  <c r="X71" i="6" s="1"/>
  <c r="V68" i="6"/>
  <c r="X68" i="6" s="1"/>
  <c r="V67" i="6"/>
  <c r="X67" i="6" s="1"/>
  <c r="V47" i="6"/>
  <c r="V37" i="6"/>
  <c r="Q32" i="6"/>
  <c r="Q28" i="6"/>
  <c r="Q21" i="6"/>
  <c r="V19" i="6"/>
  <c r="V11" i="6"/>
  <c r="X91" i="6"/>
  <c r="Q87" i="6"/>
  <c r="Q79" i="6"/>
  <c r="V51" i="6"/>
  <c r="X51" i="6" s="1"/>
  <c r="Q47" i="6"/>
  <c r="Q44" i="6"/>
  <c r="Q37" i="6"/>
  <c r="Q35" i="6"/>
  <c r="V27" i="6"/>
  <c r="X27" i="6" s="1"/>
  <c r="V25" i="6"/>
  <c r="X25" i="6" s="1"/>
  <c r="W23" i="6"/>
  <c r="Q19" i="6"/>
  <c r="V17" i="6"/>
  <c r="X17" i="6" s="1"/>
  <c r="Q94" i="6"/>
  <c r="V89" i="6"/>
  <c r="X89" i="6" s="1"/>
  <c r="W85" i="6"/>
  <c r="X85" i="6" s="1"/>
  <c r="V65" i="6"/>
  <c r="X65" i="6" s="1"/>
  <c r="V52" i="6"/>
  <c r="X52" i="6" s="1"/>
  <c r="W32" i="6"/>
  <c r="X32" i="6" s="1"/>
  <c r="V20" i="6"/>
  <c r="W18" i="6"/>
  <c r="Q14" i="6"/>
  <c r="V12" i="6"/>
  <c r="V105" i="6"/>
  <c r="Q102" i="6"/>
  <c r="V95" i="6"/>
  <c r="X95" i="6" s="1"/>
  <c r="Q83" i="6"/>
  <c r="V81" i="6"/>
  <c r="V77" i="6"/>
  <c r="V49" i="6"/>
  <c r="V15" i="6"/>
  <c r="V74" i="6"/>
  <c r="X74" i="6" s="1"/>
  <c r="Q72" i="6"/>
  <c r="V70" i="6"/>
  <c r="X70" i="6" s="1"/>
  <c r="V36" i="6"/>
  <c r="V34" i="6"/>
  <c r="X34" i="6" s="1"/>
  <c r="V33" i="6"/>
  <c r="X33" i="6" s="1"/>
  <c r="W30" i="6"/>
  <c r="X30" i="6" s="1"/>
  <c r="Q26" i="6"/>
  <c r="W24" i="6"/>
  <c r="X24" i="6" s="1"/>
  <c r="X18" i="6"/>
  <c r="V93" i="6"/>
  <c r="Q69" i="6"/>
  <c r="V60" i="6"/>
  <c r="X60" i="6" s="1"/>
  <c r="Q27" i="6"/>
  <c r="Q23" i="6"/>
  <c r="V21" i="6"/>
  <c r="X21" i="6" s="1"/>
  <c r="W19" i="6"/>
  <c r="X19" i="6" s="1"/>
  <c r="V13" i="6"/>
  <c r="X13" i="6" s="1"/>
  <c r="V100" i="6"/>
  <c r="Q106" i="6"/>
  <c r="W42" i="6"/>
  <c r="V42" i="6"/>
  <c r="X42" i="6" s="1"/>
  <c r="V98" i="6"/>
  <c r="W98" i="6"/>
  <c r="W80" i="6"/>
  <c r="V80" i="6"/>
  <c r="V108" i="6"/>
  <c r="W108" i="6"/>
  <c r="W47" i="6"/>
  <c r="X47" i="6" s="1"/>
  <c r="V45" i="6"/>
  <c r="Q36" i="6"/>
  <c r="Q95" i="6"/>
  <c r="W82" i="6"/>
  <c r="V82" i="6"/>
  <c r="Q107" i="6"/>
  <c r="Q98" i="6"/>
  <c r="Q80" i="6"/>
  <c r="W64" i="6"/>
  <c r="V64" i="6"/>
  <c r="X64" i="6" s="1"/>
  <c r="Q56" i="6"/>
  <c r="Q108" i="6"/>
  <c r="V103" i="6"/>
  <c r="Q100" i="6"/>
  <c r="X73" i="6"/>
  <c r="W66" i="6"/>
  <c r="V66" i="6"/>
  <c r="X49" i="6"/>
  <c r="Q101" i="6"/>
  <c r="V94" i="6"/>
  <c r="X94" i="6" s="1"/>
  <c r="W90" i="6"/>
  <c r="V90" i="6"/>
  <c r="V69" i="6"/>
  <c r="Q64" i="6"/>
  <c r="V58" i="6"/>
  <c r="X58" i="6" s="1"/>
  <c r="W48" i="6"/>
  <c r="V48" i="6"/>
  <c r="Q40" i="6"/>
  <c r="Q93" i="6"/>
  <c r="Q97" i="6"/>
  <c r="V102" i="6"/>
  <c r="X102" i="6" s="1"/>
  <c r="Q99" i="6"/>
  <c r="W93" i="6"/>
  <c r="X93" i="6" s="1"/>
  <c r="W79" i="6"/>
  <c r="X79" i="6" s="1"/>
  <c r="X77" i="6"/>
  <c r="V62" i="6"/>
  <c r="X62" i="6" s="1"/>
  <c r="V59" i="6"/>
  <c r="X59" i="6" s="1"/>
  <c r="X57" i="6"/>
  <c r="V55" i="6"/>
  <c r="X55" i="6" s="1"/>
  <c r="W50" i="6"/>
  <c r="V50" i="6"/>
  <c r="X50" i="6" s="1"/>
  <c r="W36" i="6"/>
  <c r="X36" i="6" s="1"/>
  <c r="V101" i="6"/>
  <c r="X101" i="6" s="1"/>
  <c r="Q96" i="6"/>
  <c r="V107" i="6"/>
  <c r="V106" i="6"/>
  <c r="X106" i="6" s="1"/>
  <c r="Q104" i="6"/>
  <c r="W100" i="6"/>
  <c r="V97" i="6"/>
  <c r="X97" i="6" s="1"/>
  <c r="V96" i="6"/>
  <c r="X96" i="6" s="1"/>
  <c r="X81" i="6"/>
  <c r="W63" i="6"/>
  <c r="X63" i="6" s="1"/>
  <c r="V61" i="6"/>
  <c r="X61" i="6" s="1"/>
  <c r="V46" i="6"/>
  <c r="X46" i="6" s="1"/>
  <c r="W45" i="6"/>
  <c r="V43" i="6"/>
  <c r="X43" i="6" s="1"/>
  <c r="X41" i="6"/>
  <c r="V39" i="6"/>
  <c r="X39" i="6" s="1"/>
  <c r="W31" i="6"/>
  <c r="V31" i="6"/>
  <c r="X20" i="6"/>
  <c r="X11" i="6"/>
  <c r="W107" i="6"/>
  <c r="W105" i="6"/>
  <c r="W101" i="6"/>
  <c r="W69" i="6"/>
  <c r="W53" i="6"/>
  <c r="X53" i="6" s="1"/>
  <c r="W37" i="6"/>
  <c r="X37" i="6" s="1"/>
  <c r="W103" i="6"/>
  <c r="V72" i="6"/>
  <c r="X72" i="6" s="1"/>
  <c r="V56" i="6"/>
  <c r="X56" i="6" s="1"/>
  <c r="V40" i="6"/>
  <c r="X40" i="6" s="1"/>
  <c r="X22" i="6"/>
  <c r="V35" i="6"/>
  <c r="X35" i="6" s="1"/>
  <c r="X23" i="6"/>
  <c r="W16" i="6"/>
  <c r="X16" i="6" s="1"/>
  <c r="W14" i="6"/>
  <c r="X14" i="6" s="1"/>
  <c r="W12" i="6"/>
  <c r="X12" i="6" s="1"/>
  <c r="W10" i="6"/>
  <c r="X10" i="6" s="1"/>
  <c r="P9" i="6"/>
  <c r="Q9" i="6" s="1"/>
  <c r="W15" i="6"/>
  <c r="X15" i="6" s="1"/>
  <c r="W13" i="6"/>
  <c r="W11" i="6"/>
  <c r="W9" i="6"/>
  <c r="X9" i="6" s="1"/>
  <c r="F9" i="5"/>
  <c r="E9" i="5" s="1"/>
  <c r="D9" i="5" s="1"/>
  <c r="G7" i="5"/>
  <c r="F7" i="5"/>
  <c r="E7" i="5"/>
  <c r="D7" i="5"/>
  <c r="G6" i="5"/>
  <c r="F6" i="5"/>
  <c r="E6" i="5"/>
  <c r="D6" i="5"/>
  <c r="G5" i="5"/>
  <c r="F5" i="5"/>
  <c r="E5" i="5"/>
  <c r="D5" i="5"/>
  <c r="G4" i="5"/>
  <c r="G22" i="5" s="1"/>
  <c r="F4" i="5"/>
  <c r="E4" i="5"/>
  <c r="D4" i="5"/>
  <c r="D22" i="5" s="1"/>
  <c r="F3" i="5"/>
  <c r="E3" i="5" s="1"/>
  <c r="D3" i="5" s="1"/>
  <c r="E28" i="3"/>
  <c r="F28" i="3"/>
  <c r="G28" i="3"/>
  <c r="D28" i="3"/>
  <c r="F17" i="3"/>
  <c r="E17" i="3" s="1"/>
  <c r="D17" i="3" s="1"/>
  <c r="F9" i="3"/>
  <c r="E9" i="3" s="1"/>
  <c r="D9" i="3" s="1"/>
  <c r="E4" i="3"/>
  <c r="F4" i="3"/>
  <c r="G4" i="3"/>
  <c r="E5" i="3"/>
  <c r="F5" i="3"/>
  <c r="G5" i="3"/>
  <c r="E6" i="3"/>
  <c r="F6" i="3"/>
  <c r="G6" i="3"/>
  <c r="E7" i="3"/>
  <c r="F7" i="3"/>
  <c r="G7" i="3"/>
  <c r="D7" i="3"/>
  <c r="D6" i="3"/>
  <c r="D5" i="3"/>
  <c r="D4" i="3"/>
  <c r="F38" i="2"/>
  <c r="E38" i="2"/>
  <c r="D38" i="2"/>
  <c r="G38" i="2"/>
  <c r="X105" i="6" l="1"/>
  <c r="X82" i="6"/>
  <c r="X80" i="6"/>
  <c r="X100" i="6"/>
  <c r="X45" i="6"/>
  <c r="X31" i="6"/>
  <c r="X107" i="6"/>
  <c r="X90" i="6"/>
  <c r="R9" i="6"/>
  <c r="R10" i="6" s="1"/>
  <c r="R11" i="6" s="1"/>
  <c r="R12" i="6" s="1"/>
  <c r="R13" i="6" s="1"/>
  <c r="R14" i="6" s="1"/>
  <c r="R15" i="6" s="1"/>
  <c r="R16" i="6" s="1"/>
  <c r="R17" i="6" s="1"/>
  <c r="R18" i="6" s="1"/>
  <c r="R19" i="6" s="1"/>
  <c r="R20" i="6" s="1"/>
  <c r="R21" i="6" s="1"/>
  <c r="R22" i="6" s="1"/>
  <c r="R23" i="6" s="1"/>
  <c r="R24" i="6" s="1"/>
  <c r="R25" i="6" s="1"/>
  <c r="R26" i="6" s="1"/>
  <c r="R27" i="6" s="1"/>
  <c r="R28" i="6" s="1"/>
  <c r="R29" i="6" s="1"/>
  <c r="R30" i="6" s="1"/>
  <c r="R31" i="6" s="1"/>
  <c r="R32" i="6" s="1"/>
  <c r="R33" i="6" s="1"/>
  <c r="R34" i="6" s="1"/>
  <c r="R35" i="6" s="1"/>
  <c r="G33" i="6"/>
  <c r="Y9" i="6"/>
  <c r="Y10" i="6" s="1"/>
  <c r="Y11" i="6" s="1"/>
  <c r="Y12" i="6" s="1"/>
  <c r="Y13" i="6" s="1"/>
  <c r="Y14" i="6" s="1"/>
  <c r="Y15" i="6" s="1"/>
  <c r="Y16" i="6" s="1"/>
  <c r="Y17" i="6" s="1"/>
  <c r="Y18" i="6" s="1"/>
  <c r="Y19" i="6" s="1"/>
  <c r="Y20" i="6" s="1"/>
  <c r="Y21" i="6" s="1"/>
  <c r="Y22" i="6" s="1"/>
  <c r="Y23" i="6" s="1"/>
  <c r="Y24" i="6" s="1"/>
  <c r="Y25" i="6" s="1"/>
  <c r="Y26" i="6" s="1"/>
  <c r="Y27" i="6" s="1"/>
  <c r="Y28" i="6" s="1"/>
  <c r="Y29" i="6" s="1"/>
  <c r="Y30" i="6" s="1"/>
  <c r="G37" i="6"/>
  <c r="G36" i="6"/>
  <c r="X69" i="6"/>
  <c r="X103" i="6"/>
  <c r="X98" i="6"/>
  <c r="R36" i="6"/>
  <c r="R37" i="6" s="1"/>
  <c r="R38" i="6" s="1"/>
  <c r="R39" i="6" s="1"/>
  <c r="R40" i="6" s="1"/>
  <c r="R41" i="6" s="1"/>
  <c r="R42" i="6" s="1"/>
  <c r="R43" i="6" s="1"/>
  <c r="R44" i="6" s="1"/>
  <c r="R45" i="6" s="1"/>
  <c r="R46" i="6" s="1"/>
  <c r="R47" i="6" s="1"/>
  <c r="R48" i="6" s="1"/>
  <c r="R49" i="6" s="1"/>
  <c r="R50" i="6" s="1"/>
  <c r="R51" i="6" s="1"/>
  <c r="R52" i="6" s="1"/>
  <c r="R53" i="6" s="1"/>
  <c r="R54" i="6" s="1"/>
  <c r="R55" i="6" s="1"/>
  <c r="R56" i="6" s="1"/>
  <c r="R57" i="6" s="1"/>
  <c r="R58" i="6" s="1"/>
  <c r="R59" i="6" s="1"/>
  <c r="R60" i="6" s="1"/>
  <c r="R61" i="6" s="1"/>
  <c r="R62" i="6" s="1"/>
  <c r="R63" i="6" s="1"/>
  <c r="R64" i="6" s="1"/>
  <c r="R65" i="6" s="1"/>
  <c r="R66" i="6" s="1"/>
  <c r="R67" i="6" s="1"/>
  <c r="R68" i="6" s="1"/>
  <c r="R69" i="6" s="1"/>
  <c r="R70" i="6" s="1"/>
  <c r="R71" i="6" s="1"/>
  <c r="R72" i="6" s="1"/>
  <c r="R73" i="6" s="1"/>
  <c r="R74" i="6" s="1"/>
  <c r="R75" i="6" s="1"/>
  <c r="R76" i="6" s="1"/>
  <c r="R77" i="6" s="1"/>
  <c r="R78" i="6" s="1"/>
  <c r="R79" i="6" s="1"/>
  <c r="R80" i="6" s="1"/>
  <c r="R81" i="6" s="1"/>
  <c r="R82" i="6" s="1"/>
  <c r="R83" i="6" s="1"/>
  <c r="R84" i="6" s="1"/>
  <c r="R85" i="6" s="1"/>
  <c r="R86" i="6" s="1"/>
  <c r="R87" i="6" s="1"/>
  <c r="R88" i="6" s="1"/>
  <c r="R89" i="6" s="1"/>
  <c r="R90" i="6" s="1"/>
  <c r="R91" i="6" s="1"/>
  <c r="R92" i="6" s="1"/>
  <c r="R93" i="6" s="1"/>
  <c r="R94" i="6" s="1"/>
  <c r="R95" i="6" s="1"/>
  <c r="R96" i="6" s="1"/>
  <c r="R97" i="6" s="1"/>
  <c r="R98" i="6" s="1"/>
  <c r="R99" i="6" s="1"/>
  <c r="R100" i="6" s="1"/>
  <c r="R101" i="6" s="1"/>
  <c r="R102" i="6" s="1"/>
  <c r="R103" i="6" s="1"/>
  <c r="R104" i="6" s="1"/>
  <c r="R105" i="6" s="1"/>
  <c r="R106" i="6" s="1"/>
  <c r="R107" i="6" s="1"/>
  <c r="R108" i="6" s="1"/>
  <c r="X108" i="6"/>
  <c r="X48" i="6"/>
  <c r="X66" i="6"/>
  <c r="F20" i="5"/>
  <c r="F21" i="5"/>
  <c r="F22" i="5"/>
  <c r="E21" i="5"/>
  <c r="E20" i="5"/>
  <c r="E22" i="5"/>
  <c r="D20" i="5"/>
  <c r="G20" i="5"/>
  <c r="D21" i="5"/>
  <c r="G21" i="5"/>
  <c r="C42" i="2"/>
  <c r="G44" i="2" s="1"/>
  <c r="F3" i="2"/>
  <c r="E3" i="2" s="1"/>
  <c r="D3" i="2" s="1"/>
  <c r="D44" i="2" s="1"/>
  <c r="Y31" i="6" l="1"/>
  <c r="Y32" i="6" s="1"/>
  <c r="Y33" i="6" s="1"/>
  <c r="Y34" i="6" s="1"/>
  <c r="Y35" i="6" s="1"/>
  <c r="Y36" i="6" s="1"/>
  <c r="Y37" i="6" s="1"/>
  <c r="Y38" i="6" s="1"/>
  <c r="Y39" i="6" s="1"/>
  <c r="Y40" i="6" s="1"/>
  <c r="Y41" i="6" s="1"/>
  <c r="Y42" i="6" s="1"/>
  <c r="Y43" i="6" s="1"/>
  <c r="Y44" i="6" s="1"/>
  <c r="Y45" i="6" s="1"/>
  <c r="Y46" i="6" s="1"/>
  <c r="Y47" i="6" s="1"/>
  <c r="Y48" i="6" s="1"/>
  <c r="Y49" i="6" s="1"/>
  <c r="Y50" i="6" s="1"/>
  <c r="Y51" i="6" s="1"/>
  <c r="Y52" i="6" s="1"/>
  <c r="Y53" i="6" s="1"/>
  <c r="Y54" i="6" s="1"/>
  <c r="Y55" i="6" s="1"/>
  <c r="Y56" i="6" s="1"/>
  <c r="Y57" i="6" s="1"/>
  <c r="Y58" i="6" s="1"/>
  <c r="Y59" i="6" s="1"/>
  <c r="Y60" i="6" s="1"/>
  <c r="Y61" i="6" s="1"/>
  <c r="Y62" i="6" s="1"/>
  <c r="Y63" i="6" s="1"/>
  <c r="Y64" i="6" s="1"/>
  <c r="Y65" i="6" s="1"/>
  <c r="Y66" i="6" s="1"/>
  <c r="Y67" i="6" s="1"/>
  <c r="Y68" i="6" s="1"/>
  <c r="Y69" i="6" s="1"/>
  <c r="Y70" i="6" s="1"/>
  <c r="Y71" i="6" s="1"/>
  <c r="Y72" i="6" s="1"/>
  <c r="Y73" i="6" s="1"/>
  <c r="Y74" i="6" s="1"/>
  <c r="Y75" i="6" s="1"/>
  <c r="Y76" i="6" s="1"/>
  <c r="Y77" i="6" s="1"/>
  <c r="Y78" i="6" s="1"/>
  <c r="Y79" i="6" s="1"/>
  <c r="Y80" i="6" s="1"/>
  <c r="Y81" i="6" s="1"/>
  <c r="Y82" i="6" s="1"/>
  <c r="Y83" i="6" s="1"/>
  <c r="Y84" i="6" s="1"/>
  <c r="Y85" i="6" s="1"/>
  <c r="Y86" i="6" s="1"/>
  <c r="Y87" i="6" s="1"/>
  <c r="Y88" i="6" s="1"/>
  <c r="Y89" i="6" s="1"/>
  <c r="Y90" i="6" s="1"/>
  <c r="Y91" i="6" s="1"/>
  <c r="Y92" i="6" s="1"/>
  <c r="Y93" i="6" s="1"/>
  <c r="Y94" i="6" s="1"/>
  <c r="Y95" i="6" s="1"/>
  <c r="Y96" i="6" s="1"/>
  <c r="Y97" i="6" s="1"/>
  <c r="Y98" i="6" s="1"/>
  <c r="Y99" i="6" s="1"/>
  <c r="Y100" i="6" s="1"/>
  <c r="Y101" i="6" s="1"/>
  <c r="Y102" i="6" s="1"/>
  <c r="Y103" i="6" s="1"/>
  <c r="Y104" i="6" s="1"/>
  <c r="Y105" i="6" s="1"/>
  <c r="Y106" i="6" s="1"/>
  <c r="Y107" i="6" s="1"/>
  <c r="Y108" i="6" s="1"/>
  <c r="G34" i="6"/>
  <c r="E44" i="2"/>
  <c r="F44" i="2"/>
  <c r="F3" i="3"/>
  <c r="E3" i="3" s="1"/>
  <c r="D3" i="3" s="1"/>
  <c r="D29" i="3"/>
  <c r="D25" i="3"/>
  <c r="D20" i="3"/>
  <c r="D22" i="3" s="1"/>
  <c r="D18" i="3"/>
  <c r="D24" i="3" s="1"/>
  <c r="G25" i="3"/>
  <c r="F25" i="3"/>
  <c r="E25" i="3"/>
  <c r="G29" i="3"/>
  <c r="F29" i="3"/>
  <c r="E29" i="3"/>
  <c r="G20" i="3"/>
  <c r="G22" i="3" s="1"/>
  <c r="G23" i="3" s="1"/>
  <c r="F20" i="3"/>
  <c r="F22" i="3" s="1"/>
  <c r="F23" i="3" s="1"/>
  <c r="E20" i="3"/>
  <c r="E22" i="3" s="1"/>
  <c r="E23" i="3" s="1"/>
  <c r="G18" i="3"/>
  <c r="G24" i="3" s="1"/>
  <c r="F18" i="3"/>
  <c r="F24" i="3" s="1"/>
  <c r="E18" i="3"/>
  <c r="E24" i="3" s="1"/>
  <c r="D23" i="3" l="1"/>
  <c r="D26" i="3" s="1"/>
  <c r="F26" i="3"/>
  <c r="E26" i="3"/>
  <c r="G26" i="3"/>
  <c r="F30" i="2" l="1"/>
  <c r="E30" i="2"/>
  <c r="D30" i="2"/>
  <c r="G30" i="2"/>
  <c r="G10" i="2"/>
  <c r="G15" i="2" s="1"/>
  <c r="F10" i="2"/>
  <c r="F15" i="2" s="1"/>
  <c r="E10" i="2"/>
  <c r="E15" i="2" s="1"/>
  <c r="D10" i="2"/>
  <c r="D15" i="2" s="1"/>
  <c r="F29" i="2" l="1"/>
  <c r="F31" i="2" s="1"/>
  <c r="F33" i="2" s="1"/>
  <c r="G29" i="2"/>
  <c r="G31" i="2" s="1"/>
  <c r="D29" i="2"/>
  <c r="D31" i="2" s="1"/>
  <c r="D33" i="2" l="1"/>
  <c r="D34" i="2" s="1"/>
  <c r="G33" i="2"/>
  <c r="G34" i="2" s="1"/>
  <c r="E29" i="2"/>
  <c r="E31" i="2" s="1"/>
  <c r="F34" i="2"/>
  <c r="G37" i="2" l="1"/>
  <c r="G40" i="2" s="1"/>
  <c r="G46" i="2" s="1"/>
  <c r="C43" i="2"/>
  <c r="D37" i="2"/>
  <c r="D40" i="2" s="1"/>
  <c r="E33" i="2"/>
  <c r="E34" i="2" s="1"/>
  <c r="E37" i="2" s="1"/>
  <c r="E40" i="2" s="1"/>
  <c r="E46" i="2" s="1"/>
  <c r="F37" i="2"/>
  <c r="F40" i="2" s="1"/>
  <c r="F46" i="2" s="1"/>
  <c r="C45" i="2" l="1"/>
  <c r="D46" i="2" s="1"/>
  <c r="G48" i="2" s="1"/>
</calcChain>
</file>

<file path=xl/sharedStrings.xml><?xml version="1.0" encoding="utf-8"?>
<sst xmlns="http://schemas.openxmlformats.org/spreadsheetml/2006/main" count="144" uniqueCount="101">
  <si>
    <t xml:space="preserve">Value of Equity </t>
  </si>
  <si>
    <t>Continuing value</t>
  </si>
  <si>
    <t>Discounting factor</t>
  </si>
  <si>
    <t>ROE</t>
  </si>
  <si>
    <t>Cost of equity</t>
  </si>
  <si>
    <t>Other comprehensive Income (Loss)</t>
  </si>
  <si>
    <t>(Increase) Decrease in equity</t>
  </si>
  <si>
    <t>Net Income</t>
  </si>
  <si>
    <t>Cashflow Statement</t>
  </si>
  <si>
    <t>Income Tax</t>
  </si>
  <si>
    <t>Operating Profit before taxes</t>
  </si>
  <si>
    <t>Operating Expense</t>
  </si>
  <si>
    <t>Net Interest Income</t>
  </si>
  <si>
    <t>Interest Expense</t>
  </si>
  <si>
    <t>Interest Income</t>
  </si>
  <si>
    <t>Income Statement</t>
  </si>
  <si>
    <t>Interest on loans</t>
  </si>
  <si>
    <t>Interest at deposits</t>
  </si>
  <si>
    <t>Market Risk Premium</t>
  </si>
  <si>
    <t>risk free rate</t>
  </si>
  <si>
    <t>Beta</t>
  </si>
  <si>
    <t>Equity</t>
  </si>
  <si>
    <t>Deposits</t>
  </si>
  <si>
    <t>Total Assets</t>
  </si>
  <si>
    <t>Loans</t>
  </si>
  <si>
    <t xml:space="preserve">Balance sheet </t>
  </si>
  <si>
    <t>Deposits Matched Opportunity Rate, %</t>
  </si>
  <si>
    <t>Loans Matched Opportunity rate,%</t>
  </si>
  <si>
    <t>Tax Rate</t>
  </si>
  <si>
    <t>Equity as a % of Total Assets</t>
  </si>
  <si>
    <t>Loans interest rate, %</t>
  </si>
  <si>
    <t>Loans Matched Opportunity Rate, %</t>
  </si>
  <si>
    <t>Loans relative to economic spread, %</t>
  </si>
  <si>
    <t>Loans Book Value</t>
  </si>
  <si>
    <t>Loans economic spread before taxes</t>
  </si>
  <si>
    <t>Taxes on Economic Spread</t>
  </si>
  <si>
    <t>Tax Penalty on Equity (TPE)</t>
  </si>
  <si>
    <t>Tax on Maturity mismatch (TMM)</t>
  </si>
  <si>
    <t>After Tax Economic Spread on Loans</t>
  </si>
  <si>
    <t>Deposits interest rate</t>
  </si>
  <si>
    <t>Deposits Matched Opportunity rate</t>
  </si>
  <si>
    <t>Deposits spread</t>
  </si>
  <si>
    <t>Deposits Book Value</t>
  </si>
  <si>
    <t>Deposits Economic Spread</t>
  </si>
  <si>
    <t>Net Interest Income After Tax</t>
  </si>
  <si>
    <t>Matched Capital Charge</t>
  </si>
  <si>
    <t>Mismatched Capital Charge</t>
  </si>
  <si>
    <t>Growth rate, 2025+</t>
  </si>
  <si>
    <t>Total Liabilities &amp; Equity</t>
  </si>
  <si>
    <t>Other</t>
  </si>
  <si>
    <t>Sample Solution</t>
  </si>
  <si>
    <t>Question</t>
  </si>
  <si>
    <t>Present Value of CFE</t>
  </si>
  <si>
    <t>Cash flow to equity (CFE)</t>
  </si>
  <si>
    <t>Economic Spread on Loans at 2024 = 99.6</t>
  </si>
  <si>
    <t>Matched Capital Charge at 2024 = 82.5</t>
  </si>
  <si>
    <t>Mismatched Capital Charge at 2024 = 65.0</t>
  </si>
  <si>
    <t>(i) &amp; (ii)</t>
  </si>
  <si>
    <t>Value of Commercial Banking Equity = 5982.6</t>
  </si>
  <si>
    <t>Economic Spread on Deposits at 2024 = -7.8</t>
  </si>
  <si>
    <t>(a) iii. On any given day, what is the probability that SEA will lose money on the new route?</t>
  </si>
  <si>
    <t>(a) ii. On any given day, what is the probability that the new route would earn more than the original?</t>
  </si>
  <si>
    <t>(a) I. Expected income over 100-days of the new route</t>
  </si>
  <si>
    <t>(a) i. Expected income over 100-days of the original route</t>
  </si>
  <si>
    <t>Questions relating to new route (simulation)</t>
  </si>
  <si>
    <t>&lt;&lt; CANDIDATES FILL OUT THIS SECTION &gt;&gt;</t>
  </si>
  <si>
    <t>R - C</t>
  </si>
  <si>
    <t>Income (Loss) (per day)</t>
  </si>
  <si>
    <t>( I )</t>
  </si>
  <si>
    <t>Cost</t>
  </si>
  <si>
    <t>Flights ( N )</t>
  </si>
  <si>
    <t>Cost per flight (per day)</t>
  </si>
  <si>
    <t>( C )</t>
  </si>
  <si>
    <t>N x P</t>
  </si>
  <si>
    <t>Total revenues (per day)</t>
  </si>
  <si>
    <t>( R )</t>
  </si>
  <si>
    <t>StdDev</t>
  </si>
  <si>
    <t>Mean</t>
  </si>
  <si>
    <t>Normal</t>
  </si>
  <si>
    <t>Model</t>
  </si>
  <si>
    <t>Price per flight (per day)</t>
  </si>
  <si>
    <t>( P )</t>
  </si>
  <si>
    <t>Number</t>
  </si>
  <si>
    <t>Probability</t>
  </si>
  <si>
    <t>Binomial</t>
  </si>
  <si>
    <t>Flights (per day)</t>
  </si>
  <si>
    <t>( N )</t>
  </si>
  <si>
    <t>Cumulative Income</t>
  </si>
  <si>
    <t>Income (Loss)</t>
  </si>
  <si>
    <t>Revenue</t>
  </si>
  <si>
    <t>Price</t>
  </si>
  <si>
    <t>Flights</t>
  </si>
  <si>
    <t>P</t>
  </si>
  <si>
    <t>N</t>
  </si>
  <si>
    <t>Day</t>
  </si>
  <si>
    <t>New Route</t>
  </si>
  <si>
    <t>Original</t>
  </si>
  <si>
    <t>Random Numbers (0, 1)</t>
  </si>
  <si>
    <t>&lt;&lt; GIVEN INPUTS &gt;&gt;</t>
  </si>
  <si>
    <t>&lt;&lt; GIVEN MODEL PARAMETERS &gt;&gt;</t>
  </si>
  <si>
    <t>SEA: Exploring a new route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</si>
</sst>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_-* #,##0.00_-;\-* #,##0.00_-;_-* &quot;-&quot;??_-;_-@_-"/>
    <numFmt numFmtId="165" formatCode="_-* #,##0.0_-;\-* #,##0.0_-;_-* &quot;-&quot;??_-;_-@_-"/>
    <numFmt numFmtId="166" formatCode="_-* #,##0_-;\-* #,##0_-;_-* &quot;-&quot;??_-;_-@_-"/>
    <numFmt numFmtId="167" formatCode="_-* #,##0.000_-;\-* #,##0.000_-;_-* &quot;-&quot;??_-;_-@_-"/>
    <numFmt numFmtId="168" formatCode="0.0%"/>
    <numFmt numFmtId="169" formatCode="0.0"/>
    <numFmt numFmtId="170" formatCode="_-* #,##0.0_-;\-* #,##0.0_-;_-* &quot;-&quot;?_-;_-@_-"/>
    <numFmt numFmtId="171" formatCode="#,##0_ ;[Red]\-#,##0\ "/>
    <numFmt numFmtId="172" formatCode="0.0000"/>
    <numFmt numFmtId="173" formatCode="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0066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C389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/>
      <right/>
      <top/>
      <bottom style="thin">
        <color rgb="FF7030A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rgb="FF7030A0"/>
      </top>
      <bottom style="thin">
        <color theme="0" tint="-0.14996795556505021"/>
      </bottom>
      <diagonal/>
    </border>
    <border>
      <left/>
      <right/>
      <top/>
      <bottom style="double">
        <color rgb="FF7030A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3">
    <xf numFmtId="0" fontId="0" fillId="0" borderId="0" xfId="0"/>
    <xf numFmtId="0" fontId="0" fillId="2" borderId="0" xfId="0" applyFill="1"/>
    <xf numFmtId="0" fontId="0" fillId="2" borderId="4" xfId="0" applyFill="1" applyBorder="1"/>
    <xf numFmtId="0" fontId="0" fillId="2" borderId="5" xfId="0" applyFill="1" applyBorder="1"/>
    <xf numFmtId="165" fontId="3" fillId="2" borderId="0" xfId="1" applyNumberFormat="1" applyFont="1" applyFill="1" applyBorder="1"/>
    <xf numFmtId="9" fontId="4" fillId="2" borderId="0" xfId="2" applyFont="1" applyFill="1" applyBorder="1"/>
    <xf numFmtId="166" fontId="4" fillId="2" borderId="0" xfId="1" applyNumberFormat="1" applyFont="1" applyFill="1" applyBorder="1"/>
    <xf numFmtId="167" fontId="4" fillId="2" borderId="0" xfId="1" applyNumberFormat="1" applyFont="1" applyFill="1" applyBorder="1"/>
    <xf numFmtId="165" fontId="4" fillId="2" borderId="0" xfId="1" applyNumberFormat="1" applyFont="1" applyFill="1" applyBorder="1"/>
    <xf numFmtId="165" fontId="4" fillId="2" borderId="4" xfId="1" applyNumberFormat="1" applyFont="1" applyFill="1" applyBorder="1"/>
    <xf numFmtId="166" fontId="0" fillId="2" borderId="0" xfId="1" applyNumberFormat="1" applyFont="1" applyFill="1" applyBorder="1"/>
    <xf numFmtId="165" fontId="0" fillId="2" borderId="4" xfId="1" applyNumberFormat="1" applyFont="1" applyFill="1" applyBorder="1"/>
    <xf numFmtId="165" fontId="0" fillId="2" borderId="0" xfId="1" applyNumberFormat="1" applyFont="1" applyFill="1" applyBorder="1"/>
    <xf numFmtId="165" fontId="5" fillId="2" borderId="4" xfId="1" applyNumberFormat="1" applyFont="1" applyFill="1" applyBorder="1"/>
    <xf numFmtId="165" fontId="5" fillId="2" borderId="0" xfId="1" applyNumberFormat="1" applyFont="1" applyFill="1" applyBorder="1"/>
    <xf numFmtId="0" fontId="5" fillId="2" borderId="5" xfId="0" applyFont="1" applyFill="1" applyBorder="1"/>
    <xf numFmtId="166" fontId="0" fillId="2" borderId="4" xfId="1" applyNumberFormat="1" applyFont="1" applyFill="1" applyBorder="1"/>
    <xf numFmtId="168" fontId="0" fillId="2" borderId="0" xfId="2" applyNumberFormat="1" applyFont="1" applyFill="1" applyBorder="1"/>
    <xf numFmtId="166" fontId="0" fillId="3" borderId="4" xfId="1" applyNumberFormat="1" applyFont="1" applyFill="1" applyBorder="1"/>
    <xf numFmtId="0" fontId="2" fillId="2" borderId="0" xfId="0" applyFont="1" applyFill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6" fillId="2" borderId="5" xfId="0" applyFont="1" applyFill="1" applyBorder="1"/>
    <xf numFmtId="0" fontId="6" fillId="2" borderId="0" xfId="0" applyFont="1" applyFill="1"/>
    <xf numFmtId="0" fontId="6" fillId="2" borderId="4" xfId="1" applyNumberFormat="1" applyFont="1" applyFill="1" applyBorder="1"/>
    <xf numFmtId="0" fontId="0" fillId="3" borderId="0" xfId="0" applyFill="1"/>
    <xf numFmtId="165" fontId="7" fillId="2" borderId="0" xfId="1" applyNumberFormat="1" applyFont="1" applyFill="1" applyBorder="1"/>
    <xf numFmtId="165" fontId="7" fillId="2" borderId="4" xfId="1" applyNumberFormat="1" applyFont="1" applyFill="1" applyBorder="1"/>
    <xf numFmtId="0" fontId="7" fillId="2" borderId="5" xfId="0" applyFont="1" applyFill="1" applyBorder="1"/>
    <xf numFmtId="165" fontId="8" fillId="2" borderId="0" xfId="1" applyNumberFormat="1" applyFont="1" applyFill="1" applyBorder="1"/>
    <xf numFmtId="0" fontId="7" fillId="2" borderId="2" xfId="0" applyFont="1" applyFill="1" applyBorder="1"/>
    <xf numFmtId="0" fontId="7" fillId="2" borderId="8" xfId="0" applyFont="1" applyFill="1" applyBorder="1"/>
    <xf numFmtId="165" fontId="7" fillId="2" borderId="7" xfId="1" applyNumberFormat="1" applyFont="1" applyFill="1" applyBorder="1"/>
    <xf numFmtId="165" fontId="7" fillId="2" borderId="6" xfId="1" applyNumberFormat="1" applyFont="1" applyFill="1" applyBorder="1"/>
    <xf numFmtId="0" fontId="7" fillId="2" borderId="0" xfId="0" applyFont="1" applyFill="1"/>
    <xf numFmtId="0" fontId="0" fillId="2" borderId="8" xfId="0" applyFill="1" applyBorder="1"/>
    <xf numFmtId="168" fontId="7" fillId="2" borderId="0" xfId="0" applyNumberFormat="1" applyFont="1" applyFill="1"/>
    <xf numFmtId="168" fontId="7" fillId="2" borderId="4" xfId="0" applyNumberFormat="1" applyFont="1" applyFill="1" applyBorder="1"/>
    <xf numFmtId="168" fontId="7" fillId="2" borderId="0" xfId="2" applyNumberFormat="1" applyFont="1" applyFill="1" applyBorder="1"/>
    <xf numFmtId="168" fontId="7" fillId="2" borderId="4" xfId="2" applyNumberFormat="1" applyFont="1" applyFill="1" applyBorder="1"/>
    <xf numFmtId="43" fontId="0" fillId="2" borderId="0" xfId="0" applyNumberFormat="1" applyFill="1"/>
    <xf numFmtId="0" fontId="0" fillId="2" borderId="7" xfId="0" applyFill="1" applyBorder="1"/>
    <xf numFmtId="0" fontId="5" fillId="2" borderId="0" xfId="0" applyFont="1" applyFill="1"/>
    <xf numFmtId="0" fontId="7" fillId="2" borderId="7" xfId="0" applyFont="1" applyFill="1" applyBorder="1"/>
    <xf numFmtId="165" fontId="0" fillId="0" borderId="4" xfId="1" applyNumberFormat="1" applyFont="1" applyFill="1" applyBorder="1"/>
    <xf numFmtId="0" fontId="7" fillId="4" borderId="5" xfId="0" applyFont="1" applyFill="1" applyBorder="1"/>
    <xf numFmtId="165" fontId="8" fillId="4" borderId="4" xfId="1" applyNumberFormat="1" applyFont="1" applyFill="1" applyBorder="1"/>
    <xf numFmtId="165" fontId="0" fillId="2" borderId="5" xfId="1" applyNumberFormat="1" applyFont="1" applyFill="1" applyBorder="1"/>
    <xf numFmtId="165" fontId="0" fillId="0" borderId="5" xfId="1" applyNumberFormat="1" applyFont="1" applyFill="1" applyBorder="1"/>
    <xf numFmtId="0" fontId="0" fillId="0" borderId="5" xfId="0" applyBorder="1"/>
    <xf numFmtId="168" fontId="0" fillId="0" borderId="0" xfId="2" applyNumberFormat="1" applyFont="1" applyFill="1" applyBorder="1"/>
    <xf numFmtId="166" fontId="0" fillId="0" borderId="4" xfId="1" applyNumberFormat="1" applyFont="1" applyFill="1" applyBorder="1"/>
    <xf numFmtId="10" fontId="0" fillId="0" borderId="0" xfId="0" applyNumberFormat="1"/>
    <xf numFmtId="168" fontId="0" fillId="0" borderId="0" xfId="0" applyNumberFormat="1"/>
    <xf numFmtId="168" fontId="0" fillId="0" borderId="4" xfId="0" applyNumberFormat="1" applyBorder="1"/>
    <xf numFmtId="168" fontId="0" fillId="0" borderId="4" xfId="2" applyNumberFormat="1" applyFont="1" applyFill="1" applyBorder="1"/>
    <xf numFmtId="0" fontId="0" fillId="0" borderId="4" xfId="0" applyBorder="1"/>
    <xf numFmtId="0" fontId="5" fillId="0" borderId="5" xfId="0" applyFont="1" applyBorder="1"/>
    <xf numFmtId="0" fontId="5" fillId="0" borderId="0" xfId="0" applyFont="1"/>
    <xf numFmtId="165" fontId="5" fillId="0" borderId="0" xfId="1" applyNumberFormat="1" applyFont="1" applyFill="1" applyBorder="1"/>
    <xf numFmtId="165" fontId="5" fillId="0" borderId="4" xfId="1" applyNumberFormat="1" applyFont="1" applyFill="1" applyBorder="1"/>
    <xf numFmtId="168" fontId="5" fillId="0" borderId="0" xfId="2" applyNumberFormat="1" applyFont="1" applyFill="1" applyBorder="1"/>
    <xf numFmtId="168" fontId="5" fillId="0" borderId="4" xfId="2" applyNumberFormat="1" applyFont="1" applyFill="1" applyBorder="1"/>
    <xf numFmtId="0" fontId="0" fillId="0" borderId="3" xfId="0" applyBorder="1"/>
    <xf numFmtId="0" fontId="0" fillId="0" borderId="2" xfId="0" applyBorder="1"/>
    <xf numFmtId="168" fontId="5" fillId="0" borderId="2" xfId="2" applyNumberFormat="1" applyFont="1" applyFill="1" applyBorder="1"/>
    <xf numFmtId="168" fontId="5" fillId="0" borderId="1" xfId="2" applyNumberFormat="1" applyFont="1" applyFill="1" applyBorder="1"/>
    <xf numFmtId="0" fontId="7" fillId="0" borderId="5" xfId="0" applyFont="1" applyBorder="1"/>
    <xf numFmtId="0" fontId="7" fillId="0" borderId="0" xfId="0" applyFont="1"/>
    <xf numFmtId="165" fontId="7" fillId="0" borderId="0" xfId="1" applyNumberFormat="1" applyFont="1" applyFill="1" applyBorder="1"/>
    <xf numFmtId="165" fontId="7" fillId="0" borderId="4" xfId="1" applyNumberFormat="1" applyFont="1" applyFill="1" applyBorder="1"/>
    <xf numFmtId="0" fontId="8" fillId="0" borderId="5" xfId="0" applyFont="1" applyBorder="1"/>
    <xf numFmtId="0" fontId="8" fillId="0" borderId="0" xfId="0" applyFont="1"/>
    <xf numFmtId="165" fontId="8" fillId="0" borderId="0" xfId="1" applyNumberFormat="1" applyFont="1" applyFill="1" applyBorder="1"/>
    <xf numFmtId="165" fontId="8" fillId="0" borderId="4" xfId="1" applyNumberFormat="1" applyFont="1" applyFill="1" applyBorder="1"/>
    <xf numFmtId="0" fontId="7" fillId="0" borderId="4" xfId="0" applyFont="1" applyBorder="1"/>
    <xf numFmtId="10" fontId="8" fillId="0" borderId="0" xfId="0" applyNumberFormat="1" applyFont="1"/>
    <xf numFmtId="9" fontId="9" fillId="0" borderId="9" xfId="2" applyFont="1" applyFill="1" applyBorder="1"/>
    <xf numFmtId="9" fontId="7" fillId="0" borderId="0" xfId="2" applyFont="1" applyFill="1" applyBorder="1"/>
    <xf numFmtId="164" fontId="7" fillId="0" borderId="0" xfId="1" applyFont="1" applyFill="1" applyBorder="1"/>
    <xf numFmtId="164" fontId="7" fillId="0" borderId="4" xfId="1" applyFont="1" applyFill="1" applyBorder="1"/>
    <xf numFmtId="166" fontId="8" fillId="0" borderId="0" xfId="1" applyNumberFormat="1" applyFont="1" applyFill="1" applyBorder="1"/>
    <xf numFmtId="0" fontId="8" fillId="4" borderId="3" xfId="0" applyFont="1" applyFill="1" applyBorder="1"/>
    <xf numFmtId="0" fontId="8" fillId="4" borderId="2" xfId="0" applyFont="1" applyFill="1" applyBorder="1"/>
    <xf numFmtId="0" fontId="7" fillId="4" borderId="2" xfId="0" applyFont="1" applyFill="1" applyBorder="1"/>
    <xf numFmtId="165" fontId="8" fillId="4" borderId="1" xfId="1" applyNumberFormat="1" applyFont="1" applyFill="1" applyBorder="1"/>
    <xf numFmtId="0" fontId="2" fillId="0" borderId="8" xfId="0" applyFont="1" applyBorder="1"/>
    <xf numFmtId="0" fontId="2" fillId="0" borderId="7" xfId="0" applyFont="1" applyBorder="1"/>
    <xf numFmtId="0" fontId="2" fillId="0" borderId="6" xfId="0" applyFont="1" applyBorder="1"/>
    <xf numFmtId="165" fontId="0" fillId="0" borderId="0" xfId="1" applyNumberFormat="1" applyFont="1" applyFill="1" applyBorder="1"/>
    <xf numFmtId="0" fontId="6" fillId="0" borderId="5" xfId="0" applyFont="1" applyBorder="1"/>
    <xf numFmtId="0" fontId="6" fillId="0" borderId="0" xfId="0" applyFont="1"/>
    <xf numFmtId="168" fontId="0" fillId="0" borderId="2" xfId="0" applyNumberFormat="1" applyBorder="1"/>
    <xf numFmtId="0" fontId="7" fillId="4" borderId="3" xfId="0" applyFont="1" applyFill="1" applyBorder="1"/>
    <xf numFmtId="169" fontId="8" fillId="2" borderId="2" xfId="0" applyNumberFormat="1" applyFont="1" applyFill="1" applyBorder="1"/>
    <xf numFmtId="169" fontId="8" fillId="4" borderId="1" xfId="0" applyNumberFormat="1" applyFont="1" applyFill="1" applyBorder="1"/>
    <xf numFmtId="168" fontId="0" fillId="0" borderId="1" xfId="0" applyNumberFormat="1" applyBorder="1"/>
    <xf numFmtId="170" fontId="7" fillId="2" borderId="0" xfId="0" applyNumberFormat="1" applyFont="1" applyFill="1"/>
    <xf numFmtId="170" fontId="7" fillId="2" borderId="2" xfId="0" applyNumberFormat="1" applyFont="1" applyFill="1" applyBorder="1"/>
    <xf numFmtId="0" fontId="6" fillId="2" borderId="7" xfId="0" applyFont="1" applyFill="1" applyBorder="1"/>
    <xf numFmtId="0" fontId="6" fillId="2" borderId="6" xfId="0" applyFont="1" applyFill="1" applyBorder="1"/>
    <xf numFmtId="170" fontId="7" fillId="4" borderId="4" xfId="0" applyNumberFormat="1" applyFont="1" applyFill="1" applyBorder="1"/>
    <xf numFmtId="170" fontId="7" fillId="4" borderId="1" xfId="0" applyNumberFormat="1" applyFont="1" applyFill="1" applyBorder="1"/>
    <xf numFmtId="0" fontId="0" fillId="2" borderId="0" xfId="0" applyFill="1" applyAlignment="1">
      <alignment horizontal="center"/>
    </xf>
    <xf numFmtId="171" fontId="2" fillId="0" borderId="10" xfId="0" applyNumberFormat="1" applyFont="1" applyBorder="1"/>
    <xf numFmtId="171" fontId="0" fillId="0" borderId="10" xfId="0" applyNumberFormat="1" applyBorder="1"/>
    <xf numFmtId="0" fontId="0" fillId="0" borderId="10" xfId="0" applyBorder="1"/>
    <xf numFmtId="172" fontId="0" fillId="5" borderId="0" xfId="0" applyNumberFormat="1" applyFill="1"/>
    <xf numFmtId="0" fontId="2" fillId="0" borderId="0" xfId="0" applyFont="1" applyAlignment="1">
      <alignment horizontal="center"/>
    </xf>
    <xf numFmtId="0" fontId="0" fillId="5" borderId="0" xfId="0" applyFill="1"/>
    <xf numFmtId="168" fontId="0" fillId="6" borderId="11" xfId="2" applyNumberFormat="1" applyFont="1" applyFill="1" applyBorder="1"/>
    <xf numFmtId="171" fontId="0" fillId="6" borderId="11" xfId="1" applyNumberFormat="1" applyFont="1" applyFill="1" applyBorder="1"/>
    <xf numFmtId="0" fontId="0" fillId="5" borderId="0" xfId="0" applyFill="1" applyAlignment="1">
      <alignment horizontal="left"/>
    </xf>
    <xf numFmtId="0" fontId="11" fillId="0" borderId="12" xfId="0" applyFont="1" applyBorder="1"/>
    <xf numFmtId="0" fontId="2" fillId="7" borderId="0" xfId="0" applyFont="1" applyFill="1" applyAlignment="1">
      <alignment horizontal="centerContinuous"/>
    </xf>
    <xf numFmtId="1" fontId="0" fillId="8" borderId="13" xfId="2" applyNumberFormat="1" applyFont="1" applyFill="1" applyBorder="1" applyAlignment="1">
      <alignment horizontal="center"/>
    </xf>
    <xf numFmtId="0" fontId="2" fillId="5" borderId="0" xfId="0" applyFont="1" applyFill="1"/>
    <xf numFmtId="0" fontId="10" fillId="0" borderId="0" xfId="0" applyFont="1" applyAlignment="1">
      <alignment horizontal="right"/>
    </xf>
    <xf numFmtId="0" fontId="0" fillId="0" borderId="0" xfId="0" applyAlignment="1">
      <alignment horizontal="right"/>
    </xf>
    <xf numFmtId="1" fontId="0" fillId="9" borderId="13" xfId="2" applyNumberFormat="1" applyFont="1" applyFill="1" applyBorder="1" applyAlignment="1">
      <alignment horizontal="center"/>
    </xf>
    <xf numFmtId="0" fontId="0" fillId="5" borderId="0" xfId="0" applyFill="1" applyAlignment="1">
      <alignment horizontal="right"/>
    </xf>
    <xf numFmtId="1" fontId="0" fillId="5" borderId="0" xfId="2" applyNumberFormat="1" applyFont="1" applyFill="1" applyBorder="1" applyAlignment="1">
      <alignment vertical="center"/>
    </xf>
    <xf numFmtId="0" fontId="0" fillId="5" borderId="0" xfId="0" applyFill="1" applyAlignment="1">
      <alignment horizontal="center"/>
    </xf>
    <xf numFmtId="0" fontId="2" fillId="0" borderId="0" xfId="0" applyFont="1"/>
    <xf numFmtId="0" fontId="0" fillId="5" borderId="0" xfId="0" applyFill="1" applyAlignment="1">
      <alignment vertical="center"/>
    </xf>
    <xf numFmtId="0" fontId="2" fillId="5" borderId="0" xfId="0" applyFont="1" applyFill="1" applyAlignment="1">
      <alignment vertical="center"/>
    </xf>
    <xf numFmtId="0" fontId="10" fillId="0" borderId="0" xfId="0" applyFont="1" applyAlignment="1">
      <alignment horizontal="right" vertical="center"/>
    </xf>
    <xf numFmtId="169" fontId="0" fillId="9" borderId="13" xfId="2" applyNumberFormat="1" applyFont="1" applyFill="1" applyBorder="1" applyAlignment="1">
      <alignment horizontal="center"/>
    </xf>
    <xf numFmtId="168" fontId="0" fillId="9" borderId="13" xfId="2" applyNumberFormat="1" applyFont="1" applyFill="1" applyBorder="1" applyAlignment="1">
      <alignment horizontal="center"/>
    </xf>
    <xf numFmtId="171" fontId="2" fillId="0" borderId="14" xfId="0" applyNumberFormat="1" applyFont="1" applyBorder="1"/>
    <xf numFmtId="171" fontId="0" fillId="0" borderId="14" xfId="0" applyNumberFormat="1" applyBorder="1"/>
    <xf numFmtId="0" fontId="0" fillId="0" borderId="14" xfId="0" applyBorder="1"/>
    <xf numFmtId="1" fontId="0" fillId="0" borderId="10" xfId="0" applyNumberFormat="1" applyBorder="1"/>
    <xf numFmtId="0" fontId="10" fillId="0" borderId="12" xfId="0" applyFont="1" applyBorder="1" applyAlignment="1">
      <alignment horizontal="right" wrapText="1"/>
    </xf>
    <xf numFmtId="0" fontId="10" fillId="0" borderId="12" xfId="0" applyFont="1" applyBorder="1" applyAlignment="1">
      <alignment horizontal="center"/>
    </xf>
    <xf numFmtId="0" fontId="11" fillId="0" borderId="0" xfId="0" applyFont="1" applyAlignment="1">
      <alignment horizontal="right"/>
    </xf>
    <xf numFmtId="0" fontId="11" fillId="0" borderId="12" xfId="0" applyFont="1" applyBorder="1" applyAlignment="1">
      <alignment horizontal="centerContinuous"/>
    </xf>
    <xf numFmtId="0" fontId="11" fillId="0" borderId="12" xfId="0" applyFont="1" applyBorder="1" applyAlignment="1">
      <alignment horizontal="center"/>
    </xf>
    <xf numFmtId="173" fontId="0" fillId="0" borderId="0" xfId="0" applyNumberFormat="1"/>
    <xf numFmtId="0" fontId="2" fillId="10" borderId="0" xfId="0" applyFont="1" applyFill="1" applyAlignment="1">
      <alignment horizontal="centerContinuous"/>
    </xf>
    <xf numFmtId="0" fontId="12" fillId="0" borderId="15" xfId="0" applyFont="1" applyBorder="1"/>
    <xf numFmtId="0" fontId="13" fillId="0" borderId="15" xfId="0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99"/>
      <color rgb="FF66FFFF"/>
      <color rgb="FFFFCCFF"/>
      <color rgb="FF006600"/>
      <color rgb="FF0000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baseline="0"/>
              <a:t>100 Day Profitability:Original vs. New Route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913979764915682E-2"/>
          <c:y val="0.17171296296296296"/>
          <c:w val="0.88099293850227955"/>
          <c:h val="0.72683177760000295"/>
        </c:manualLayout>
      </c:layout>
      <c:lineChart>
        <c:grouping val="standard"/>
        <c:varyColors val="0"/>
        <c:ser>
          <c:idx val="0"/>
          <c:order val="0"/>
          <c:tx>
            <c:v>Original</c:v>
          </c:tx>
          <c:spPr>
            <a:ln w="22225" cap="rnd" cmpd="sng" algn="ctr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'ITEM (COMPLETE)'!$R$9:$R$108</c:f>
              <c:numCache>
                <c:formatCode>#,##0_ ;[Red]\-#,##0\ </c:formatCode>
                <c:ptCount val="100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  <c:pt idx="9">
                  <c:v>2000</c:v>
                </c:pt>
                <c:pt idx="10">
                  <c:v>2200</c:v>
                </c:pt>
                <c:pt idx="11">
                  <c:v>2400</c:v>
                </c:pt>
                <c:pt idx="12">
                  <c:v>2600</c:v>
                </c:pt>
                <c:pt idx="13">
                  <c:v>2800</c:v>
                </c:pt>
                <c:pt idx="14">
                  <c:v>3000</c:v>
                </c:pt>
                <c:pt idx="15">
                  <c:v>3200</c:v>
                </c:pt>
                <c:pt idx="16">
                  <c:v>3400</c:v>
                </c:pt>
                <c:pt idx="17">
                  <c:v>3600</c:v>
                </c:pt>
                <c:pt idx="18">
                  <c:v>3800</c:v>
                </c:pt>
                <c:pt idx="19">
                  <c:v>4000</c:v>
                </c:pt>
                <c:pt idx="20">
                  <c:v>4200</c:v>
                </c:pt>
                <c:pt idx="21">
                  <c:v>4400</c:v>
                </c:pt>
                <c:pt idx="22">
                  <c:v>4600</c:v>
                </c:pt>
                <c:pt idx="23">
                  <c:v>4800</c:v>
                </c:pt>
                <c:pt idx="24">
                  <c:v>5000</c:v>
                </c:pt>
                <c:pt idx="25">
                  <c:v>5200</c:v>
                </c:pt>
                <c:pt idx="26">
                  <c:v>5400</c:v>
                </c:pt>
                <c:pt idx="27">
                  <c:v>5600</c:v>
                </c:pt>
                <c:pt idx="28">
                  <c:v>5800</c:v>
                </c:pt>
                <c:pt idx="29">
                  <c:v>6000</c:v>
                </c:pt>
                <c:pt idx="30">
                  <c:v>6200</c:v>
                </c:pt>
                <c:pt idx="31">
                  <c:v>6400</c:v>
                </c:pt>
                <c:pt idx="32">
                  <c:v>6600</c:v>
                </c:pt>
                <c:pt idx="33">
                  <c:v>6800</c:v>
                </c:pt>
                <c:pt idx="34">
                  <c:v>7000</c:v>
                </c:pt>
                <c:pt idx="35">
                  <c:v>7200</c:v>
                </c:pt>
                <c:pt idx="36">
                  <c:v>7400</c:v>
                </c:pt>
                <c:pt idx="37">
                  <c:v>7600</c:v>
                </c:pt>
                <c:pt idx="38">
                  <c:v>7800</c:v>
                </c:pt>
                <c:pt idx="39">
                  <c:v>8000</c:v>
                </c:pt>
                <c:pt idx="40">
                  <c:v>8200</c:v>
                </c:pt>
                <c:pt idx="41">
                  <c:v>8400</c:v>
                </c:pt>
                <c:pt idx="42">
                  <c:v>8600</c:v>
                </c:pt>
                <c:pt idx="43">
                  <c:v>8800</c:v>
                </c:pt>
                <c:pt idx="44">
                  <c:v>9000</c:v>
                </c:pt>
                <c:pt idx="45">
                  <c:v>9200</c:v>
                </c:pt>
                <c:pt idx="46">
                  <c:v>9400</c:v>
                </c:pt>
                <c:pt idx="47">
                  <c:v>9600</c:v>
                </c:pt>
                <c:pt idx="48">
                  <c:v>9800</c:v>
                </c:pt>
                <c:pt idx="49">
                  <c:v>10000</c:v>
                </c:pt>
                <c:pt idx="50">
                  <c:v>10200</c:v>
                </c:pt>
                <c:pt idx="51">
                  <c:v>10400</c:v>
                </c:pt>
                <c:pt idx="52">
                  <c:v>10600</c:v>
                </c:pt>
                <c:pt idx="53">
                  <c:v>10800</c:v>
                </c:pt>
                <c:pt idx="54">
                  <c:v>11000</c:v>
                </c:pt>
                <c:pt idx="55">
                  <c:v>11200</c:v>
                </c:pt>
                <c:pt idx="56">
                  <c:v>11400</c:v>
                </c:pt>
                <c:pt idx="57">
                  <c:v>11600</c:v>
                </c:pt>
                <c:pt idx="58">
                  <c:v>11800</c:v>
                </c:pt>
                <c:pt idx="59">
                  <c:v>12000</c:v>
                </c:pt>
                <c:pt idx="60">
                  <c:v>12200</c:v>
                </c:pt>
                <c:pt idx="61">
                  <c:v>12400</c:v>
                </c:pt>
                <c:pt idx="62">
                  <c:v>12600</c:v>
                </c:pt>
                <c:pt idx="63">
                  <c:v>12800</c:v>
                </c:pt>
                <c:pt idx="64">
                  <c:v>13000</c:v>
                </c:pt>
                <c:pt idx="65">
                  <c:v>13200</c:v>
                </c:pt>
                <c:pt idx="66">
                  <c:v>13400</c:v>
                </c:pt>
                <c:pt idx="67">
                  <c:v>13600</c:v>
                </c:pt>
                <c:pt idx="68">
                  <c:v>13800</c:v>
                </c:pt>
                <c:pt idx="69">
                  <c:v>14000</c:v>
                </c:pt>
                <c:pt idx="70">
                  <c:v>14200</c:v>
                </c:pt>
                <c:pt idx="71">
                  <c:v>14400</c:v>
                </c:pt>
                <c:pt idx="72">
                  <c:v>14600</c:v>
                </c:pt>
                <c:pt idx="73">
                  <c:v>14800</c:v>
                </c:pt>
                <c:pt idx="74">
                  <c:v>15000</c:v>
                </c:pt>
                <c:pt idx="75">
                  <c:v>15200</c:v>
                </c:pt>
                <c:pt idx="76">
                  <c:v>15400</c:v>
                </c:pt>
                <c:pt idx="77">
                  <c:v>15600</c:v>
                </c:pt>
                <c:pt idx="78">
                  <c:v>15800</c:v>
                </c:pt>
                <c:pt idx="79">
                  <c:v>16000</c:v>
                </c:pt>
                <c:pt idx="80">
                  <c:v>16200</c:v>
                </c:pt>
                <c:pt idx="81">
                  <c:v>16400</c:v>
                </c:pt>
                <c:pt idx="82">
                  <c:v>16600</c:v>
                </c:pt>
                <c:pt idx="83">
                  <c:v>16800</c:v>
                </c:pt>
                <c:pt idx="84">
                  <c:v>17000</c:v>
                </c:pt>
                <c:pt idx="85">
                  <c:v>17200</c:v>
                </c:pt>
                <c:pt idx="86">
                  <c:v>17400</c:v>
                </c:pt>
                <c:pt idx="87">
                  <c:v>17600</c:v>
                </c:pt>
                <c:pt idx="88">
                  <c:v>17800</c:v>
                </c:pt>
                <c:pt idx="89">
                  <c:v>18000</c:v>
                </c:pt>
                <c:pt idx="90">
                  <c:v>18200</c:v>
                </c:pt>
                <c:pt idx="91">
                  <c:v>18400</c:v>
                </c:pt>
                <c:pt idx="92">
                  <c:v>18600</c:v>
                </c:pt>
                <c:pt idx="93">
                  <c:v>18800</c:v>
                </c:pt>
                <c:pt idx="94">
                  <c:v>19000</c:v>
                </c:pt>
                <c:pt idx="95">
                  <c:v>19200</c:v>
                </c:pt>
                <c:pt idx="96">
                  <c:v>19400</c:v>
                </c:pt>
                <c:pt idx="97">
                  <c:v>19600</c:v>
                </c:pt>
                <c:pt idx="98">
                  <c:v>19800</c:v>
                </c:pt>
                <c:pt idx="99">
                  <c:v>20000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7F-4A3F-ADF7-730F2799F510}"/>
            </c:ext>
          </c:extLst>
        </c:ser>
        <c:ser>
          <c:idx val="1"/>
          <c:order val="1"/>
          <c:tx>
            <c:v>New Route</c:v>
          </c:tx>
          <c:spPr>
            <a:ln w="22225" cap="rnd" cmpd="sng" algn="ctr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'ITEM (COMPLETE)'!$Y$9:$Y$108</c:f>
              <c:numCache>
                <c:formatCode>#,##0_ ;[Red]\-#,##0\ </c:formatCode>
                <c:ptCount val="100"/>
                <c:pt idx="0">
                  <c:v>177.76734083402823</c:v>
                </c:pt>
                <c:pt idx="1">
                  <c:v>552.92915503162624</c:v>
                </c:pt>
                <c:pt idx="2">
                  <c:v>712.466812497869</c:v>
                </c:pt>
                <c:pt idx="3">
                  <c:v>-87.533187502131</c:v>
                </c:pt>
                <c:pt idx="4">
                  <c:v>970.13625181392501</c:v>
                </c:pt>
                <c:pt idx="5">
                  <c:v>1945.6440342974893</c:v>
                </c:pt>
                <c:pt idx="6">
                  <c:v>2483.6885076155395</c:v>
                </c:pt>
                <c:pt idx="7">
                  <c:v>3192.5243643842332</c:v>
                </c:pt>
                <c:pt idx="8">
                  <c:v>3863.4799193917079</c:v>
                </c:pt>
                <c:pt idx="9">
                  <c:v>3983.3690252232755</c:v>
                </c:pt>
                <c:pt idx="10">
                  <c:v>4061.2285440069809</c:v>
                </c:pt>
                <c:pt idx="11">
                  <c:v>4223.3510615700116</c:v>
                </c:pt>
                <c:pt idx="12">
                  <c:v>4686.5346247349353</c:v>
                </c:pt>
                <c:pt idx="13">
                  <c:v>4787.5578659119155</c:v>
                </c:pt>
                <c:pt idx="14">
                  <c:v>3987.5578659119155</c:v>
                </c:pt>
                <c:pt idx="15">
                  <c:v>4207.46764362665</c:v>
                </c:pt>
                <c:pt idx="16">
                  <c:v>5890.7648162363766</c:v>
                </c:pt>
                <c:pt idx="17">
                  <c:v>5090.7648162363766</c:v>
                </c:pt>
                <c:pt idx="18">
                  <c:v>5443.6664485277679</c:v>
                </c:pt>
                <c:pt idx="19">
                  <c:v>6121.3678674581588</c:v>
                </c:pt>
                <c:pt idx="20">
                  <c:v>7042.6453414999996</c:v>
                </c:pt>
                <c:pt idx="21">
                  <c:v>7031.6727481981152</c:v>
                </c:pt>
                <c:pt idx="22">
                  <c:v>7186.8335756779534</c:v>
                </c:pt>
                <c:pt idx="23">
                  <c:v>7342.4188161775</c:v>
                </c:pt>
                <c:pt idx="24">
                  <c:v>7621.1331441901639</c:v>
                </c:pt>
                <c:pt idx="25">
                  <c:v>7705.9613031964545</c:v>
                </c:pt>
                <c:pt idx="26">
                  <c:v>6905.9613031964545</c:v>
                </c:pt>
                <c:pt idx="27">
                  <c:v>7429.6259079818938</c:v>
                </c:pt>
                <c:pt idx="28">
                  <c:v>7151.3053402431324</c:v>
                </c:pt>
                <c:pt idx="29">
                  <c:v>7158.2146538323022</c:v>
                </c:pt>
                <c:pt idx="30">
                  <c:v>7381.7782932785367</c:v>
                </c:pt>
                <c:pt idx="31">
                  <c:v>7609.3901252456944</c:v>
                </c:pt>
                <c:pt idx="32">
                  <c:v>7681.0694620982013</c:v>
                </c:pt>
                <c:pt idx="33">
                  <c:v>8488.12119854513</c:v>
                </c:pt>
                <c:pt idx="34">
                  <c:v>9265.4671496280607</c:v>
                </c:pt>
                <c:pt idx="35">
                  <c:v>9874.6730095101339</c:v>
                </c:pt>
                <c:pt idx="36">
                  <c:v>10082.323169903813</c:v>
                </c:pt>
                <c:pt idx="37">
                  <c:v>10872.662866360839</c:v>
                </c:pt>
                <c:pt idx="38">
                  <c:v>11674.58630730332</c:v>
                </c:pt>
                <c:pt idx="39">
                  <c:v>11651.278669163503</c:v>
                </c:pt>
                <c:pt idx="40">
                  <c:v>12044.700348067461</c:v>
                </c:pt>
                <c:pt idx="41">
                  <c:v>12247.613476786371</c:v>
                </c:pt>
                <c:pt idx="42">
                  <c:v>12743.101075327922</c:v>
                </c:pt>
                <c:pt idx="43">
                  <c:v>13089.295941844261</c:v>
                </c:pt>
                <c:pt idx="44">
                  <c:v>12835.320211974857</c:v>
                </c:pt>
                <c:pt idx="45">
                  <c:v>14000.137996350864</c:v>
                </c:pt>
                <c:pt idx="46">
                  <c:v>14408.796957240776</c:v>
                </c:pt>
                <c:pt idx="47">
                  <c:v>14332.379071009371</c:v>
                </c:pt>
                <c:pt idx="48">
                  <c:v>14919.543711090177</c:v>
                </c:pt>
                <c:pt idx="49">
                  <c:v>15616.215906745041</c:v>
                </c:pt>
                <c:pt idx="50">
                  <c:v>16538.744738753034</c:v>
                </c:pt>
                <c:pt idx="51">
                  <c:v>17296.287720798424</c:v>
                </c:pt>
                <c:pt idx="52">
                  <c:v>17447.769220987451</c:v>
                </c:pt>
                <c:pt idx="53">
                  <c:v>18588.652457206608</c:v>
                </c:pt>
                <c:pt idx="54">
                  <c:v>18497.384802680652</c:v>
                </c:pt>
                <c:pt idx="55">
                  <c:v>17697.384802680652</c:v>
                </c:pt>
                <c:pt idx="56">
                  <c:v>17741.052831577243</c:v>
                </c:pt>
                <c:pt idx="57">
                  <c:v>18620.033816410836</c:v>
                </c:pt>
                <c:pt idx="58">
                  <c:v>18559.456453219183</c:v>
                </c:pt>
                <c:pt idx="59">
                  <c:v>19407.046728043428</c:v>
                </c:pt>
                <c:pt idx="60">
                  <c:v>19530.024983258565</c:v>
                </c:pt>
                <c:pt idx="61">
                  <c:v>19970.452400116177</c:v>
                </c:pt>
                <c:pt idx="62">
                  <c:v>20385.144577805928</c:v>
                </c:pt>
                <c:pt idx="63">
                  <c:v>20510.894844729784</c:v>
                </c:pt>
                <c:pt idx="64">
                  <c:v>20651.46685118106</c:v>
                </c:pt>
                <c:pt idx="65">
                  <c:v>20085.87294475393</c:v>
                </c:pt>
                <c:pt idx="66">
                  <c:v>20252.310733325925</c:v>
                </c:pt>
                <c:pt idx="67">
                  <c:v>20388.860835705364</c:v>
                </c:pt>
                <c:pt idx="68">
                  <c:v>21115.974648786891</c:v>
                </c:pt>
                <c:pt idx="69">
                  <c:v>21731.986824338401</c:v>
                </c:pt>
                <c:pt idx="70">
                  <c:v>22281.083406153964</c:v>
                </c:pt>
                <c:pt idx="71">
                  <c:v>22230.054485870507</c:v>
                </c:pt>
                <c:pt idx="72">
                  <c:v>22628.323454714726</c:v>
                </c:pt>
                <c:pt idx="73">
                  <c:v>22756.161446498976</c:v>
                </c:pt>
                <c:pt idx="74">
                  <c:v>23014.582119343861</c:v>
                </c:pt>
                <c:pt idx="75">
                  <c:v>22214.582119343861</c:v>
                </c:pt>
                <c:pt idx="76">
                  <c:v>22374.685991969094</c:v>
                </c:pt>
                <c:pt idx="77">
                  <c:v>22505.965919690858</c:v>
                </c:pt>
                <c:pt idx="78">
                  <c:v>21705.965919690858</c:v>
                </c:pt>
                <c:pt idx="79">
                  <c:v>21835.745349726451</c:v>
                </c:pt>
                <c:pt idx="80">
                  <c:v>21035.745349726451</c:v>
                </c:pt>
                <c:pt idx="81">
                  <c:v>21624.942646967083</c:v>
                </c:pt>
                <c:pt idx="82">
                  <c:v>21206.768357340432</c:v>
                </c:pt>
                <c:pt idx="83">
                  <c:v>21611.524916311264</c:v>
                </c:pt>
                <c:pt idx="84">
                  <c:v>21681.416094976757</c:v>
                </c:pt>
                <c:pt idx="85">
                  <c:v>22025.899590508692</c:v>
                </c:pt>
                <c:pt idx="86">
                  <c:v>21225.899590508692</c:v>
                </c:pt>
                <c:pt idx="87">
                  <c:v>21602.86991588724</c:v>
                </c:pt>
                <c:pt idx="88">
                  <c:v>21633.346667239857</c:v>
                </c:pt>
                <c:pt idx="89">
                  <c:v>22108.481393309004</c:v>
                </c:pt>
                <c:pt idx="90">
                  <c:v>22353.378266450352</c:v>
                </c:pt>
                <c:pt idx="91">
                  <c:v>22475.355884498123</c:v>
                </c:pt>
                <c:pt idx="92">
                  <c:v>22699.466036228612</c:v>
                </c:pt>
                <c:pt idx="93">
                  <c:v>24016.478316453966</c:v>
                </c:pt>
                <c:pt idx="94">
                  <c:v>24090.493248051731</c:v>
                </c:pt>
                <c:pt idx="95">
                  <c:v>24401.47300652794</c:v>
                </c:pt>
                <c:pt idx="96">
                  <c:v>24510.459339248962</c:v>
                </c:pt>
                <c:pt idx="97">
                  <c:v>24966.691590080794</c:v>
                </c:pt>
                <c:pt idx="98">
                  <c:v>25268.514725563669</c:v>
                </c:pt>
                <c:pt idx="99">
                  <c:v>25000.703405632161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7F-4A3F-ADF7-730F2799F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accent4">
                  <a:lumMod val="20000"/>
                  <a:lumOff val="80000"/>
                </a:schemeClr>
              </a:solidFill>
              <a:round/>
            </a:ln>
            <a:effectLst/>
          </c:spPr>
        </c:dropLines>
        <c:smooth val="0"/>
        <c:axId val="727758720"/>
        <c:axId val="592905728"/>
      </c:lineChart>
      <c:catAx>
        <c:axId val="7277587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2905728"/>
        <c:crosses val="autoZero"/>
        <c:auto val="1"/>
        <c:lblAlgn val="ctr"/>
        <c:lblOffset val="100"/>
        <c:noMultiLvlLbl val="0"/>
      </c:catAx>
      <c:valAx>
        <c:axId val="592905728"/>
        <c:scaling>
          <c:orientation val="minMax"/>
        </c:scaling>
        <c:delete val="0"/>
        <c:axPos val="l"/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7758720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16387520921918"/>
          <c:y val="0.19965223097112858"/>
          <c:w val="0.17220499987496435"/>
          <c:h val="0.217014435695538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_xlchart.v1.0</cx:f>
      </cx:numDim>
    </cx:data>
  </cx:chartData>
  <cx:chart>
    <cx:title pos="t" align="ctr" overlay="0">
      <cx:tx>
        <cx:txData>
          <cx:v>Histogram of Daily Earnings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Histogram of Daily Earnings</a:t>
          </a:r>
        </a:p>
      </cx:txPr>
    </cx:title>
    <cx:plotArea>
      <cx:plotAreaRegion>
        <cx:series layoutId="clusteredColumn" uniqueId="{D5A8300D-9BA1-42AF-8842-E741BE96619A}">
          <cx:spPr>
            <a:solidFill>
              <a:srgbClr val="00C389"/>
            </a:solidFill>
          </cx:spPr>
          <cx:dataPt idx="0">
            <cx:spPr>
              <a:solidFill>
                <a:srgbClr val="7030A0"/>
              </a:solidFill>
            </cx:spPr>
          </cx:dataPt>
          <cx:dataPt idx="1">
            <cx:spPr>
              <a:solidFill>
                <a:srgbClr val="7030A0"/>
              </a:solidFill>
            </cx:spPr>
          </cx:dataPt>
          <cx:dataPt idx="2">
            <cx:spPr>
              <a:solidFill>
                <a:srgbClr val="7030A0"/>
              </a:solidFill>
            </cx:spPr>
          </cx:dataPt>
          <cx:dataPt idx="3">
            <cx:spPr>
              <a:solidFill>
                <a:srgbClr val="7030A0"/>
              </a:solidFill>
            </cx:spPr>
          </cx:dataPt>
          <cx:dataPt idx="4">
            <cx:spPr>
              <a:solidFill>
                <a:srgbClr val="7030A0"/>
              </a:solidFill>
            </cx:spPr>
          </cx:dataPt>
          <cx:dataPt idx="5">
            <cx:spPr>
              <a:solidFill>
                <a:srgbClr val="7030A0"/>
              </a:solidFill>
            </cx:spPr>
          </cx:dataPt>
          <cx:dataPt idx="6">
            <cx:spPr>
              <a:solidFill>
                <a:srgbClr val="7030A0"/>
              </a:solidFill>
            </cx:spPr>
          </cx:dataPt>
          <cx:dataPt idx="7">
            <cx:spPr>
              <a:solidFill>
                <a:srgbClr val="7030A0"/>
              </a:solidFill>
            </cx:spPr>
          </cx:dataPt>
          <cx:dataLabels/>
          <cx:dataId val="0"/>
          <cx:layoutPr>
            <cx:binning intervalClosed="r">
              <cx:binSize val="100"/>
            </cx:binning>
          </cx:layoutPr>
        </cx:series>
      </cx:plotAreaRegion>
      <cx:axis id="0">
        <cx:catScaling gapWidth="0.100000001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microsoft.com/office/2014/relationships/chartEx" Target="../charts/chartEx1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35719</xdr:colOff>
      <xdr:row>39</xdr:row>
      <xdr:rowOff>83345</xdr:rowOff>
    </xdr:from>
    <xdr:to>
      <xdr:col>6</xdr:col>
      <xdr:colOff>869157</xdr:colOff>
      <xdr:row>54</xdr:row>
      <xdr:rowOff>135733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9E954B-32C5-4ACD-BD32-3ED027A796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41674</xdr:colOff>
      <xdr:row>56</xdr:row>
      <xdr:rowOff>116680</xdr:rowOff>
    </xdr:from>
    <xdr:to>
      <xdr:col>6</xdr:col>
      <xdr:colOff>863204</xdr:colOff>
      <xdr:row>71</xdr:row>
      <xdr:rowOff>136920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57B9817D-643B-46F5-B484-3B99368689F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51274" y="10357960"/>
              <a:ext cx="3618070" cy="27634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6EF7D-AA6A-4CD7-8BC4-B557A28D7604}">
  <dimension ref="B2:H51"/>
  <sheetViews>
    <sheetView showGridLines="0" topLeftCell="A27" zoomScale="90" zoomScaleNormal="145" workbookViewId="0">
      <selection activeCell="K38" sqref="K38"/>
    </sheetView>
  </sheetViews>
  <sheetFormatPr defaultColWidth="8.77734375" defaultRowHeight="14.4" x14ac:dyDescent="0.3"/>
  <cols>
    <col min="1" max="1" width="8.77734375" style="1"/>
    <col min="2" max="2" width="33.77734375" style="1" bestFit="1" customWidth="1"/>
    <col min="3" max="7" width="11.109375" style="1" customWidth="1"/>
    <col min="8" max="8" width="10" style="1" bestFit="1" customWidth="1"/>
    <col min="9" max="16384" width="8.77734375" style="1"/>
  </cols>
  <sheetData>
    <row r="2" spans="2:8" x14ac:dyDescent="0.3">
      <c r="B2" s="19" t="s">
        <v>51</v>
      </c>
      <c r="C2" s="19"/>
      <c r="D2" s="104"/>
      <c r="E2" s="104"/>
      <c r="F2" s="104"/>
      <c r="G2" s="104"/>
    </row>
    <row r="3" spans="2:8" x14ac:dyDescent="0.3">
      <c r="B3" s="22" t="s">
        <v>25</v>
      </c>
      <c r="C3" s="21"/>
      <c r="D3" s="21">
        <f>E3+1</f>
        <v>2027</v>
      </c>
      <c r="E3" s="21">
        <f>F3+1</f>
        <v>2026</v>
      </c>
      <c r="F3" s="21">
        <f>G3+1</f>
        <v>2025</v>
      </c>
      <c r="G3" s="20">
        <v>2024</v>
      </c>
      <c r="H3" s="19">
        <v>2023</v>
      </c>
    </row>
    <row r="4" spans="2:8" x14ac:dyDescent="0.3">
      <c r="B4" s="3" t="s">
        <v>24</v>
      </c>
      <c r="D4" s="12">
        <v>14518</v>
      </c>
      <c r="E4" s="12">
        <v>14013.5</v>
      </c>
      <c r="F4" s="12">
        <v>13506.999999999998</v>
      </c>
      <c r="G4" s="11">
        <v>13000</v>
      </c>
      <c r="H4" s="48">
        <v>12738</v>
      </c>
    </row>
    <row r="5" spans="2:8" x14ac:dyDescent="0.3">
      <c r="B5" s="3" t="s">
        <v>23</v>
      </c>
      <c r="D5" s="12">
        <v>14518</v>
      </c>
      <c r="E5" s="12">
        <v>14013.5</v>
      </c>
      <c r="F5" s="12">
        <v>13506.999999999998</v>
      </c>
      <c r="G5" s="11">
        <v>13000</v>
      </c>
      <c r="H5" s="48">
        <v>12738</v>
      </c>
    </row>
    <row r="6" spans="2:8" x14ac:dyDescent="0.3">
      <c r="B6" s="3" t="s">
        <v>22</v>
      </c>
      <c r="D6" s="12">
        <v>11540.5</v>
      </c>
      <c r="E6" s="12">
        <v>11145.2</v>
      </c>
      <c r="F6" s="12">
        <v>10743.699999999997</v>
      </c>
      <c r="G6" s="11">
        <v>10338</v>
      </c>
      <c r="H6" s="49">
        <v>10127</v>
      </c>
    </row>
    <row r="7" spans="2:8" x14ac:dyDescent="0.3">
      <c r="B7" s="3" t="s">
        <v>21</v>
      </c>
      <c r="D7" s="12">
        <v>2977.5</v>
      </c>
      <c r="E7" s="12">
        <v>2868.3</v>
      </c>
      <c r="F7" s="12">
        <v>2763.3</v>
      </c>
      <c r="G7" s="11">
        <v>2662.2</v>
      </c>
      <c r="H7" s="48">
        <v>2611</v>
      </c>
    </row>
    <row r="8" spans="2:8" x14ac:dyDescent="0.3">
      <c r="B8" s="3" t="s">
        <v>48</v>
      </c>
      <c r="D8" s="12">
        <v>14518</v>
      </c>
      <c r="E8" s="12">
        <v>14013.5</v>
      </c>
      <c r="F8" s="12">
        <v>13506.999999999998</v>
      </c>
      <c r="G8" s="11">
        <v>13000</v>
      </c>
      <c r="H8" s="10"/>
    </row>
    <row r="9" spans="2:8" x14ac:dyDescent="0.3">
      <c r="B9" s="3"/>
      <c r="F9" s="10"/>
      <c r="G9" s="16"/>
      <c r="H9" s="10"/>
    </row>
    <row r="10" spans="2:8" x14ac:dyDescent="0.3">
      <c r="B10" s="23" t="s">
        <v>15</v>
      </c>
      <c r="C10" s="24"/>
      <c r="D10" s="24">
        <f>D3</f>
        <v>2027</v>
      </c>
      <c r="E10" s="24">
        <f>E3</f>
        <v>2026</v>
      </c>
      <c r="F10" s="24">
        <f>F3</f>
        <v>2025</v>
      </c>
      <c r="G10" s="25">
        <f>G3</f>
        <v>2024</v>
      </c>
      <c r="H10" s="10"/>
    </row>
    <row r="11" spans="2:8" x14ac:dyDescent="0.3">
      <c r="B11" s="15" t="s">
        <v>14</v>
      </c>
      <c r="C11" s="43"/>
      <c r="D11" s="14">
        <v>646.79680000000008</v>
      </c>
      <c r="E11" s="14">
        <v>621.92000000000007</v>
      </c>
      <c r="F11" s="14">
        <v>598</v>
      </c>
      <c r="G11" s="13">
        <v>575</v>
      </c>
      <c r="H11" s="10"/>
    </row>
    <row r="12" spans="2:8" x14ac:dyDescent="0.3">
      <c r="B12" s="15" t="s">
        <v>13</v>
      </c>
      <c r="C12" s="43"/>
      <c r="D12" s="14">
        <v>203.62420174049996</v>
      </c>
      <c r="E12" s="14">
        <v>195.60442049999997</v>
      </c>
      <c r="F12" s="14">
        <v>187.90049999999999</v>
      </c>
      <c r="G12" s="13">
        <v>180.5</v>
      </c>
      <c r="H12" s="10"/>
    </row>
    <row r="13" spans="2:8" x14ac:dyDescent="0.3">
      <c r="B13" s="15" t="s">
        <v>11</v>
      </c>
      <c r="C13" s="43"/>
      <c r="D13" s="14">
        <v>13.3</v>
      </c>
      <c r="E13" s="14">
        <v>15.6</v>
      </c>
      <c r="F13" s="14">
        <v>14.3</v>
      </c>
      <c r="G13" s="13">
        <v>12.2</v>
      </c>
      <c r="H13" s="10"/>
    </row>
    <row r="14" spans="2:8" x14ac:dyDescent="0.3">
      <c r="B14" s="3"/>
      <c r="D14" s="41"/>
      <c r="G14" s="2"/>
      <c r="H14" s="10"/>
    </row>
    <row r="15" spans="2:8" x14ac:dyDescent="0.3">
      <c r="B15" s="23" t="s">
        <v>49</v>
      </c>
      <c r="C15" s="24"/>
      <c r="D15" s="24">
        <f>D10</f>
        <v>2027</v>
      </c>
      <c r="E15" s="24">
        <f t="shared" ref="E15:G15" si="0">E10</f>
        <v>2026</v>
      </c>
      <c r="F15" s="24">
        <f t="shared" si="0"/>
        <v>2025</v>
      </c>
      <c r="G15" s="25">
        <f t="shared" si="0"/>
        <v>2024</v>
      </c>
      <c r="H15" s="10"/>
    </row>
    <row r="16" spans="2:8" x14ac:dyDescent="0.3">
      <c r="B16" s="3" t="s">
        <v>20</v>
      </c>
      <c r="C16" s="1">
        <v>1.5</v>
      </c>
      <c r="D16" s="26"/>
      <c r="E16" s="26"/>
      <c r="F16" s="26"/>
      <c r="G16" s="18"/>
      <c r="H16" s="10"/>
    </row>
    <row r="17" spans="2:8" x14ac:dyDescent="0.3">
      <c r="B17" s="3" t="s">
        <v>19</v>
      </c>
      <c r="C17" s="17">
        <v>3.7999999999999999E-2</v>
      </c>
      <c r="D17" s="26"/>
      <c r="E17" s="26"/>
      <c r="F17" s="26"/>
      <c r="G17" s="18"/>
      <c r="H17" s="10"/>
    </row>
    <row r="18" spans="2:8" x14ac:dyDescent="0.3">
      <c r="B18" s="50" t="s">
        <v>18</v>
      </c>
      <c r="C18" s="51">
        <v>0.02</v>
      </c>
      <c r="D18"/>
      <c r="E18"/>
      <c r="F18"/>
      <c r="G18" s="52"/>
      <c r="H18" s="10"/>
    </row>
    <row r="19" spans="2:8" x14ac:dyDescent="0.3">
      <c r="B19" s="50" t="s">
        <v>47</v>
      </c>
      <c r="C19" s="53">
        <v>3.5000000000000003E-2</v>
      </c>
      <c r="D19"/>
      <c r="E19"/>
      <c r="F19"/>
      <c r="G19" s="52"/>
      <c r="H19" s="10"/>
    </row>
    <row r="20" spans="2:8" x14ac:dyDescent="0.3">
      <c r="B20" s="50" t="s">
        <v>17</v>
      </c>
      <c r="C20"/>
      <c r="D20" s="54">
        <v>2.9000000000000001E-2</v>
      </c>
      <c r="E20" s="54">
        <v>2.9000000000000001E-2</v>
      </c>
      <c r="F20" s="54">
        <v>0.03</v>
      </c>
      <c r="G20" s="55">
        <v>0.03</v>
      </c>
      <c r="H20" s="10"/>
    </row>
    <row r="21" spans="2:8" x14ac:dyDescent="0.3">
      <c r="B21" s="50" t="s">
        <v>16</v>
      </c>
      <c r="C21"/>
      <c r="D21" s="51">
        <v>4.8000000000000001E-2</v>
      </c>
      <c r="E21" s="51">
        <v>4.8000000000000001E-2</v>
      </c>
      <c r="F21" s="51">
        <v>0.05</v>
      </c>
      <c r="G21" s="56">
        <v>0.05</v>
      </c>
      <c r="H21" s="10"/>
    </row>
    <row r="22" spans="2:8" x14ac:dyDescent="0.3">
      <c r="B22" s="50" t="s">
        <v>28</v>
      </c>
      <c r="C22" s="54">
        <v>0.25</v>
      </c>
      <c r="D22" s="54">
        <v>0.25</v>
      </c>
      <c r="E22" s="54">
        <v>0.25</v>
      </c>
      <c r="F22" s="54">
        <v>0.25</v>
      </c>
      <c r="G22" s="55">
        <v>0.25</v>
      </c>
      <c r="H22" s="10"/>
    </row>
    <row r="23" spans="2:8" x14ac:dyDescent="0.3">
      <c r="B23" s="50"/>
      <c r="C23"/>
      <c r="D23"/>
      <c r="E23"/>
      <c r="F23"/>
      <c r="G23" s="57"/>
      <c r="H23" s="10"/>
    </row>
    <row r="24" spans="2:8" ht="18" customHeight="1" x14ac:dyDescent="0.3">
      <c r="B24" s="58"/>
      <c r="C24" s="59"/>
      <c r="D24" s="60"/>
      <c r="E24" s="60"/>
      <c r="F24" s="60"/>
      <c r="G24" s="61"/>
      <c r="H24" s="10"/>
    </row>
    <row r="25" spans="2:8" ht="15.45" customHeight="1" x14ac:dyDescent="0.3">
      <c r="B25" s="50" t="s">
        <v>26</v>
      </c>
      <c r="C25"/>
      <c r="D25" s="62">
        <v>0.03</v>
      </c>
      <c r="E25" s="62">
        <v>0.03</v>
      </c>
      <c r="F25" s="62">
        <v>3.1E-2</v>
      </c>
      <c r="G25" s="63">
        <v>3.1E-2</v>
      </c>
      <c r="H25" s="6"/>
    </row>
    <row r="26" spans="2:8" x14ac:dyDescent="0.3">
      <c r="B26" s="64" t="s">
        <v>27</v>
      </c>
      <c r="C26" s="65"/>
      <c r="D26" s="66">
        <v>3.4000000000000002E-2</v>
      </c>
      <c r="E26" s="66">
        <v>3.4000000000000002E-2</v>
      </c>
      <c r="F26" s="66">
        <v>3.5999999999999997E-2</v>
      </c>
      <c r="G26" s="67">
        <v>3.5999999999999997E-2</v>
      </c>
      <c r="H26" s="6"/>
    </row>
    <row r="27" spans="2:8" x14ac:dyDescent="0.3">
      <c r="H27" s="6"/>
    </row>
    <row r="28" spans="2:8" x14ac:dyDescent="0.3">
      <c r="B28" s="19" t="s">
        <v>50</v>
      </c>
      <c r="C28" s="19"/>
      <c r="H28" s="6"/>
    </row>
    <row r="29" spans="2:8" x14ac:dyDescent="0.3">
      <c r="B29" s="32" t="s">
        <v>12</v>
      </c>
      <c r="C29" s="44"/>
      <c r="D29" s="33">
        <f>D11-D12</f>
        <v>443.17259825950009</v>
      </c>
      <c r="E29" s="33">
        <f>E11-E12</f>
        <v>426.31557950000013</v>
      </c>
      <c r="F29" s="33">
        <f>F11-F12</f>
        <v>410.09950000000003</v>
      </c>
      <c r="G29" s="34">
        <f>G11-G12</f>
        <v>394.5</v>
      </c>
      <c r="H29" s="6"/>
    </row>
    <row r="30" spans="2:8" x14ac:dyDescent="0.3">
      <c r="B30" s="29" t="s">
        <v>11</v>
      </c>
      <c r="C30" s="35"/>
      <c r="D30" s="27">
        <f>D13</f>
        <v>13.3</v>
      </c>
      <c r="E30" s="27">
        <f>E13</f>
        <v>15.6</v>
      </c>
      <c r="F30" s="27">
        <f>F13</f>
        <v>14.3</v>
      </c>
      <c r="G30" s="28">
        <f>G13</f>
        <v>12.2</v>
      </c>
      <c r="H30" s="6"/>
    </row>
    <row r="31" spans="2:8" x14ac:dyDescent="0.3">
      <c r="B31" s="29" t="s">
        <v>10</v>
      </c>
      <c r="C31" s="35"/>
      <c r="D31" s="8">
        <f>D29-D30</f>
        <v>429.87259825950008</v>
      </c>
      <c r="E31" s="8">
        <f>E29-E30</f>
        <v>410.7155795000001</v>
      </c>
      <c r="F31" s="8">
        <f>F29-F30</f>
        <v>395.79950000000002</v>
      </c>
      <c r="G31" s="9">
        <f>G29-G30</f>
        <v>382.3</v>
      </c>
      <c r="H31" s="6"/>
    </row>
    <row r="32" spans="2:8" x14ac:dyDescent="0.3">
      <c r="B32" s="3"/>
      <c r="G32" s="2"/>
      <c r="H32" s="6"/>
    </row>
    <row r="33" spans="2:8" x14ac:dyDescent="0.3">
      <c r="B33" s="68" t="s">
        <v>9</v>
      </c>
      <c r="C33" s="69"/>
      <c r="D33" s="70">
        <f>D31*$C$22</f>
        <v>107.46814956487502</v>
      </c>
      <c r="E33" s="70">
        <f>E31*$C$22</f>
        <v>102.67889487500003</v>
      </c>
      <c r="F33" s="70">
        <f>F31*$C$22</f>
        <v>98.949875000000006</v>
      </c>
      <c r="G33" s="71">
        <f>G31*$C$22</f>
        <v>95.575000000000003</v>
      </c>
      <c r="H33" s="6"/>
    </row>
    <row r="34" spans="2:8" x14ac:dyDescent="0.3">
      <c r="B34" s="68" t="s">
        <v>7</v>
      </c>
      <c r="C34" s="69"/>
      <c r="D34" s="70">
        <f>D31-D33</f>
        <v>322.40444869462505</v>
      </c>
      <c r="E34" s="70">
        <f>E31-E33</f>
        <v>308.03668462500008</v>
      </c>
      <c r="F34" s="70">
        <f>F31-F33</f>
        <v>296.849625</v>
      </c>
      <c r="G34" s="71">
        <f>G31-G33</f>
        <v>286.72500000000002</v>
      </c>
      <c r="H34" s="6"/>
    </row>
    <row r="35" spans="2:8" x14ac:dyDescent="0.3">
      <c r="B35" s="50"/>
      <c r="C35"/>
      <c r="D35"/>
      <c r="E35"/>
      <c r="F35"/>
      <c r="G35" s="57"/>
      <c r="H35" s="10"/>
    </row>
    <row r="36" spans="2:8" x14ac:dyDescent="0.3">
      <c r="B36" s="72" t="s">
        <v>8</v>
      </c>
      <c r="C36" s="73"/>
      <c r="D36" s="74"/>
      <c r="E36" s="74"/>
      <c r="F36" s="70"/>
      <c r="G36" s="71"/>
      <c r="H36" s="6"/>
    </row>
    <row r="37" spans="2:8" x14ac:dyDescent="0.3">
      <c r="B37" s="68" t="s">
        <v>7</v>
      </c>
      <c r="C37" s="69"/>
      <c r="D37" s="70">
        <f>D34</f>
        <v>322.40444869462505</v>
      </c>
      <c r="E37" s="70">
        <f>E34</f>
        <v>308.03668462500008</v>
      </c>
      <c r="F37" s="70">
        <f>F34</f>
        <v>296.849625</v>
      </c>
      <c r="G37" s="71">
        <f>G34</f>
        <v>286.72500000000002</v>
      </c>
      <c r="H37" s="8"/>
    </row>
    <row r="38" spans="2:8" x14ac:dyDescent="0.3">
      <c r="B38" s="72" t="s">
        <v>6</v>
      </c>
      <c r="C38" s="73"/>
      <c r="D38" s="70">
        <f t="shared" ref="D38:F38" si="1">-(D7-E7)</f>
        <v>-109.19999999999982</v>
      </c>
      <c r="E38" s="70">
        <f t="shared" si="1"/>
        <v>-105</v>
      </c>
      <c r="F38" s="70">
        <f t="shared" si="1"/>
        <v>-101.10000000000036</v>
      </c>
      <c r="G38" s="71">
        <f>-(G7-H7)</f>
        <v>-51.199999999999818</v>
      </c>
      <c r="H38" s="8"/>
    </row>
    <row r="39" spans="2:8" x14ac:dyDescent="0.3">
      <c r="B39" s="68" t="s">
        <v>5</v>
      </c>
      <c r="C39" s="69"/>
      <c r="D39" s="70">
        <v>0</v>
      </c>
      <c r="E39" s="70">
        <v>0</v>
      </c>
      <c r="F39" s="70">
        <v>0</v>
      </c>
      <c r="G39" s="71">
        <v>0</v>
      </c>
      <c r="H39" s="8"/>
    </row>
    <row r="40" spans="2:8" x14ac:dyDescent="0.3">
      <c r="B40" s="72" t="s">
        <v>53</v>
      </c>
      <c r="C40" s="73"/>
      <c r="D40" s="74">
        <f>D37+D38</f>
        <v>213.20444869462523</v>
      </c>
      <c r="E40" s="74">
        <f>E37+E38</f>
        <v>203.03668462500008</v>
      </c>
      <c r="F40" s="74">
        <f>F37+F38</f>
        <v>195.74962499999964</v>
      </c>
      <c r="G40" s="75">
        <f>SUM(G37:G39)</f>
        <v>235.5250000000002</v>
      </c>
      <c r="H40" s="4"/>
    </row>
    <row r="41" spans="2:8" x14ac:dyDescent="0.3">
      <c r="B41" s="68"/>
      <c r="C41" s="69"/>
      <c r="D41" s="69"/>
      <c r="E41" s="69"/>
      <c r="F41" s="69"/>
      <c r="G41" s="76"/>
    </row>
    <row r="42" spans="2:8" x14ac:dyDescent="0.3">
      <c r="B42" s="72" t="s">
        <v>4</v>
      </c>
      <c r="C42" s="77">
        <f>C17+C16*C18</f>
        <v>6.8000000000000005E-2</v>
      </c>
      <c r="D42"/>
      <c r="E42" s="73"/>
      <c r="F42" s="69"/>
      <c r="G42" s="76"/>
    </row>
    <row r="43" spans="2:8" x14ac:dyDescent="0.3">
      <c r="B43" s="68" t="s">
        <v>3</v>
      </c>
      <c r="C43" s="78">
        <f>D34/D7</f>
        <v>0.10828025145075568</v>
      </c>
      <c r="D43"/>
      <c r="E43" s="79"/>
      <c r="F43" s="79"/>
      <c r="G43" s="57"/>
      <c r="H43" s="5"/>
    </row>
    <row r="44" spans="2:8" x14ac:dyDescent="0.3">
      <c r="B44" s="68" t="s">
        <v>2</v>
      </c>
      <c r="C44" s="69"/>
      <c r="D44" s="80">
        <f t="shared" ref="D44:E44" si="2">1/(1+$C$42)^(1+D3-$G$3)</f>
        <v>0.76862585513920834</v>
      </c>
      <c r="E44" s="80">
        <f t="shared" si="2"/>
        <v>0.82089241328867457</v>
      </c>
      <c r="F44" s="80">
        <f>1/(1+$C$42)^(1+F3-$G$3)</f>
        <v>0.87671309739230452</v>
      </c>
      <c r="G44" s="81">
        <f>1/(1+$C$42)^(1+G3-$G$3)</f>
        <v>0.93632958801498123</v>
      </c>
      <c r="H44" s="7"/>
    </row>
    <row r="45" spans="2:8" x14ac:dyDescent="0.3">
      <c r="B45" s="72" t="s">
        <v>1</v>
      </c>
      <c r="C45" s="82">
        <f>((D34*1.035)*((1-C19/C43)))/(C42-C19)</f>
        <v>6843.2929363314206</v>
      </c>
      <c r="D45" s="73"/>
      <c r="E45" s="73"/>
      <c r="F45" s="69"/>
      <c r="G45" s="57"/>
      <c r="H45" s="6"/>
    </row>
    <row r="46" spans="2:8" x14ac:dyDescent="0.3">
      <c r="B46" s="72" t="s">
        <v>52</v>
      </c>
      <c r="C46" s="73"/>
      <c r="D46" s="74">
        <f>D44*(D40+C45)</f>
        <v>5423.8063368532321</v>
      </c>
      <c r="E46" s="74">
        <f>E44*E40</f>
        <v>166.67127402794785</v>
      </c>
      <c r="F46" s="74">
        <f>F44*F40</f>
        <v>171.61626004713176</v>
      </c>
      <c r="G46" s="75">
        <f>(G40)*G44</f>
        <v>220.52902621722865</v>
      </c>
    </row>
    <row r="47" spans="2:8" x14ac:dyDescent="0.3">
      <c r="B47" s="68"/>
      <c r="C47" s="69"/>
      <c r="D47" s="69"/>
      <c r="E47" s="69"/>
      <c r="F47" s="69"/>
      <c r="G47" s="76"/>
    </row>
    <row r="48" spans="2:8" x14ac:dyDescent="0.3">
      <c r="B48" s="83" t="s">
        <v>0</v>
      </c>
      <c r="C48" s="84"/>
      <c r="D48" s="84"/>
      <c r="E48" s="84"/>
      <c r="F48" s="85"/>
      <c r="G48" s="86">
        <f>SUM(D46:G46)</f>
        <v>5982.6228971455403</v>
      </c>
    </row>
    <row r="49" spans="2:2" customFormat="1" x14ac:dyDescent="0.3"/>
    <row r="50" spans="2:2" customFormat="1" x14ac:dyDescent="0.3">
      <c r="B50" t="s">
        <v>58</v>
      </c>
    </row>
    <row r="51" spans="2:2" customFormat="1" x14ac:dyDescent="0.3"/>
  </sheetData>
  <mergeCells count="1">
    <mergeCell ref="D2:G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2BE85-3FA6-4C6A-A95B-8F1C57467456}">
  <dimension ref="B2:H32"/>
  <sheetViews>
    <sheetView topLeftCell="A10" zoomScaleNormal="100" workbookViewId="0">
      <selection activeCell="B31" sqref="B31"/>
    </sheetView>
  </sheetViews>
  <sheetFormatPr defaultColWidth="8.77734375" defaultRowHeight="14.4" x14ac:dyDescent="0.3"/>
  <cols>
    <col min="1" max="1" width="8.77734375" style="1"/>
    <col min="2" max="2" width="33.77734375" style="1" bestFit="1" customWidth="1"/>
    <col min="3" max="7" width="11.109375" style="1" customWidth="1"/>
    <col min="8" max="8" width="8.77734375" style="1"/>
    <col min="9" max="12" width="9.44140625" style="1" bestFit="1" customWidth="1"/>
    <col min="13" max="14" width="8.77734375" style="1"/>
    <col min="15" max="17" width="10.6640625" style="1" bestFit="1" customWidth="1"/>
    <col min="18" max="16384" width="8.77734375" style="1"/>
  </cols>
  <sheetData>
    <row r="2" spans="2:7" x14ac:dyDescent="0.3">
      <c r="B2" s="19" t="s">
        <v>51</v>
      </c>
      <c r="C2" s="19"/>
    </row>
    <row r="3" spans="2:7" x14ac:dyDescent="0.3">
      <c r="B3" s="87" t="s">
        <v>25</v>
      </c>
      <c r="C3" s="88"/>
      <c r="D3" s="88">
        <f>E3+1</f>
        <v>2027</v>
      </c>
      <c r="E3" s="88">
        <f>F3+1</f>
        <v>2026</v>
      </c>
      <c r="F3" s="88">
        <f>G3+1</f>
        <v>2025</v>
      </c>
      <c r="G3" s="89">
        <v>2024</v>
      </c>
    </row>
    <row r="4" spans="2:7" x14ac:dyDescent="0.3">
      <c r="B4" s="50" t="s">
        <v>33</v>
      </c>
      <c r="C4"/>
      <c r="D4" s="90">
        <f>'Q1 d(i)'!D4</f>
        <v>14518</v>
      </c>
      <c r="E4" s="90">
        <f>'Q1 d(i)'!E4</f>
        <v>14013.5</v>
      </c>
      <c r="F4" s="90">
        <f>'Q1 d(i)'!F4</f>
        <v>13506.999999999998</v>
      </c>
      <c r="G4" s="45">
        <f>'Q1 d(i)'!G4</f>
        <v>13000</v>
      </c>
    </row>
    <row r="5" spans="2:7" x14ac:dyDescent="0.3">
      <c r="B5" s="50" t="s">
        <v>23</v>
      </c>
      <c r="C5"/>
      <c r="D5" s="90">
        <f>'Q1 d(i)'!D5</f>
        <v>14518</v>
      </c>
      <c r="E5" s="90">
        <f>'Q1 d(i)'!E5</f>
        <v>14013.5</v>
      </c>
      <c r="F5" s="90">
        <f>'Q1 d(i)'!F5</f>
        <v>13506.999999999998</v>
      </c>
      <c r="G5" s="45">
        <f>'Q1 d(i)'!G5</f>
        <v>13000</v>
      </c>
    </row>
    <row r="6" spans="2:7" x14ac:dyDescent="0.3">
      <c r="B6" s="50" t="s">
        <v>42</v>
      </c>
      <c r="C6"/>
      <c r="D6" s="90">
        <f>'Q1 d(i)'!D6</f>
        <v>11540.5</v>
      </c>
      <c r="E6" s="90">
        <f>'Q1 d(i)'!E6</f>
        <v>11145.2</v>
      </c>
      <c r="F6" s="90">
        <f>'Q1 d(i)'!F6</f>
        <v>10743.699999999997</v>
      </c>
      <c r="G6" s="45">
        <f>'Q1 d(i)'!G6</f>
        <v>10338</v>
      </c>
    </row>
    <row r="7" spans="2:7" x14ac:dyDescent="0.3">
      <c r="B7" s="50" t="s">
        <v>21</v>
      </c>
      <c r="C7"/>
      <c r="D7" s="90">
        <f>'Q1 d(i)'!D7</f>
        <v>2977.5</v>
      </c>
      <c r="E7" s="90">
        <f>'Q1 d(i)'!E7</f>
        <v>2868.3</v>
      </c>
      <c r="F7" s="90">
        <f>'Q1 d(i)'!F7</f>
        <v>2763.3</v>
      </c>
      <c r="G7" s="45">
        <f>'Q1 d(i)'!G7</f>
        <v>2662.2</v>
      </c>
    </row>
    <row r="8" spans="2:7" x14ac:dyDescent="0.3">
      <c r="B8" s="50"/>
      <c r="C8"/>
      <c r="D8"/>
      <c r="E8"/>
      <c r="F8"/>
      <c r="G8" s="57"/>
    </row>
    <row r="9" spans="2:7" x14ac:dyDescent="0.3">
      <c r="B9" s="91" t="s">
        <v>49</v>
      </c>
      <c r="C9" s="92"/>
      <c r="D9" s="88">
        <f>E9+1</f>
        <v>2027</v>
      </c>
      <c r="E9" s="88">
        <f>F9+1</f>
        <v>2026</v>
      </c>
      <c r="F9" s="88">
        <f>G9+1</f>
        <v>2025</v>
      </c>
      <c r="G9" s="89">
        <v>2024</v>
      </c>
    </row>
    <row r="10" spans="2:7" x14ac:dyDescent="0.3">
      <c r="B10" s="50" t="s">
        <v>30</v>
      </c>
      <c r="C10"/>
      <c r="D10" s="51">
        <v>4.8000000000000001E-2</v>
      </c>
      <c r="E10" s="51">
        <v>4.8000000000000001E-2</v>
      </c>
      <c r="F10" s="51">
        <v>0.05</v>
      </c>
      <c r="G10" s="56">
        <v>0.05</v>
      </c>
    </row>
    <row r="11" spans="2:7" x14ac:dyDescent="0.3">
      <c r="B11" s="50" t="s">
        <v>31</v>
      </c>
      <c r="C11"/>
      <c r="D11" s="51">
        <v>3.4000000000000002E-2</v>
      </c>
      <c r="E11" s="51">
        <v>3.4000000000000002E-2</v>
      </c>
      <c r="F11" s="51">
        <v>3.5999999999999997E-2</v>
      </c>
      <c r="G11" s="56">
        <v>3.5999999999999997E-2</v>
      </c>
    </row>
    <row r="12" spans="2:7" x14ac:dyDescent="0.3">
      <c r="B12" s="50" t="s">
        <v>39</v>
      </c>
      <c r="C12"/>
      <c r="D12" s="54">
        <v>2.9000000000000001E-2</v>
      </c>
      <c r="E12" s="54">
        <v>2.9000000000000001E-2</v>
      </c>
      <c r="F12" s="54">
        <v>0.03</v>
      </c>
      <c r="G12" s="55">
        <v>0.03</v>
      </c>
    </row>
    <row r="13" spans="2:7" x14ac:dyDescent="0.3">
      <c r="B13" s="50" t="s">
        <v>40</v>
      </c>
      <c r="C13"/>
      <c r="D13" s="54">
        <v>0.03</v>
      </c>
      <c r="E13" s="54">
        <v>0.03</v>
      </c>
      <c r="F13" s="54">
        <v>3.1E-2</v>
      </c>
      <c r="G13" s="55">
        <v>3.1E-2</v>
      </c>
    </row>
    <row r="14" spans="2:7" x14ac:dyDescent="0.3">
      <c r="B14" s="64" t="s">
        <v>28</v>
      </c>
      <c r="C14" s="93">
        <v>0.25</v>
      </c>
      <c r="D14" s="93">
        <v>0.25</v>
      </c>
      <c r="E14" s="93">
        <v>0.25</v>
      </c>
      <c r="F14" s="93">
        <v>0.25</v>
      </c>
      <c r="G14" s="93">
        <v>0.25</v>
      </c>
    </row>
    <row r="16" spans="2:7" x14ac:dyDescent="0.3">
      <c r="B16" s="19" t="s">
        <v>50</v>
      </c>
    </row>
    <row r="17" spans="2:8" x14ac:dyDescent="0.3">
      <c r="B17" s="36"/>
      <c r="C17" s="42"/>
      <c r="D17" s="21">
        <f>E17+1</f>
        <v>2027</v>
      </c>
      <c r="E17" s="21">
        <f>F17+1</f>
        <v>2026</v>
      </c>
      <c r="F17" s="21">
        <f>G17+1</f>
        <v>2025</v>
      </c>
      <c r="G17" s="20">
        <v>2024</v>
      </c>
    </row>
    <row r="18" spans="2:8" x14ac:dyDescent="0.3">
      <c r="B18" s="29" t="s">
        <v>29</v>
      </c>
      <c r="C18" s="35"/>
      <c r="D18" s="37">
        <f>D7/D5</f>
        <v>0.20509023281443725</v>
      </c>
      <c r="E18" s="37">
        <f>E7/E5</f>
        <v>0.2046812002711671</v>
      </c>
      <c r="F18" s="37">
        <f>F7/F5</f>
        <v>0.20458280891389655</v>
      </c>
      <c r="G18" s="38">
        <f>G7/G5</f>
        <v>0.20478461538461537</v>
      </c>
    </row>
    <row r="19" spans="2:8" x14ac:dyDescent="0.3">
      <c r="B19" s="3"/>
      <c r="G19" s="2"/>
    </row>
    <row r="20" spans="2:8" x14ac:dyDescent="0.3">
      <c r="B20" s="29" t="s">
        <v>32</v>
      </c>
      <c r="C20" s="35"/>
      <c r="D20" s="39">
        <f>D10-D11</f>
        <v>1.3999999999999999E-2</v>
      </c>
      <c r="E20" s="39">
        <f>E10-E11</f>
        <v>1.3999999999999999E-2</v>
      </c>
      <c r="F20" s="39">
        <f>F10-F11</f>
        <v>1.4000000000000005E-2</v>
      </c>
      <c r="G20" s="40">
        <f>G10-G11</f>
        <v>1.4000000000000005E-2</v>
      </c>
    </row>
    <row r="21" spans="2:8" x14ac:dyDescent="0.3">
      <c r="B21" s="3"/>
      <c r="G21" s="2"/>
    </row>
    <row r="22" spans="2:8" x14ac:dyDescent="0.3">
      <c r="B22" s="29" t="s">
        <v>34</v>
      </c>
      <c r="C22" s="35"/>
      <c r="D22" s="27">
        <f>D20*D4</f>
        <v>203.25199999999998</v>
      </c>
      <c r="E22" s="27">
        <f>E20*E4</f>
        <v>196.18899999999999</v>
      </c>
      <c r="F22" s="27">
        <f>F20*F4</f>
        <v>189.09800000000004</v>
      </c>
      <c r="G22" s="28">
        <f>G20*G4</f>
        <v>182.00000000000009</v>
      </c>
    </row>
    <row r="23" spans="2:8" x14ac:dyDescent="0.3">
      <c r="B23" s="29" t="s">
        <v>35</v>
      </c>
      <c r="C23" s="35"/>
      <c r="D23" s="27">
        <f>-D22*D14</f>
        <v>-50.812999999999995</v>
      </c>
      <c r="E23" s="27">
        <f>-E22*D14</f>
        <v>-49.047249999999998</v>
      </c>
      <c r="F23" s="27">
        <f>-F22*D14</f>
        <v>-47.27450000000001</v>
      </c>
      <c r="G23" s="28">
        <f>-G22*D14</f>
        <v>-45.500000000000021</v>
      </c>
    </row>
    <row r="24" spans="2:8" x14ac:dyDescent="0.3">
      <c r="B24" s="29" t="s">
        <v>36</v>
      </c>
      <c r="C24" s="35"/>
      <c r="D24" s="27">
        <f>-D4*D14*D13*D18</f>
        <v>-22.331249999999997</v>
      </c>
      <c r="E24" s="27">
        <f>-E4*D14*E13*E18</f>
        <v>-21.512249999999998</v>
      </c>
      <c r="F24" s="27">
        <f>-F4*D14*F13*F18</f>
        <v>-21.415575</v>
      </c>
      <c r="G24" s="28">
        <f>-G4*D14*G13*G18</f>
        <v>-20.63205</v>
      </c>
    </row>
    <row r="25" spans="2:8" x14ac:dyDescent="0.3">
      <c r="B25" s="29" t="s">
        <v>37</v>
      </c>
      <c r="C25" s="35"/>
      <c r="D25" s="27">
        <f>-D14*D4*(D11-D13)</f>
        <v>-14.518000000000013</v>
      </c>
      <c r="E25" s="27">
        <f>-D14*E4*(E11-E13)</f>
        <v>-14.013500000000013</v>
      </c>
      <c r="F25" s="27">
        <f>-D14*F4*(F11-F13)</f>
        <v>-16.883749999999988</v>
      </c>
      <c r="G25" s="28">
        <f>-D14*G4*(G11-G13)</f>
        <v>-16.249999999999993</v>
      </c>
    </row>
    <row r="26" spans="2:8" x14ac:dyDescent="0.3">
      <c r="B26" s="46" t="s">
        <v>38</v>
      </c>
      <c r="C26" s="35"/>
      <c r="D26" s="30">
        <f>SUM(D22:D25)</f>
        <v>115.58975</v>
      </c>
      <c r="E26" s="30">
        <f t="shared" ref="E26:G26" si="0">SUM(E22:E25)</f>
        <v>111.616</v>
      </c>
      <c r="F26" s="30">
        <f t="shared" si="0"/>
        <v>103.52417500000003</v>
      </c>
      <c r="G26" s="47">
        <f t="shared" si="0"/>
        <v>99.617950000000064</v>
      </c>
      <c r="H26" s="41"/>
    </row>
    <row r="27" spans="2:8" x14ac:dyDescent="0.3">
      <c r="B27" s="3"/>
      <c r="G27" s="2"/>
    </row>
    <row r="28" spans="2:8" x14ac:dyDescent="0.3">
      <c r="B28" s="29" t="s">
        <v>41</v>
      </c>
      <c r="C28" s="35"/>
      <c r="D28" s="37">
        <f>D12-D13</f>
        <v>-9.9999999999999742E-4</v>
      </c>
      <c r="E28" s="37">
        <f t="shared" ref="E28:G28" si="1">E12-E13</f>
        <v>-9.9999999999999742E-4</v>
      </c>
      <c r="F28" s="37">
        <f t="shared" si="1"/>
        <v>-1.0000000000000009E-3</v>
      </c>
      <c r="G28" s="38">
        <f t="shared" si="1"/>
        <v>-1.0000000000000009E-3</v>
      </c>
    </row>
    <row r="29" spans="2:8" x14ac:dyDescent="0.3">
      <c r="B29" s="94" t="s">
        <v>43</v>
      </c>
      <c r="C29" s="31"/>
      <c r="D29" s="95">
        <f>D28*D6*(1-D14)</f>
        <v>-8.6553749999999781</v>
      </c>
      <c r="E29" s="95">
        <f>E28*E6*(1-D14)</f>
        <v>-8.3588999999999789</v>
      </c>
      <c r="F29" s="95">
        <f>F28*F6*(1-D14)</f>
        <v>-8.0577750000000048</v>
      </c>
      <c r="G29" s="96">
        <f>G28*G6*(1-D14)</f>
        <v>-7.7535000000000078</v>
      </c>
    </row>
    <row r="31" spans="2:8" x14ac:dyDescent="0.3">
      <c r="B31" s="1" t="s">
        <v>54</v>
      </c>
    </row>
    <row r="32" spans="2:8" x14ac:dyDescent="0.3">
      <c r="B32" s="1" t="s">
        <v>59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1E82C-1EFC-4A38-9A31-E22E8886C6A9}">
  <dimension ref="B2:G25"/>
  <sheetViews>
    <sheetView topLeftCell="A4" workbookViewId="0">
      <selection activeCell="I24" sqref="I24"/>
    </sheetView>
  </sheetViews>
  <sheetFormatPr defaultColWidth="8.77734375" defaultRowHeight="14.4" x14ac:dyDescent="0.3"/>
  <cols>
    <col min="1" max="1" width="8.77734375" style="1"/>
    <col min="2" max="2" width="33.77734375" style="1" bestFit="1" customWidth="1"/>
    <col min="3" max="7" width="11.109375" style="1" customWidth="1"/>
    <col min="8" max="8" width="8.77734375" style="1"/>
    <col min="9" max="12" width="9.44140625" style="1" bestFit="1" customWidth="1"/>
    <col min="13" max="14" width="8.77734375" style="1"/>
    <col min="15" max="17" width="10.6640625" style="1" bestFit="1" customWidth="1"/>
    <col min="18" max="16384" width="8.77734375" style="1"/>
  </cols>
  <sheetData>
    <row r="2" spans="2:7" x14ac:dyDescent="0.3">
      <c r="B2" s="19" t="s">
        <v>51</v>
      </c>
      <c r="C2" s="19"/>
    </row>
    <row r="3" spans="2:7" x14ac:dyDescent="0.3">
      <c r="B3" s="87" t="s">
        <v>25</v>
      </c>
      <c r="C3" s="88"/>
      <c r="D3" s="88">
        <f>E3+1</f>
        <v>2027</v>
      </c>
      <c r="E3" s="88">
        <f>F3+1</f>
        <v>2026</v>
      </c>
      <c r="F3" s="88">
        <f>G3+1</f>
        <v>2025</v>
      </c>
      <c r="G3" s="89">
        <v>2024</v>
      </c>
    </row>
    <row r="4" spans="2:7" x14ac:dyDescent="0.3">
      <c r="B4" s="50" t="s">
        <v>33</v>
      </c>
      <c r="C4"/>
      <c r="D4" s="90">
        <f>'Q1 d(i)'!D4</f>
        <v>14518</v>
      </c>
      <c r="E4" s="90">
        <f>'Q1 d(i)'!E4</f>
        <v>14013.5</v>
      </c>
      <c r="F4" s="90">
        <f>'Q1 d(i)'!F4</f>
        <v>13506.999999999998</v>
      </c>
      <c r="G4" s="45">
        <f>'Q1 d(i)'!G4</f>
        <v>13000</v>
      </c>
    </row>
    <row r="5" spans="2:7" x14ac:dyDescent="0.3">
      <c r="B5" s="50" t="s">
        <v>23</v>
      </c>
      <c r="C5"/>
      <c r="D5" s="90">
        <f>'Q1 d(i)'!D5</f>
        <v>14518</v>
      </c>
      <c r="E5" s="90">
        <f>'Q1 d(i)'!E5</f>
        <v>14013.5</v>
      </c>
      <c r="F5" s="90">
        <f>'Q1 d(i)'!F5</f>
        <v>13506.999999999998</v>
      </c>
      <c r="G5" s="45">
        <f>'Q1 d(i)'!G5</f>
        <v>13000</v>
      </c>
    </row>
    <row r="6" spans="2:7" x14ac:dyDescent="0.3">
      <c r="B6" s="50" t="s">
        <v>42</v>
      </c>
      <c r="C6"/>
      <c r="D6" s="90">
        <f>'Q1 d(i)'!D6</f>
        <v>11540.5</v>
      </c>
      <c r="E6" s="90">
        <f>'Q1 d(i)'!E6</f>
        <v>11145.2</v>
      </c>
      <c r="F6" s="90">
        <f>'Q1 d(i)'!F6</f>
        <v>10743.699999999997</v>
      </c>
      <c r="G6" s="45">
        <f>'Q1 d(i)'!G6</f>
        <v>10338</v>
      </c>
    </row>
    <row r="7" spans="2:7" x14ac:dyDescent="0.3">
      <c r="B7" s="50" t="s">
        <v>21</v>
      </c>
      <c r="C7"/>
      <c r="D7" s="90">
        <f>'Q1 d(i)'!D7</f>
        <v>2977.5</v>
      </c>
      <c r="E7" s="90">
        <f>'Q1 d(i)'!E7</f>
        <v>2868.3</v>
      </c>
      <c r="F7" s="90">
        <f>'Q1 d(i)'!F7</f>
        <v>2763.3</v>
      </c>
      <c r="G7" s="45">
        <f>'Q1 d(i)'!G7</f>
        <v>2662.2</v>
      </c>
    </row>
    <row r="8" spans="2:7" x14ac:dyDescent="0.3">
      <c r="B8" s="50"/>
      <c r="C8"/>
      <c r="D8"/>
      <c r="E8"/>
      <c r="F8"/>
      <c r="G8" s="57"/>
    </row>
    <row r="9" spans="2:7" x14ac:dyDescent="0.3">
      <c r="B9" s="91" t="s">
        <v>49</v>
      </c>
      <c r="C9" s="92"/>
      <c r="D9" s="88">
        <f>E9+1</f>
        <v>2027</v>
      </c>
      <c r="E9" s="88">
        <f>F9+1</f>
        <v>2026</v>
      </c>
      <c r="F9" s="88">
        <f>G9+1</f>
        <v>2025</v>
      </c>
      <c r="G9" s="89">
        <v>2024</v>
      </c>
    </row>
    <row r="10" spans="2:7" x14ac:dyDescent="0.3">
      <c r="B10" s="50" t="s">
        <v>30</v>
      </c>
      <c r="C10"/>
      <c r="D10" s="51">
        <v>4.8000000000000001E-2</v>
      </c>
      <c r="E10" s="51">
        <v>4.8000000000000001E-2</v>
      </c>
      <c r="F10" s="51">
        <v>0.05</v>
      </c>
      <c r="G10" s="56">
        <v>0.05</v>
      </c>
    </row>
    <row r="11" spans="2:7" x14ac:dyDescent="0.3">
      <c r="B11" s="50" t="s">
        <v>31</v>
      </c>
      <c r="C11"/>
      <c r="D11" s="51">
        <v>3.4000000000000002E-2</v>
      </c>
      <c r="E11" s="51">
        <v>3.4000000000000002E-2</v>
      </c>
      <c r="F11" s="51">
        <v>3.5999999999999997E-2</v>
      </c>
      <c r="G11" s="56">
        <v>3.5999999999999997E-2</v>
      </c>
    </row>
    <row r="12" spans="2:7" x14ac:dyDescent="0.3">
      <c r="B12" s="50" t="s">
        <v>39</v>
      </c>
      <c r="C12"/>
      <c r="D12" s="54">
        <v>2.9000000000000001E-2</v>
      </c>
      <c r="E12" s="54">
        <v>2.9000000000000001E-2</v>
      </c>
      <c r="F12" s="54">
        <v>0.03</v>
      </c>
      <c r="G12" s="55">
        <v>0.03</v>
      </c>
    </row>
    <row r="13" spans="2:7" x14ac:dyDescent="0.3">
      <c r="B13" s="50" t="s">
        <v>40</v>
      </c>
      <c r="C13"/>
      <c r="D13" s="54">
        <v>0.03</v>
      </c>
      <c r="E13" s="54">
        <v>0.03</v>
      </c>
      <c r="F13" s="54">
        <v>3.1E-2</v>
      </c>
      <c r="G13" s="55">
        <v>3.1E-2</v>
      </c>
    </row>
    <row r="14" spans="2:7" x14ac:dyDescent="0.3">
      <c r="B14" s="64" t="s">
        <v>28</v>
      </c>
      <c r="C14" s="93">
        <v>0.25</v>
      </c>
      <c r="D14" s="93">
        <v>0.25</v>
      </c>
      <c r="E14" s="93">
        <v>0.25</v>
      </c>
      <c r="F14" s="93">
        <v>0.25</v>
      </c>
      <c r="G14" s="97">
        <v>0.25</v>
      </c>
    </row>
    <row r="15" spans="2:7" x14ac:dyDescent="0.3">
      <c r="B15"/>
      <c r="C15" s="54"/>
      <c r="D15" s="54"/>
      <c r="E15" s="54"/>
      <c r="F15" s="54"/>
      <c r="G15" s="54"/>
    </row>
    <row r="16" spans="2:7" x14ac:dyDescent="0.3">
      <c r="B16"/>
      <c r="C16" s="54"/>
      <c r="D16" s="54"/>
      <c r="E16" s="54"/>
      <c r="F16" s="54"/>
      <c r="G16" s="54"/>
    </row>
    <row r="17" spans="2:7" x14ac:dyDescent="0.3">
      <c r="B17" t="s">
        <v>50</v>
      </c>
      <c r="C17" s="54"/>
      <c r="D17" s="54"/>
      <c r="E17" s="54"/>
      <c r="F17" s="54"/>
      <c r="G17" s="54"/>
    </row>
    <row r="18" spans="2:7" x14ac:dyDescent="0.3">
      <c r="B18" t="s">
        <v>57</v>
      </c>
      <c r="C18" s="54"/>
      <c r="D18" s="54"/>
      <c r="E18" s="54"/>
      <c r="F18" s="54"/>
      <c r="G18" s="54"/>
    </row>
    <row r="19" spans="2:7" x14ac:dyDescent="0.3">
      <c r="B19" s="32"/>
      <c r="C19" s="44"/>
      <c r="D19" s="100">
        <v>2027</v>
      </c>
      <c r="E19" s="100">
        <v>2026</v>
      </c>
      <c r="F19" s="100">
        <v>2025</v>
      </c>
      <c r="G19" s="101">
        <v>2024</v>
      </c>
    </row>
    <row r="20" spans="2:7" x14ac:dyDescent="0.3">
      <c r="B20" s="29" t="s">
        <v>44</v>
      </c>
      <c r="C20" s="35"/>
      <c r="D20" s="27">
        <f>(D4*D10-D6*D12)*(1-D14)</f>
        <v>271.64212500000002</v>
      </c>
      <c r="E20" s="27">
        <f>(E4*E10-E6*E12)*(1-D14)</f>
        <v>262.0779</v>
      </c>
      <c r="F20" s="27">
        <f>(F4*F10-F6*F12)*(1-D14)</f>
        <v>264.77924999999999</v>
      </c>
      <c r="G20" s="28">
        <f>(G4*G10-G6*G12)*(1-D14)</f>
        <v>254.89500000000001</v>
      </c>
    </row>
    <row r="21" spans="2:7" x14ac:dyDescent="0.3">
      <c r="B21" s="46" t="s">
        <v>45</v>
      </c>
      <c r="C21" s="35"/>
      <c r="D21" s="98">
        <f>(D4-D6)*D13</f>
        <v>89.325000000000003</v>
      </c>
      <c r="E21" s="98">
        <f>(E4-E6)*E13</f>
        <v>86.048999999999978</v>
      </c>
      <c r="F21" s="98">
        <f>(F4-F6)*F13</f>
        <v>85.66230000000003</v>
      </c>
      <c r="G21" s="102">
        <f>(G4-G6)*G13</f>
        <v>82.522000000000006</v>
      </c>
    </row>
    <row r="22" spans="2:7" x14ac:dyDescent="0.3">
      <c r="B22" s="94" t="s">
        <v>46</v>
      </c>
      <c r="C22" s="31"/>
      <c r="D22" s="99">
        <f>D4*(D11-D13)</f>
        <v>58.072000000000052</v>
      </c>
      <c r="E22" s="99">
        <f>E4*(E11-E13)</f>
        <v>56.054000000000052</v>
      </c>
      <c r="F22" s="99">
        <f>F4*(F11-F13)</f>
        <v>67.534999999999954</v>
      </c>
      <c r="G22" s="103">
        <f>G4*(G11-G13)</f>
        <v>64.999999999999972</v>
      </c>
    </row>
    <row r="24" spans="2:7" x14ac:dyDescent="0.3">
      <c r="B24" s="1" t="s">
        <v>55</v>
      </c>
    </row>
    <row r="25" spans="2:7" x14ac:dyDescent="0.3">
      <c r="B25" s="1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2DFC8-755A-4FA3-8509-508136236272}">
  <sheetPr>
    <tabColor theme="7" tint="0.79998168889431442"/>
  </sheetPr>
  <dimension ref="A2:Y108"/>
  <sheetViews>
    <sheetView showGridLines="0" tabSelected="1" topLeftCell="V1" zoomScale="80" zoomScaleNormal="80" workbookViewId="0">
      <selection activeCell="D1" sqref="D1"/>
    </sheetView>
  </sheetViews>
  <sheetFormatPr defaultRowHeight="14.4" x14ac:dyDescent="0.3"/>
  <cols>
    <col min="1" max="1" width="4.77734375" customWidth="1"/>
    <col min="2" max="2" width="74.21875" customWidth="1"/>
    <col min="3" max="3" width="3.5546875" customWidth="1"/>
    <col min="4" max="4" width="13.5546875" customWidth="1"/>
    <col min="5" max="5" width="3.5546875" customWidth="1"/>
    <col min="6" max="7" width="13.5546875" customWidth="1"/>
    <col min="8" max="8" width="3.77734375" customWidth="1"/>
    <col min="9" max="9" width="3.77734375" bestFit="1" customWidth="1"/>
    <col min="10" max="11" width="10.5546875" customWidth="1"/>
    <col min="12" max="12" width="3.77734375" customWidth="1"/>
    <col min="13" max="18" width="10.5546875" customWidth="1"/>
    <col min="19" max="19" width="3.77734375" customWidth="1"/>
    <col min="20" max="25" width="10.5546875" customWidth="1"/>
  </cols>
  <sheetData>
    <row r="2" spans="1:25" ht="18.600000000000001" thickBot="1" x14ac:dyDescent="0.4">
      <c r="B2" s="142" t="s">
        <v>100</v>
      </c>
      <c r="C2" s="141"/>
      <c r="D2" s="141"/>
      <c r="E2" s="141"/>
      <c r="F2" s="141"/>
      <c r="G2" s="141"/>
    </row>
    <row r="3" spans="1:25" ht="15" thickTop="1" x14ac:dyDescent="0.3"/>
    <row r="4" spans="1:25" x14ac:dyDescent="0.3">
      <c r="B4" s="140" t="s">
        <v>99</v>
      </c>
      <c r="C4" s="140"/>
      <c r="D4" s="140"/>
      <c r="E4" s="140"/>
      <c r="F4" s="140"/>
      <c r="G4" s="140"/>
      <c r="I4" s="140" t="s">
        <v>98</v>
      </c>
      <c r="J4" s="140"/>
      <c r="K4" s="140"/>
      <c r="M4" s="115" t="s">
        <v>65</v>
      </c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</row>
    <row r="5" spans="1:25" x14ac:dyDescent="0.3">
      <c r="A5" s="139"/>
      <c r="H5" s="139"/>
      <c r="M5" s="139"/>
      <c r="N5" s="139"/>
      <c r="O5" s="139"/>
      <c r="P5" s="139"/>
      <c r="Q5" s="139"/>
      <c r="R5" s="139"/>
      <c r="S5" s="139"/>
    </row>
    <row r="6" spans="1:25" x14ac:dyDescent="0.3">
      <c r="D6" s="138" t="s">
        <v>96</v>
      </c>
      <c r="F6" s="137" t="s">
        <v>95</v>
      </c>
      <c r="G6" s="137"/>
      <c r="I6" s="137" t="s">
        <v>97</v>
      </c>
      <c r="J6" s="137"/>
      <c r="K6" s="137"/>
      <c r="M6" s="137" t="s">
        <v>96</v>
      </c>
      <c r="N6" s="137"/>
      <c r="O6" s="137"/>
      <c r="P6" s="137"/>
      <c r="Q6" s="137"/>
      <c r="R6" s="137"/>
      <c r="T6" s="137" t="s">
        <v>95</v>
      </c>
      <c r="U6" s="137"/>
      <c r="V6" s="137"/>
      <c r="W6" s="137"/>
      <c r="X6" s="137"/>
      <c r="Y6" s="137"/>
    </row>
    <row r="7" spans="1:25" x14ac:dyDescent="0.3">
      <c r="M7" s="136" t="s">
        <v>86</v>
      </c>
      <c r="N7" s="136" t="s">
        <v>81</v>
      </c>
      <c r="O7" s="136" t="s">
        <v>75</v>
      </c>
      <c r="P7" s="136" t="s">
        <v>72</v>
      </c>
      <c r="Q7" s="136" t="s">
        <v>68</v>
      </c>
      <c r="T7" s="136" t="s">
        <v>86</v>
      </c>
      <c r="U7" s="136" t="s">
        <v>81</v>
      </c>
      <c r="V7" s="136" t="s">
        <v>75</v>
      </c>
      <c r="W7" s="136" t="s">
        <v>72</v>
      </c>
      <c r="X7" s="136" t="s">
        <v>68</v>
      </c>
    </row>
    <row r="8" spans="1:25" ht="28.8" x14ac:dyDescent="0.3">
      <c r="I8" s="135" t="s">
        <v>94</v>
      </c>
      <c r="J8" s="134" t="s">
        <v>93</v>
      </c>
      <c r="K8" s="134" t="s">
        <v>92</v>
      </c>
      <c r="L8" s="118"/>
      <c r="M8" s="134" t="s">
        <v>91</v>
      </c>
      <c r="N8" s="134" t="s">
        <v>90</v>
      </c>
      <c r="O8" s="134" t="s">
        <v>89</v>
      </c>
      <c r="P8" s="134" t="s">
        <v>69</v>
      </c>
      <c r="Q8" s="134" t="s">
        <v>88</v>
      </c>
      <c r="R8" s="134" t="s">
        <v>87</v>
      </c>
      <c r="S8" s="118"/>
      <c r="T8" s="134" t="s">
        <v>91</v>
      </c>
      <c r="U8" s="134" t="s">
        <v>90</v>
      </c>
      <c r="V8" s="134" t="s">
        <v>89</v>
      </c>
      <c r="W8" s="134" t="s">
        <v>69</v>
      </c>
      <c r="X8" s="134" t="s">
        <v>88</v>
      </c>
      <c r="Y8" s="134" t="s">
        <v>87</v>
      </c>
    </row>
    <row r="9" spans="1:25" x14ac:dyDescent="0.3">
      <c r="A9" s="127" t="s">
        <v>86</v>
      </c>
      <c r="B9" s="126" t="s">
        <v>85</v>
      </c>
      <c r="C9" s="119"/>
      <c r="D9" s="120">
        <v>1</v>
      </c>
      <c r="E9" s="119"/>
      <c r="F9" s="121" t="s">
        <v>79</v>
      </c>
      <c r="G9" s="123" t="s">
        <v>84</v>
      </c>
      <c r="I9" s="109">
        <v>1</v>
      </c>
      <c r="J9" s="108">
        <v>0.38533297710045411</v>
      </c>
      <c r="K9" s="108">
        <v>0.43598239442713715</v>
      </c>
      <c r="M9" s="133">
        <f>$D$9</f>
        <v>1</v>
      </c>
      <c r="N9" s="106">
        <f>$D$13</f>
        <v>1000</v>
      </c>
      <c r="O9" s="106">
        <f>M9*N9</f>
        <v>1000</v>
      </c>
      <c r="P9" s="106">
        <f>$D$20*M9</f>
        <v>800</v>
      </c>
      <c r="Q9" s="105">
        <f>O9-P9</f>
        <v>200</v>
      </c>
      <c r="R9" s="105">
        <f>Q9</f>
        <v>200</v>
      </c>
      <c r="T9" s="132">
        <f>_xlfn.BINOM.INV($G$11,$G$10,J9)</f>
        <v>1</v>
      </c>
      <c r="U9" s="131">
        <f>_xlfn.NORM.INV(K9,$G$14,$G$15)</f>
        <v>977.76734083402823</v>
      </c>
      <c r="V9" s="131">
        <f>T9*U9</f>
        <v>977.76734083402823</v>
      </c>
      <c r="W9" s="131">
        <f>VLOOKUP(T9,$F$21:$G$24,2,FALSE)</f>
        <v>800</v>
      </c>
      <c r="X9" s="130">
        <f>V9-W9</f>
        <v>177.76734083402823</v>
      </c>
      <c r="Y9" s="130">
        <f>X9</f>
        <v>177.76734083402823</v>
      </c>
    </row>
    <row r="10" spans="1:25" x14ac:dyDescent="0.3">
      <c r="A10" s="127"/>
      <c r="B10" s="126"/>
      <c r="D10" s="125"/>
      <c r="F10" s="121" t="s">
        <v>83</v>
      </c>
      <c r="G10" s="129">
        <v>0.5</v>
      </c>
      <c r="I10" s="109">
        <f>I9+1</f>
        <v>2</v>
      </c>
      <c r="J10" s="108">
        <v>0.38616812309402315</v>
      </c>
      <c r="K10" s="108">
        <v>0.79554379618780047</v>
      </c>
      <c r="M10" s="107">
        <v>1</v>
      </c>
      <c r="N10" s="106">
        <f>$D$13</f>
        <v>1000</v>
      </c>
      <c r="O10" s="106">
        <f>M10*N10</f>
        <v>1000</v>
      </c>
      <c r="P10" s="106">
        <f>$D$20*M10</f>
        <v>800</v>
      </c>
      <c r="Q10" s="105">
        <f>O10-P10</f>
        <v>200</v>
      </c>
      <c r="R10" s="105">
        <f>Q10+R9</f>
        <v>400</v>
      </c>
      <c r="T10" s="107">
        <f>_xlfn.BINOM.INV($G$11,$G$10,J10)</f>
        <v>1</v>
      </c>
      <c r="U10" s="106">
        <f>_xlfn.NORM.INV(K10,$G$14,$G$15)</f>
        <v>1175.161814197598</v>
      </c>
      <c r="V10" s="106">
        <f>T10*U10</f>
        <v>1175.161814197598</v>
      </c>
      <c r="W10" s="106">
        <f>VLOOKUP(T10,$F$21:$G$24,2,FALSE)</f>
        <v>800</v>
      </c>
      <c r="X10" s="105">
        <f>V10-W10</f>
        <v>375.16181419759801</v>
      </c>
      <c r="Y10" s="105">
        <f>X10+Y9</f>
        <v>552.92915503162624</v>
      </c>
    </row>
    <row r="11" spans="1:25" x14ac:dyDescent="0.3">
      <c r="A11" s="127"/>
      <c r="B11" s="126"/>
      <c r="D11" s="125"/>
      <c r="F11" s="121" t="s">
        <v>82</v>
      </c>
      <c r="G11" s="128">
        <v>3</v>
      </c>
      <c r="I11" s="109">
        <f>I10+1</f>
        <v>3</v>
      </c>
      <c r="J11" s="108">
        <v>0.36480148907451027</v>
      </c>
      <c r="K11" s="108">
        <v>0.40040006777393833</v>
      </c>
      <c r="M11" s="107">
        <v>1</v>
      </c>
      <c r="N11" s="106">
        <f>$D$13</f>
        <v>1000</v>
      </c>
      <c r="O11" s="106">
        <f>M11*N11</f>
        <v>1000</v>
      </c>
      <c r="P11" s="106">
        <f>$D$20*M11</f>
        <v>800</v>
      </c>
      <c r="Q11" s="105">
        <f>O11-P11</f>
        <v>200</v>
      </c>
      <c r="R11" s="105">
        <f>Q11+R10</f>
        <v>600</v>
      </c>
      <c r="T11" s="107">
        <f>_xlfn.BINOM.INV($G$11,$G$10,J11)</f>
        <v>1</v>
      </c>
      <c r="U11" s="106">
        <f>_xlfn.NORM.INV(K11,$G$14,$G$15)</f>
        <v>959.53765746624276</v>
      </c>
      <c r="V11" s="106">
        <f>T11*U11</f>
        <v>959.53765746624276</v>
      </c>
      <c r="W11" s="106">
        <f>VLOOKUP(T11,$F$21:$G$24,2,FALSE)</f>
        <v>800</v>
      </c>
      <c r="X11" s="105">
        <f>V11-W11</f>
        <v>159.53765746624276</v>
      </c>
      <c r="Y11" s="105">
        <f>X11+Y10</f>
        <v>712.466812497869</v>
      </c>
    </row>
    <row r="12" spans="1:25" x14ac:dyDescent="0.3">
      <c r="A12" s="119"/>
      <c r="B12" s="124"/>
      <c r="F12" s="119"/>
      <c r="I12" s="109">
        <f>I11+1</f>
        <v>4</v>
      </c>
      <c r="J12" s="108">
        <v>4.6127744488676292E-2</v>
      </c>
      <c r="K12" s="108">
        <v>0.12445593900813723</v>
      </c>
      <c r="M12" s="107">
        <v>1</v>
      </c>
      <c r="N12" s="106">
        <f>$D$13</f>
        <v>1000</v>
      </c>
      <c r="O12" s="106">
        <f>M12*N12</f>
        <v>1000</v>
      </c>
      <c r="P12" s="106">
        <f>$D$20*M12</f>
        <v>800</v>
      </c>
      <c r="Q12" s="105">
        <f>O12-P12</f>
        <v>200</v>
      </c>
      <c r="R12" s="105">
        <f>Q12+R11</f>
        <v>800</v>
      </c>
      <c r="T12" s="107">
        <f>_xlfn.BINOM.INV($G$11,$G$10,J12)</f>
        <v>0</v>
      </c>
      <c r="U12" s="106">
        <f>_xlfn.NORM.INV(K12,$G$14,$G$15)</f>
        <v>779.40072773943803</v>
      </c>
      <c r="V12" s="106">
        <f>T12*U12</f>
        <v>0</v>
      </c>
      <c r="W12" s="106">
        <f>VLOOKUP(T12,$F$21:$G$24,2,FALSE)</f>
        <v>800</v>
      </c>
      <c r="X12" s="105">
        <f>V12-W12</f>
        <v>-800</v>
      </c>
      <c r="Y12" s="105">
        <f>X12+Y11</f>
        <v>-87.533187502131</v>
      </c>
    </row>
    <row r="13" spans="1:25" x14ac:dyDescent="0.3">
      <c r="A13" s="127" t="s">
        <v>81</v>
      </c>
      <c r="B13" s="126" t="s">
        <v>80</v>
      </c>
      <c r="D13" s="120">
        <v>1000</v>
      </c>
      <c r="F13" s="121" t="s">
        <v>79</v>
      </c>
      <c r="G13" s="123" t="s">
        <v>78</v>
      </c>
      <c r="I13" s="109">
        <f>I12+1</f>
        <v>5</v>
      </c>
      <c r="J13" s="108">
        <v>0.93351646115847031</v>
      </c>
      <c r="K13" s="108">
        <v>0.70750680687842149</v>
      </c>
      <c r="M13" s="107">
        <v>1</v>
      </c>
      <c r="N13" s="106">
        <f>$D$13</f>
        <v>1000</v>
      </c>
      <c r="O13" s="106">
        <f>M13*N13</f>
        <v>1000</v>
      </c>
      <c r="P13" s="106">
        <f>$D$20*M13</f>
        <v>800</v>
      </c>
      <c r="Q13" s="105">
        <f>O13-P13</f>
        <v>200</v>
      </c>
      <c r="R13" s="105">
        <f>Q13+R12</f>
        <v>1000</v>
      </c>
      <c r="T13" s="107">
        <f>_xlfn.BINOM.INV($G$11,$G$10,J13)</f>
        <v>3</v>
      </c>
      <c r="U13" s="106">
        <f>_xlfn.NORM.INV(K13,$G$14,$G$15)</f>
        <v>1119.2231464386853</v>
      </c>
      <c r="V13" s="106">
        <f>T13*U13</f>
        <v>3357.669439316056</v>
      </c>
      <c r="W13" s="106">
        <f>VLOOKUP(T13,$F$21:$G$24,2,FALSE)</f>
        <v>2300</v>
      </c>
      <c r="X13" s="105">
        <f>V13-W13</f>
        <v>1057.669439316056</v>
      </c>
      <c r="Y13" s="105">
        <f>X13+Y12</f>
        <v>970.13625181392501</v>
      </c>
    </row>
    <row r="14" spans="1:25" x14ac:dyDescent="0.3">
      <c r="A14" s="127"/>
      <c r="B14" s="126"/>
      <c r="D14" s="125"/>
      <c r="F14" s="121" t="s">
        <v>77</v>
      </c>
      <c r="G14" s="120">
        <v>1010</v>
      </c>
      <c r="I14" s="109">
        <f>I13+1</f>
        <v>6</v>
      </c>
      <c r="J14" s="108">
        <v>0.80397978668116488</v>
      </c>
      <c r="K14" s="108">
        <v>0.89684360642820615</v>
      </c>
      <c r="M14" s="107">
        <v>1</v>
      </c>
      <c r="N14" s="106">
        <f>$D$13</f>
        <v>1000</v>
      </c>
      <c r="O14" s="106">
        <f>M14*N14</f>
        <v>1000</v>
      </c>
      <c r="P14" s="106">
        <f>$D$20*M14</f>
        <v>800</v>
      </c>
      <c r="Q14" s="105">
        <f>O14-P14</f>
        <v>200</v>
      </c>
      <c r="R14" s="105">
        <f>Q14+R13</f>
        <v>1200</v>
      </c>
      <c r="T14" s="107">
        <f>_xlfn.BINOM.INV($G$11,$G$10,J14)</f>
        <v>2</v>
      </c>
      <c r="U14" s="106">
        <f>_xlfn.NORM.INV(K14,$G$14,$G$15)</f>
        <v>1262.7538912417822</v>
      </c>
      <c r="V14" s="106">
        <f>T14*U14</f>
        <v>2525.5077824835644</v>
      </c>
      <c r="W14" s="106">
        <f>VLOOKUP(T14,$F$21:$G$24,2,FALSE)</f>
        <v>1550</v>
      </c>
      <c r="X14" s="105">
        <f>V14-W14</f>
        <v>975.50778248356437</v>
      </c>
      <c r="Y14" s="105">
        <f>X14+Y13</f>
        <v>1945.6440342974893</v>
      </c>
    </row>
    <row r="15" spans="1:25" x14ac:dyDescent="0.3">
      <c r="A15" s="119"/>
      <c r="B15" s="126"/>
      <c r="D15" s="125"/>
      <c r="F15" s="121" t="s">
        <v>76</v>
      </c>
      <c r="G15" s="120">
        <v>200</v>
      </c>
      <c r="I15" s="109">
        <f>I14+1</f>
        <v>7</v>
      </c>
      <c r="J15" s="108">
        <v>0.17302114521874012</v>
      </c>
      <c r="K15" s="108">
        <v>0.94952052978525092</v>
      </c>
      <c r="M15" s="107">
        <v>1</v>
      </c>
      <c r="N15" s="106">
        <f>$D$13</f>
        <v>1000</v>
      </c>
      <c r="O15" s="106">
        <f>M15*N15</f>
        <v>1000</v>
      </c>
      <c r="P15" s="106">
        <f>$D$20*M15</f>
        <v>800</v>
      </c>
      <c r="Q15" s="105">
        <f>O15-P15</f>
        <v>200</v>
      </c>
      <c r="R15" s="105">
        <f>Q15+R14</f>
        <v>1400</v>
      </c>
      <c r="T15" s="107">
        <f>_xlfn.BINOM.INV($G$11,$G$10,J15)</f>
        <v>1</v>
      </c>
      <c r="U15" s="106">
        <f>_xlfn.NORM.INV(K15,$G$14,$G$15)</f>
        <v>1338.04447331805</v>
      </c>
      <c r="V15" s="106">
        <f>T15*U15</f>
        <v>1338.04447331805</v>
      </c>
      <c r="W15" s="106">
        <f>VLOOKUP(T15,$F$21:$G$24,2,FALSE)</f>
        <v>800</v>
      </c>
      <c r="X15" s="105">
        <f>V15-W15</f>
        <v>538.04447331805</v>
      </c>
      <c r="Y15" s="105">
        <f>X15+Y14</f>
        <v>2483.6885076155395</v>
      </c>
    </row>
    <row r="16" spans="1:25" x14ac:dyDescent="0.3">
      <c r="A16" s="119"/>
      <c r="B16" s="124"/>
      <c r="F16" s="119"/>
      <c r="I16" s="109">
        <f>I15+1</f>
        <v>8</v>
      </c>
      <c r="J16" s="108">
        <v>0.52012933882681212</v>
      </c>
      <c r="K16" s="108">
        <v>0.7247762334706801</v>
      </c>
      <c r="M16" s="107">
        <v>1</v>
      </c>
      <c r="N16" s="106">
        <f>$D$13</f>
        <v>1000</v>
      </c>
      <c r="O16" s="106">
        <f>M16*N16</f>
        <v>1000</v>
      </c>
      <c r="P16" s="106">
        <f>$D$20*M16</f>
        <v>800</v>
      </c>
      <c r="Q16" s="105">
        <f>O16-P16</f>
        <v>200</v>
      </c>
      <c r="R16" s="105">
        <f>Q16+R15</f>
        <v>1600</v>
      </c>
      <c r="T16" s="107">
        <f>_xlfn.BINOM.INV($G$11,$G$10,J16)</f>
        <v>2</v>
      </c>
      <c r="U16" s="106">
        <f>_xlfn.NORM.INV(K16,$G$14,$G$15)</f>
        <v>1129.4179283843469</v>
      </c>
      <c r="V16" s="106">
        <f>T16*U16</f>
        <v>2258.8358567686937</v>
      </c>
      <c r="W16" s="106">
        <f>VLOOKUP(T16,$F$21:$G$24,2,FALSE)</f>
        <v>1550</v>
      </c>
      <c r="X16" s="105">
        <f>V16-W16</f>
        <v>708.8358567686937</v>
      </c>
      <c r="Y16" s="105">
        <f>X16+Y15</f>
        <v>3192.5243643842332</v>
      </c>
    </row>
    <row r="17" spans="1:25" x14ac:dyDescent="0.3">
      <c r="A17" s="118" t="s">
        <v>75</v>
      </c>
      <c r="B17" s="117" t="s">
        <v>74</v>
      </c>
      <c r="D17" s="116">
        <f>D9*D13</f>
        <v>1000</v>
      </c>
      <c r="F17" s="121"/>
      <c r="G17" s="116" t="s">
        <v>73</v>
      </c>
      <c r="I17" s="109">
        <f>I16+1</f>
        <v>9</v>
      </c>
      <c r="J17" s="108">
        <v>0.89538175894550875</v>
      </c>
      <c r="K17" s="108">
        <v>0.46080439612298651</v>
      </c>
      <c r="M17" s="107">
        <v>1</v>
      </c>
      <c r="N17" s="106">
        <f>$D$13</f>
        <v>1000</v>
      </c>
      <c r="O17" s="106">
        <f>M17*N17</f>
        <v>1000</v>
      </c>
      <c r="P17" s="106">
        <f>$D$20*M17</f>
        <v>800</v>
      </c>
      <c r="Q17" s="105">
        <f>O17-P17</f>
        <v>200</v>
      </c>
      <c r="R17" s="105">
        <f>Q17+R16</f>
        <v>1800</v>
      </c>
      <c r="T17" s="107">
        <f>_xlfn.BINOM.INV($G$11,$G$10,J17)</f>
        <v>3</v>
      </c>
      <c r="U17" s="106">
        <f>_xlfn.NORM.INV(K17,$G$14,$G$15)</f>
        <v>990.31851833582493</v>
      </c>
      <c r="V17" s="106">
        <f>T17*U17</f>
        <v>2970.9555550074747</v>
      </c>
      <c r="W17" s="106">
        <f>VLOOKUP(T17,$F$21:$G$24,2,FALSE)</f>
        <v>2300</v>
      </c>
      <c r="X17" s="105">
        <f>V17-W17</f>
        <v>670.95555500747469</v>
      </c>
      <c r="Y17" s="105">
        <f>X17+Y16</f>
        <v>3863.4799193917079</v>
      </c>
    </row>
    <row r="18" spans="1:25" x14ac:dyDescent="0.3">
      <c r="A18" s="118"/>
      <c r="B18" s="117"/>
      <c r="D18" s="110"/>
      <c r="F18" s="121"/>
      <c r="G18" s="123"/>
      <c r="I18" s="109">
        <f>I17+1</f>
        <v>10</v>
      </c>
      <c r="J18" s="108">
        <v>0.25321868599056918</v>
      </c>
      <c r="K18" s="108">
        <v>0.3261553435465121</v>
      </c>
      <c r="M18" s="107">
        <v>1</v>
      </c>
      <c r="N18" s="106">
        <f>$D$13</f>
        <v>1000</v>
      </c>
      <c r="O18" s="106">
        <f>M18*N18</f>
        <v>1000</v>
      </c>
      <c r="P18" s="106">
        <f>$D$20*M18</f>
        <v>800</v>
      </c>
      <c r="Q18" s="105">
        <f>O18-P18</f>
        <v>200</v>
      </c>
      <c r="R18" s="105">
        <f>Q18+R17</f>
        <v>2000</v>
      </c>
      <c r="T18" s="107">
        <f>_xlfn.BINOM.INV($G$11,$G$10,J18)</f>
        <v>1</v>
      </c>
      <c r="U18" s="106">
        <f>_xlfn.NORM.INV(K18,$G$14,$G$15)</f>
        <v>919.8891058315678</v>
      </c>
      <c r="V18" s="106">
        <f>T18*U18</f>
        <v>919.8891058315678</v>
      </c>
      <c r="W18" s="106">
        <f>VLOOKUP(T18,$F$21:$G$24,2,FALSE)</f>
        <v>800</v>
      </c>
      <c r="X18" s="105">
        <f>V18-W18</f>
        <v>119.8891058315678</v>
      </c>
      <c r="Y18" s="105">
        <f>X18+Y17</f>
        <v>3983.3690252232755</v>
      </c>
    </row>
    <row r="19" spans="1:25" x14ac:dyDescent="0.3">
      <c r="A19" s="119"/>
      <c r="B19" s="124"/>
      <c r="F19" s="119"/>
      <c r="I19" s="109">
        <f>I18+1</f>
        <v>11</v>
      </c>
      <c r="J19" s="108">
        <v>0.24526017270215639</v>
      </c>
      <c r="K19" s="108">
        <v>0.25440159023566244</v>
      </c>
      <c r="M19" s="107">
        <v>1</v>
      </c>
      <c r="N19" s="106">
        <f>$D$13</f>
        <v>1000</v>
      </c>
      <c r="O19" s="106">
        <f>M19*N19</f>
        <v>1000</v>
      </c>
      <c r="P19" s="106">
        <f>$D$20*M19</f>
        <v>800</v>
      </c>
      <c r="Q19" s="105">
        <f>O19-P19</f>
        <v>200</v>
      </c>
      <c r="R19" s="105">
        <f>Q19+R18</f>
        <v>2200</v>
      </c>
      <c r="T19" s="107">
        <f>_xlfn.BINOM.INV($G$11,$G$10,J19)</f>
        <v>1</v>
      </c>
      <c r="U19" s="106">
        <f>_xlfn.NORM.INV(K19,$G$14,$G$15)</f>
        <v>877.85951878370543</v>
      </c>
      <c r="V19" s="106">
        <f>T19*U19</f>
        <v>877.85951878370543</v>
      </c>
      <c r="W19" s="106">
        <f>VLOOKUP(T19,$F$21:$G$24,2,FALSE)</f>
        <v>800</v>
      </c>
      <c r="X19" s="105">
        <f>V19-W19</f>
        <v>77.859518783705425</v>
      </c>
      <c r="Y19" s="105">
        <f>X19+Y18</f>
        <v>4061.2285440069809</v>
      </c>
    </row>
    <row r="20" spans="1:25" x14ac:dyDescent="0.3">
      <c r="A20" s="118" t="s">
        <v>72</v>
      </c>
      <c r="B20" s="117" t="s">
        <v>71</v>
      </c>
      <c r="D20" s="120">
        <v>800</v>
      </c>
      <c r="F20" s="121" t="s">
        <v>70</v>
      </c>
      <c r="G20" s="123" t="s">
        <v>69</v>
      </c>
      <c r="I20" s="109">
        <f>I19+1</f>
        <v>12</v>
      </c>
      <c r="J20" s="108">
        <v>0.35563304948771846</v>
      </c>
      <c r="K20" s="108">
        <v>0.40540259495860298</v>
      </c>
      <c r="M20" s="107">
        <v>1</v>
      </c>
      <c r="N20" s="106">
        <f>$D$13</f>
        <v>1000</v>
      </c>
      <c r="O20" s="106">
        <f>M20*N20</f>
        <v>1000</v>
      </c>
      <c r="P20" s="106">
        <f>$D$20*M20</f>
        <v>800</v>
      </c>
      <c r="Q20" s="105">
        <f>O20-P20</f>
        <v>200</v>
      </c>
      <c r="R20" s="105">
        <f>Q20+R19</f>
        <v>2400</v>
      </c>
      <c r="T20" s="107">
        <f>_xlfn.BINOM.INV($G$11,$G$10,J20)</f>
        <v>1</v>
      </c>
      <c r="U20" s="106">
        <f>_xlfn.NORM.INV(K20,$G$14,$G$15)</f>
        <v>962.12251756303067</v>
      </c>
      <c r="V20" s="106">
        <f>T20*U20</f>
        <v>962.12251756303067</v>
      </c>
      <c r="W20" s="106">
        <f>VLOOKUP(T20,$F$21:$G$24,2,FALSE)</f>
        <v>800</v>
      </c>
      <c r="X20" s="105">
        <f>V20-W20</f>
        <v>162.12251756303067</v>
      </c>
      <c r="Y20" s="105">
        <f>X20+Y19</f>
        <v>4223.3510615700116</v>
      </c>
    </row>
    <row r="21" spans="1:25" x14ac:dyDescent="0.3">
      <c r="A21" s="119"/>
      <c r="B21" s="110"/>
      <c r="D21" s="110"/>
      <c r="F21" s="121">
        <v>0</v>
      </c>
      <c r="G21" s="120">
        <v>800</v>
      </c>
      <c r="I21" s="109">
        <f>I20+1</f>
        <v>13</v>
      </c>
      <c r="J21" s="108">
        <v>0.36256427209492159</v>
      </c>
      <c r="K21" s="108">
        <v>0.89722874636130179</v>
      </c>
      <c r="M21" s="107">
        <v>1</v>
      </c>
      <c r="N21" s="106">
        <f>$D$13</f>
        <v>1000</v>
      </c>
      <c r="O21" s="106">
        <f>M21*N21</f>
        <v>1000</v>
      </c>
      <c r="P21" s="106">
        <f>$D$20*M21</f>
        <v>800</v>
      </c>
      <c r="Q21" s="105">
        <f>O21-P21</f>
        <v>200</v>
      </c>
      <c r="R21" s="105">
        <f>Q21+R20</f>
        <v>2600</v>
      </c>
      <c r="T21" s="107">
        <f>_xlfn.BINOM.INV($G$11,$G$10,J21)</f>
        <v>1</v>
      </c>
      <c r="U21" s="106">
        <f>_xlfn.NORM.INV(K21,$G$14,$G$15)</f>
        <v>1263.183563164924</v>
      </c>
      <c r="V21" s="106">
        <f>T21*U21</f>
        <v>1263.183563164924</v>
      </c>
      <c r="W21" s="106">
        <f>VLOOKUP(T21,$F$21:$G$24,2,FALSE)</f>
        <v>800</v>
      </c>
      <c r="X21" s="105">
        <f>V21-W21</f>
        <v>463.18356316492395</v>
      </c>
      <c r="Y21" s="105">
        <f>X21+Y20</f>
        <v>4686.5346247349353</v>
      </c>
    </row>
    <row r="22" spans="1:25" x14ac:dyDescent="0.3">
      <c r="A22" s="118"/>
      <c r="B22" s="110"/>
      <c r="D22" s="122"/>
      <c r="F22" s="121">
        <v>1</v>
      </c>
      <c r="G22" s="120">
        <v>800</v>
      </c>
      <c r="I22" s="109">
        <f>I21+1</f>
        <v>14</v>
      </c>
      <c r="J22" s="108">
        <v>0.23284566973899767</v>
      </c>
      <c r="K22" s="108">
        <v>0.29291672140987401</v>
      </c>
      <c r="M22" s="107">
        <v>1</v>
      </c>
      <c r="N22" s="106">
        <f>$D$13</f>
        <v>1000</v>
      </c>
      <c r="O22" s="106">
        <f>M22*N22</f>
        <v>1000</v>
      </c>
      <c r="P22" s="106">
        <f>$D$20*M22</f>
        <v>800</v>
      </c>
      <c r="Q22" s="105">
        <f>O22-P22</f>
        <v>200</v>
      </c>
      <c r="R22" s="105">
        <f>Q22+R21</f>
        <v>2800</v>
      </c>
      <c r="T22" s="107">
        <f>_xlfn.BINOM.INV($G$11,$G$10,J22)</f>
        <v>1</v>
      </c>
      <c r="U22" s="106">
        <f>_xlfn.NORM.INV(K22,$G$14,$G$15)</f>
        <v>901.02324117698038</v>
      </c>
      <c r="V22" s="106">
        <f>T22*U22</f>
        <v>901.02324117698038</v>
      </c>
      <c r="W22" s="106">
        <f>VLOOKUP(T22,$F$21:$G$24,2,FALSE)</f>
        <v>800</v>
      </c>
      <c r="X22" s="105">
        <f>V22-W22</f>
        <v>101.02324117698038</v>
      </c>
      <c r="Y22" s="105">
        <f>X22+Y21</f>
        <v>4787.5578659119155</v>
      </c>
    </row>
    <row r="23" spans="1:25" x14ac:dyDescent="0.3">
      <c r="A23" s="119"/>
      <c r="B23" s="110"/>
      <c r="D23" s="122"/>
      <c r="F23" s="121">
        <v>2</v>
      </c>
      <c r="G23" s="120">
        <v>1550</v>
      </c>
      <c r="I23" s="109">
        <f>I22+1</f>
        <v>15</v>
      </c>
      <c r="J23" s="108">
        <v>1.7256336060452071E-2</v>
      </c>
      <c r="K23" s="108">
        <v>0.35698901100388036</v>
      </c>
      <c r="M23" s="107">
        <v>1</v>
      </c>
      <c r="N23" s="106">
        <f>$D$13</f>
        <v>1000</v>
      </c>
      <c r="O23" s="106">
        <f>M23*N23</f>
        <v>1000</v>
      </c>
      <c r="P23" s="106">
        <f>$D$20*M23</f>
        <v>800</v>
      </c>
      <c r="Q23" s="105">
        <f>O23-P23</f>
        <v>200</v>
      </c>
      <c r="R23" s="105">
        <f>Q23+R22</f>
        <v>3000</v>
      </c>
      <c r="T23" s="107">
        <f>_xlfn.BINOM.INV($G$11,$G$10,J23)</f>
        <v>0</v>
      </c>
      <c r="U23" s="106">
        <f>_xlfn.NORM.INV(K23,$G$14,$G$15)</f>
        <v>936.69624944517363</v>
      </c>
      <c r="V23" s="106">
        <f>T23*U23</f>
        <v>0</v>
      </c>
      <c r="W23" s="106">
        <f>VLOOKUP(T23,$F$21:$G$24,2,FALSE)</f>
        <v>800</v>
      </c>
      <c r="X23" s="105">
        <f>V23-W23</f>
        <v>-800</v>
      </c>
      <c r="Y23" s="105">
        <f>X23+Y22</f>
        <v>3987.5578659119155</v>
      </c>
    </row>
    <row r="24" spans="1:25" x14ac:dyDescent="0.3">
      <c r="A24" s="119"/>
      <c r="B24" s="110"/>
      <c r="D24" s="122"/>
      <c r="F24" s="121">
        <v>3</v>
      </c>
      <c r="G24" s="120">
        <v>2300</v>
      </c>
      <c r="I24" s="109">
        <f>I23+1</f>
        <v>16</v>
      </c>
      <c r="J24" s="108">
        <v>0.47570540230314351</v>
      </c>
      <c r="K24" s="108">
        <v>0.51975906121495696</v>
      </c>
      <c r="M24" s="107">
        <v>1</v>
      </c>
      <c r="N24" s="106">
        <f>$D$13</f>
        <v>1000</v>
      </c>
      <c r="O24" s="106">
        <f>M24*N24</f>
        <v>1000</v>
      </c>
      <c r="P24" s="106">
        <f>$D$20*M24</f>
        <v>800</v>
      </c>
      <c r="Q24" s="105">
        <f>O24-P24</f>
        <v>200</v>
      </c>
      <c r="R24" s="105">
        <f>Q24+R23</f>
        <v>3200</v>
      </c>
      <c r="T24" s="107">
        <f>_xlfn.BINOM.INV($G$11,$G$10,J24)</f>
        <v>1</v>
      </c>
      <c r="U24" s="106">
        <f>_xlfn.NORM.INV(K24,$G$14,$G$15)</f>
        <v>1019.9097777147348</v>
      </c>
      <c r="V24" s="106">
        <f>T24*U24</f>
        <v>1019.9097777147348</v>
      </c>
      <c r="W24" s="106">
        <f>VLOOKUP(T24,$F$21:$G$24,2,FALSE)</f>
        <v>800</v>
      </c>
      <c r="X24" s="105">
        <f>V24-W24</f>
        <v>219.90977771473479</v>
      </c>
      <c r="Y24" s="105">
        <f>X24+Y23</f>
        <v>4207.46764362665</v>
      </c>
    </row>
    <row r="25" spans="1:25" x14ac:dyDescent="0.3">
      <c r="A25" s="119"/>
      <c r="I25" s="109">
        <f>I24+1</f>
        <v>17</v>
      </c>
      <c r="J25" s="108">
        <v>0.90191229764550906</v>
      </c>
      <c r="K25" s="108">
        <v>0.94395045515291454</v>
      </c>
      <c r="M25" s="107">
        <v>1</v>
      </c>
      <c r="N25" s="106">
        <f>$D$13</f>
        <v>1000</v>
      </c>
      <c r="O25" s="106">
        <f>M25*N25</f>
        <v>1000</v>
      </c>
      <c r="P25" s="106">
        <f>$D$20*M25</f>
        <v>800</v>
      </c>
      <c r="Q25" s="105">
        <f>O25-P25</f>
        <v>200</v>
      </c>
      <c r="R25" s="105">
        <f>Q25+R24</f>
        <v>3400</v>
      </c>
      <c r="T25" s="107">
        <f>_xlfn.BINOM.INV($G$11,$G$10,J25)</f>
        <v>3</v>
      </c>
      <c r="U25" s="106">
        <f>_xlfn.NORM.INV(K25,$G$14,$G$15)</f>
        <v>1327.7657242032421</v>
      </c>
      <c r="V25" s="106">
        <f>T25*U25</f>
        <v>3983.2971726097267</v>
      </c>
      <c r="W25" s="106">
        <f>VLOOKUP(T25,$F$21:$G$24,2,FALSE)</f>
        <v>2300</v>
      </c>
      <c r="X25" s="105">
        <f>V25-W25</f>
        <v>1683.2971726097267</v>
      </c>
      <c r="Y25" s="105">
        <f>X25+Y24</f>
        <v>5890.7648162363766</v>
      </c>
    </row>
    <row r="26" spans="1:25" x14ac:dyDescent="0.3">
      <c r="A26" s="118" t="s">
        <v>68</v>
      </c>
      <c r="B26" s="117" t="s">
        <v>67</v>
      </c>
      <c r="D26" s="116">
        <f>D13-D20</f>
        <v>200</v>
      </c>
      <c r="F26" s="110"/>
      <c r="G26" s="116" t="s">
        <v>66</v>
      </c>
      <c r="I26" s="109">
        <f>I25+1</f>
        <v>18</v>
      </c>
      <c r="J26" s="108">
        <v>3.2109758042537018E-2</v>
      </c>
      <c r="K26" s="108">
        <v>0.45718702699946223</v>
      </c>
      <c r="M26" s="107">
        <v>1</v>
      </c>
      <c r="N26" s="106">
        <f>$D$13</f>
        <v>1000</v>
      </c>
      <c r="O26" s="106">
        <f>M26*N26</f>
        <v>1000</v>
      </c>
      <c r="P26" s="106">
        <f>$D$20*M26</f>
        <v>800</v>
      </c>
      <c r="Q26" s="105">
        <f>O26-P26</f>
        <v>200</v>
      </c>
      <c r="R26" s="105">
        <f>Q26+R25</f>
        <v>3600</v>
      </c>
      <c r="T26" s="107">
        <f>_xlfn.BINOM.INV($G$11,$G$10,J26)</f>
        <v>0</v>
      </c>
      <c r="U26" s="106">
        <f>_xlfn.NORM.INV(K26,$G$14,$G$15)</f>
        <v>988.49539351237684</v>
      </c>
      <c r="V26" s="106">
        <f>T26*U26</f>
        <v>0</v>
      </c>
      <c r="W26" s="106">
        <f>VLOOKUP(T26,$F$21:$G$24,2,FALSE)</f>
        <v>800</v>
      </c>
      <c r="X26" s="105">
        <f>V26-W26</f>
        <v>-800</v>
      </c>
      <c r="Y26" s="105">
        <f>X26+Y25</f>
        <v>5090.7648162363766</v>
      </c>
    </row>
    <row r="27" spans="1:25" x14ac:dyDescent="0.3">
      <c r="I27" s="109">
        <f>I26+1</f>
        <v>19</v>
      </c>
      <c r="J27" s="108">
        <v>0.68353375848145781</v>
      </c>
      <c r="K27" s="108">
        <v>0.3848581840852926</v>
      </c>
      <c r="M27" s="107">
        <v>1</v>
      </c>
      <c r="N27" s="106">
        <f>$D$13</f>
        <v>1000</v>
      </c>
      <c r="O27" s="106">
        <f>M27*N27</f>
        <v>1000</v>
      </c>
      <c r="P27" s="106">
        <f>$D$20*M27</f>
        <v>800</v>
      </c>
      <c r="Q27" s="105">
        <f>O27-P27</f>
        <v>200</v>
      </c>
      <c r="R27" s="105">
        <f>Q27+R26</f>
        <v>3800</v>
      </c>
      <c r="T27" s="107">
        <f>_xlfn.BINOM.INV($G$11,$G$10,J27)</f>
        <v>2</v>
      </c>
      <c r="U27" s="106">
        <f>_xlfn.NORM.INV(K27,$G$14,$G$15)</f>
        <v>951.45081614569563</v>
      </c>
      <c r="V27" s="106">
        <f>T27*U27</f>
        <v>1902.9016322913913</v>
      </c>
      <c r="W27" s="106">
        <f>VLOOKUP(T27,$F$21:$G$24,2,FALSE)</f>
        <v>1550</v>
      </c>
      <c r="X27" s="105">
        <f>V27-W27</f>
        <v>352.90163229139125</v>
      </c>
      <c r="Y27" s="105">
        <f>X27+Y26</f>
        <v>5443.6664485277679</v>
      </c>
    </row>
    <row r="28" spans="1:25" x14ac:dyDescent="0.3">
      <c r="I28" s="109">
        <f>I27+1</f>
        <v>20</v>
      </c>
      <c r="J28" s="108">
        <v>0.65793747391690993</v>
      </c>
      <c r="K28" s="108">
        <v>0.69820802881659372</v>
      </c>
      <c r="M28" s="107">
        <v>1</v>
      </c>
      <c r="N28" s="106">
        <f>$D$13</f>
        <v>1000</v>
      </c>
      <c r="O28" s="106">
        <f>M28*N28</f>
        <v>1000</v>
      </c>
      <c r="P28" s="106">
        <f>$D$20*M28</f>
        <v>800</v>
      </c>
      <c r="Q28" s="105">
        <f>O28-P28</f>
        <v>200</v>
      </c>
      <c r="R28" s="105">
        <f>Q28+R27</f>
        <v>4000</v>
      </c>
      <c r="T28" s="107">
        <f>_xlfn.BINOM.INV($G$11,$G$10,J28)</f>
        <v>2</v>
      </c>
      <c r="U28" s="106">
        <f>_xlfn.NORM.INV(K28,$G$14,$G$15)</f>
        <v>1113.8507094651955</v>
      </c>
      <c r="V28" s="106">
        <f>T28*U28</f>
        <v>2227.7014189303909</v>
      </c>
      <c r="W28" s="106">
        <f>VLOOKUP(T28,$F$21:$G$24,2,FALSE)</f>
        <v>1550</v>
      </c>
      <c r="X28" s="105">
        <f>V28-W28</f>
        <v>677.7014189303909</v>
      </c>
      <c r="Y28" s="105">
        <f>X28+Y27</f>
        <v>6121.3678674581588</v>
      </c>
    </row>
    <row r="29" spans="1:25" x14ac:dyDescent="0.3">
      <c r="B29" s="115" t="s">
        <v>65</v>
      </c>
      <c r="C29" s="115"/>
      <c r="D29" s="115"/>
      <c r="E29" s="115"/>
      <c r="F29" s="115"/>
      <c r="G29" s="115"/>
      <c r="I29" s="109">
        <f>I28+1</f>
        <v>21</v>
      </c>
      <c r="J29" s="108">
        <v>0.57094761930765348</v>
      </c>
      <c r="K29" s="108">
        <v>0.87038093486064616</v>
      </c>
      <c r="M29" s="107">
        <v>1</v>
      </c>
      <c r="N29" s="106">
        <f>$D$13</f>
        <v>1000</v>
      </c>
      <c r="O29" s="106">
        <f>M29*N29</f>
        <v>1000</v>
      </c>
      <c r="P29" s="106">
        <f>$D$20*M29</f>
        <v>800</v>
      </c>
      <c r="Q29" s="105">
        <f>O29-P29</f>
        <v>200</v>
      </c>
      <c r="R29" s="105">
        <f>Q29+R28</f>
        <v>4200</v>
      </c>
      <c r="T29" s="107">
        <f>_xlfn.BINOM.INV($G$11,$G$10,J29)</f>
        <v>2</v>
      </c>
      <c r="U29" s="106">
        <f>_xlfn.NORM.INV(K29,$G$14,$G$15)</f>
        <v>1235.6387370209204</v>
      </c>
      <c r="V29" s="106">
        <f>T29*U29</f>
        <v>2471.2774740418408</v>
      </c>
      <c r="W29" s="106">
        <f>VLOOKUP(T29,$F$21:$G$24,2,FALSE)</f>
        <v>1550</v>
      </c>
      <c r="X29" s="105">
        <f>V29-W29</f>
        <v>921.27747404184083</v>
      </c>
      <c r="Y29" s="105">
        <f>X29+Y28</f>
        <v>7042.6453414999996</v>
      </c>
    </row>
    <row r="30" spans="1:25" x14ac:dyDescent="0.3">
      <c r="I30" s="109">
        <f>I29+1</f>
        <v>22</v>
      </c>
      <c r="J30" s="108">
        <v>0.97875192726673033</v>
      </c>
      <c r="K30" s="108">
        <v>0.1084237522744288</v>
      </c>
      <c r="M30" s="107">
        <v>1</v>
      </c>
      <c r="N30" s="106">
        <f>$D$13</f>
        <v>1000</v>
      </c>
      <c r="O30" s="106">
        <f>M30*N30</f>
        <v>1000</v>
      </c>
      <c r="P30" s="106">
        <f>$D$20*M30</f>
        <v>800</v>
      </c>
      <c r="Q30" s="105">
        <f>O30-P30</f>
        <v>200</v>
      </c>
      <c r="R30" s="105">
        <f>Q30+R29</f>
        <v>4400</v>
      </c>
      <c r="T30" s="107">
        <f>_xlfn.BINOM.INV($G$11,$G$10,J30)</f>
        <v>3</v>
      </c>
      <c r="U30" s="106">
        <f>_xlfn.NORM.INV(K30,$G$14,$G$15)</f>
        <v>763.00913556603859</v>
      </c>
      <c r="V30" s="106">
        <f>T30*U30</f>
        <v>2289.0274066981156</v>
      </c>
      <c r="W30" s="106">
        <f>VLOOKUP(T30,$F$21:$G$24,2,FALSE)</f>
        <v>2300</v>
      </c>
      <c r="X30" s="105">
        <f>V30-W30</f>
        <v>-10.972593301884444</v>
      </c>
      <c r="Y30" s="105">
        <f>X30+Y29</f>
        <v>7031.6727481981152</v>
      </c>
    </row>
    <row r="31" spans="1:25" x14ac:dyDescent="0.3">
      <c r="B31" s="114" t="s">
        <v>64</v>
      </c>
      <c r="C31" s="114"/>
      <c r="D31" s="114"/>
      <c r="E31" s="114"/>
      <c r="F31" s="114"/>
      <c r="G31" s="114"/>
      <c r="I31" s="109">
        <f>I30+1</f>
        <v>23</v>
      </c>
      <c r="J31" s="108">
        <v>0.21723461358050133</v>
      </c>
      <c r="K31" s="108">
        <v>0.39196705374589147</v>
      </c>
      <c r="M31" s="107">
        <v>1</v>
      </c>
      <c r="N31" s="106">
        <f>$D$13</f>
        <v>1000</v>
      </c>
      <c r="O31" s="106">
        <f>M31*N31</f>
        <v>1000</v>
      </c>
      <c r="P31" s="106">
        <f>$D$20*M31</f>
        <v>800</v>
      </c>
      <c r="Q31" s="105">
        <f>O31-P31</f>
        <v>200</v>
      </c>
      <c r="R31" s="105">
        <f>Q31+R30</f>
        <v>4600</v>
      </c>
      <c r="T31" s="107">
        <f>_xlfn.BINOM.INV($G$11,$G$10,J31)</f>
        <v>1</v>
      </c>
      <c r="U31" s="106">
        <f>_xlfn.NORM.INV(K31,$G$14,$G$15)</f>
        <v>955.16082747983842</v>
      </c>
      <c r="V31" s="106">
        <f>T31*U31</f>
        <v>955.16082747983842</v>
      </c>
      <c r="W31" s="106">
        <f>VLOOKUP(T31,$F$21:$G$24,2,FALSE)</f>
        <v>800</v>
      </c>
      <c r="X31" s="105">
        <f>V31-W31</f>
        <v>155.16082747983842</v>
      </c>
      <c r="Y31" s="105">
        <f>X31+Y30</f>
        <v>7186.8335756779534</v>
      </c>
    </row>
    <row r="32" spans="1:25" x14ac:dyDescent="0.3">
      <c r="B32" s="110"/>
      <c r="C32" s="110"/>
      <c r="D32" s="110"/>
      <c r="E32" s="110"/>
      <c r="F32" s="110"/>
      <c r="G32" s="110"/>
      <c r="I32" s="109">
        <f>I31+1</f>
        <v>24</v>
      </c>
      <c r="J32" s="108">
        <v>0.24158457597970273</v>
      </c>
      <c r="K32" s="108">
        <v>0.39278263819531156</v>
      </c>
      <c r="M32" s="107">
        <v>1</v>
      </c>
      <c r="N32" s="106">
        <f>$D$13</f>
        <v>1000</v>
      </c>
      <c r="O32" s="106">
        <f>M32*N32</f>
        <v>1000</v>
      </c>
      <c r="P32" s="106">
        <f>$D$20*M32</f>
        <v>800</v>
      </c>
      <c r="Q32" s="105">
        <f>O32-P32</f>
        <v>200</v>
      </c>
      <c r="R32" s="105">
        <f>Q32+R31</f>
        <v>4800</v>
      </c>
      <c r="T32" s="107">
        <f>_xlfn.BINOM.INV($G$11,$G$10,J32)</f>
        <v>1</v>
      </c>
      <c r="U32" s="106">
        <f>_xlfn.NORM.INV(K32,$G$14,$G$15)</f>
        <v>955.58524049954679</v>
      </c>
      <c r="V32" s="106">
        <f>T32*U32</f>
        <v>955.58524049954679</v>
      </c>
      <c r="W32" s="106">
        <f>VLOOKUP(T32,$F$21:$G$24,2,FALSE)</f>
        <v>800</v>
      </c>
      <c r="X32" s="105">
        <f>V32-W32</f>
        <v>155.58524049954679</v>
      </c>
      <c r="Y32" s="105">
        <f>X32+Y31</f>
        <v>7342.4188161775</v>
      </c>
    </row>
    <row r="33" spans="2:25" x14ac:dyDescent="0.3">
      <c r="B33" s="113" t="s">
        <v>63</v>
      </c>
      <c r="C33" s="110"/>
      <c r="D33" s="110"/>
      <c r="E33" s="110"/>
      <c r="F33" s="110"/>
      <c r="G33" s="112">
        <f>SUM(Q9:Q108)</f>
        <v>20000</v>
      </c>
      <c r="I33" s="109">
        <f>I32+1</f>
        <v>25</v>
      </c>
      <c r="J33" s="108">
        <v>0.15141774479295522</v>
      </c>
      <c r="K33" s="108">
        <v>0.63441577215471456</v>
      </c>
      <c r="M33" s="107">
        <v>1</v>
      </c>
      <c r="N33" s="106">
        <f>$D$13</f>
        <v>1000</v>
      </c>
      <c r="O33" s="106">
        <f>M33*N33</f>
        <v>1000</v>
      </c>
      <c r="P33" s="106">
        <f>$D$20*M33</f>
        <v>800</v>
      </c>
      <c r="Q33" s="105">
        <f>O33-P33</f>
        <v>200</v>
      </c>
      <c r="R33" s="105">
        <f>Q33+R32</f>
        <v>5000</v>
      </c>
      <c r="T33" s="107">
        <f>_xlfn.BINOM.INV($G$11,$G$10,J33)</f>
        <v>1</v>
      </c>
      <c r="U33" s="106">
        <f>_xlfn.NORM.INV(K33,$G$14,$G$15)</f>
        <v>1078.7143280126636</v>
      </c>
      <c r="V33" s="106">
        <f>T33*U33</f>
        <v>1078.7143280126636</v>
      </c>
      <c r="W33" s="106">
        <f>VLOOKUP(T33,$F$21:$G$24,2,FALSE)</f>
        <v>800</v>
      </c>
      <c r="X33" s="105">
        <f>V33-W33</f>
        <v>278.7143280126636</v>
      </c>
      <c r="Y33" s="105">
        <f>X33+Y32</f>
        <v>7621.1331441901639</v>
      </c>
    </row>
    <row r="34" spans="2:25" x14ac:dyDescent="0.3">
      <c r="B34" s="113" t="s">
        <v>62</v>
      </c>
      <c r="C34" s="110"/>
      <c r="D34" s="110"/>
      <c r="E34" s="110"/>
      <c r="F34" s="110"/>
      <c r="G34" s="112">
        <f>SUM(X9:X108)</f>
        <v>25000.703405632161</v>
      </c>
      <c r="I34" s="109">
        <f>I33+1</f>
        <v>26</v>
      </c>
      <c r="J34" s="108">
        <v>0.36910236122219819</v>
      </c>
      <c r="K34" s="108">
        <v>0.26570364724120377</v>
      </c>
      <c r="M34" s="107">
        <v>1</v>
      </c>
      <c r="N34" s="106">
        <f>$D$13</f>
        <v>1000</v>
      </c>
      <c r="O34" s="106">
        <f>M34*N34</f>
        <v>1000</v>
      </c>
      <c r="P34" s="106">
        <f>$D$20*M34</f>
        <v>800</v>
      </c>
      <c r="Q34" s="105">
        <f>O34-P34</f>
        <v>200</v>
      </c>
      <c r="R34" s="105">
        <f>Q34+R33</f>
        <v>5200</v>
      </c>
      <c r="T34" s="107">
        <f>_xlfn.BINOM.INV($G$11,$G$10,J34)</f>
        <v>1</v>
      </c>
      <c r="U34" s="106">
        <f>_xlfn.NORM.INV(K34,$G$14,$G$15)</f>
        <v>884.82815900629112</v>
      </c>
      <c r="V34" s="106">
        <f>T34*U34</f>
        <v>884.82815900629112</v>
      </c>
      <c r="W34" s="106">
        <f>VLOOKUP(T34,$F$21:$G$24,2,FALSE)</f>
        <v>800</v>
      </c>
      <c r="X34" s="105">
        <f>V34-W34</f>
        <v>84.828159006291116</v>
      </c>
      <c r="Y34" s="105">
        <f>X34+Y33</f>
        <v>7705.9613031964545</v>
      </c>
    </row>
    <row r="35" spans="2:25" x14ac:dyDescent="0.3">
      <c r="B35" s="110"/>
      <c r="C35" s="110"/>
      <c r="D35" s="110"/>
      <c r="E35" s="110"/>
      <c r="F35" s="110"/>
      <c r="G35" s="110"/>
      <c r="I35" s="109">
        <f>I34+1</f>
        <v>27</v>
      </c>
      <c r="J35" s="108">
        <v>9.3059017509081188E-2</v>
      </c>
      <c r="K35" s="108">
        <v>0.20289875373593291</v>
      </c>
      <c r="M35" s="107">
        <v>1</v>
      </c>
      <c r="N35" s="106">
        <f>$D$13</f>
        <v>1000</v>
      </c>
      <c r="O35" s="106">
        <f>M35*N35</f>
        <v>1000</v>
      </c>
      <c r="P35" s="106">
        <f>$D$20*M35</f>
        <v>800</v>
      </c>
      <c r="Q35" s="105">
        <f>O35-P35</f>
        <v>200</v>
      </c>
      <c r="R35" s="105">
        <f>Q35+R34</f>
        <v>5400</v>
      </c>
      <c r="T35" s="107">
        <f>_xlfn.BINOM.INV($G$11,$G$10,J35)</f>
        <v>0</v>
      </c>
      <c r="U35" s="106">
        <f>_xlfn.NORM.INV(K35,$G$14,$G$15)</f>
        <v>843.73763901763721</v>
      </c>
      <c r="V35" s="106">
        <f>T35*U35</f>
        <v>0</v>
      </c>
      <c r="W35" s="106">
        <f>VLOOKUP(T35,$F$21:$G$24,2,FALSE)</f>
        <v>800</v>
      </c>
      <c r="X35" s="105">
        <f>V35-W35</f>
        <v>-800</v>
      </c>
      <c r="Y35" s="105">
        <f>X35+Y34</f>
        <v>6905.9613031964545</v>
      </c>
    </row>
    <row r="36" spans="2:25" x14ac:dyDescent="0.3">
      <c r="B36" s="110" t="s">
        <v>61</v>
      </c>
      <c r="C36" s="110"/>
      <c r="D36" s="110"/>
      <c r="E36" s="110"/>
      <c r="F36" s="110"/>
      <c r="G36" s="111">
        <f>COUNTIF(X9:X108,"&gt;"&amp;D26)/100</f>
        <v>0.53</v>
      </c>
      <c r="I36" s="109">
        <f>I35+1</f>
        <v>28</v>
      </c>
      <c r="J36" s="108">
        <v>0.35974533330344149</v>
      </c>
      <c r="K36" s="108">
        <v>0.94159711733614904</v>
      </c>
      <c r="M36" s="107">
        <v>1</v>
      </c>
      <c r="N36" s="106">
        <f>$D$13</f>
        <v>1000</v>
      </c>
      <c r="O36" s="106">
        <f>M36*N36</f>
        <v>1000</v>
      </c>
      <c r="P36" s="106">
        <f>$D$20*M36</f>
        <v>800</v>
      </c>
      <c r="Q36" s="105">
        <f>O36-P36</f>
        <v>200</v>
      </c>
      <c r="R36" s="105">
        <f>Q36+R35</f>
        <v>5600</v>
      </c>
      <c r="T36" s="107">
        <f>_xlfn.BINOM.INV($G$11,$G$10,J36)</f>
        <v>1</v>
      </c>
      <c r="U36" s="106">
        <f>_xlfn.NORM.INV(K36,$G$14,$G$15)</f>
        <v>1323.664604785439</v>
      </c>
      <c r="V36" s="106">
        <f>T36*U36</f>
        <v>1323.664604785439</v>
      </c>
      <c r="W36" s="106">
        <f>VLOOKUP(T36,$F$21:$G$24,2,FALSE)</f>
        <v>800</v>
      </c>
      <c r="X36" s="105">
        <f>V36-W36</f>
        <v>523.664604785439</v>
      </c>
      <c r="Y36" s="105">
        <f>X36+Y35</f>
        <v>7429.6259079818938</v>
      </c>
    </row>
    <row r="37" spans="2:25" x14ac:dyDescent="0.3">
      <c r="B37" s="110" t="s">
        <v>60</v>
      </c>
      <c r="C37" s="110"/>
      <c r="D37" s="110"/>
      <c r="E37" s="110"/>
      <c r="F37" s="110"/>
      <c r="G37" s="111">
        <f>COUNTIF(X9:X108,"&lt;0")/100</f>
        <v>0.2</v>
      </c>
      <c r="I37" s="109">
        <f>I36+1</f>
        <v>29</v>
      </c>
      <c r="J37" s="108">
        <v>0.40852258984069489</v>
      </c>
      <c r="K37" s="108">
        <v>7.3111115261245141E-3</v>
      </c>
      <c r="M37" s="107">
        <v>1</v>
      </c>
      <c r="N37" s="106">
        <f>$D$13</f>
        <v>1000</v>
      </c>
      <c r="O37" s="106">
        <f>M37*N37</f>
        <v>1000</v>
      </c>
      <c r="P37" s="106">
        <f>$D$20*M37</f>
        <v>800</v>
      </c>
      <c r="Q37" s="105">
        <f>O37-P37</f>
        <v>200</v>
      </c>
      <c r="R37" s="105">
        <f>Q37+R36</f>
        <v>5800</v>
      </c>
      <c r="T37" s="107">
        <f>_xlfn.BINOM.INV($G$11,$G$10,J37)</f>
        <v>1</v>
      </c>
      <c r="U37" s="106">
        <f>_xlfn.NORM.INV(K37,$G$14,$G$15)</f>
        <v>521.67943226123907</v>
      </c>
      <c r="V37" s="106">
        <f>T37*U37</f>
        <v>521.67943226123907</v>
      </c>
      <c r="W37" s="106">
        <f>VLOOKUP(T37,$F$21:$G$24,2,FALSE)</f>
        <v>800</v>
      </c>
      <c r="X37" s="105">
        <f>V37-W37</f>
        <v>-278.32056773876093</v>
      </c>
      <c r="Y37" s="105">
        <f>X37+Y36</f>
        <v>7151.3053402431324</v>
      </c>
    </row>
    <row r="38" spans="2:25" x14ac:dyDescent="0.3">
      <c r="B38" s="110"/>
      <c r="C38" s="110"/>
      <c r="D38" s="110"/>
      <c r="E38" s="110"/>
      <c r="F38" s="110"/>
      <c r="G38" s="110"/>
      <c r="I38" s="109">
        <f>I37+1</f>
        <v>30</v>
      </c>
      <c r="J38" s="108">
        <v>0.3571447384449935</v>
      </c>
      <c r="K38" s="108">
        <v>0.15494486697504639</v>
      </c>
      <c r="M38" s="107">
        <v>1</v>
      </c>
      <c r="N38" s="106">
        <f>$D$13</f>
        <v>1000</v>
      </c>
      <c r="O38" s="106">
        <f>M38*N38</f>
        <v>1000</v>
      </c>
      <c r="P38" s="106">
        <f>$D$20*M38</f>
        <v>800</v>
      </c>
      <c r="Q38" s="105">
        <f>O38-P38</f>
        <v>200</v>
      </c>
      <c r="R38" s="105">
        <f>Q38+R37</f>
        <v>6000</v>
      </c>
      <c r="T38" s="107">
        <f>_xlfn.BINOM.INV($G$11,$G$10,J38)</f>
        <v>1</v>
      </c>
      <c r="U38" s="106">
        <f>_xlfn.NORM.INV(K38,$G$14,$G$15)</f>
        <v>806.90931358916953</v>
      </c>
      <c r="V38" s="106">
        <f>T38*U38</f>
        <v>806.90931358916953</v>
      </c>
      <c r="W38" s="106">
        <f>VLOOKUP(T38,$F$21:$G$24,2,FALSE)</f>
        <v>800</v>
      </c>
      <c r="X38" s="105">
        <f>V38-W38</f>
        <v>6.9093135891695283</v>
      </c>
      <c r="Y38" s="105">
        <f>X38+Y37</f>
        <v>7158.2146538323022</v>
      </c>
    </row>
    <row r="39" spans="2:25" x14ac:dyDescent="0.3">
      <c r="I39" s="109">
        <f>I38+1</f>
        <v>31</v>
      </c>
      <c r="J39" s="108">
        <v>0.46892662952106468</v>
      </c>
      <c r="K39" s="108">
        <v>0.52703482109186883</v>
      </c>
      <c r="M39" s="107">
        <v>1</v>
      </c>
      <c r="N39" s="106">
        <f>$D$13</f>
        <v>1000</v>
      </c>
      <c r="O39" s="106">
        <f>M39*N39</f>
        <v>1000</v>
      </c>
      <c r="P39" s="106">
        <f>$D$20*M39</f>
        <v>800</v>
      </c>
      <c r="Q39" s="105">
        <f>O39-P39</f>
        <v>200</v>
      </c>
      <c r="R39" s="105">
        <f>Q39+R38</f>
        <v>6200</v>
      </c>
      <c r="T39" s="107">
        <f>_xlfn.BINOM.INV($G$11,$G$10,J39)</f>
        <v>1</v>
      </c>
      <c r="U39" s="106">
        <f>_xlfn.NORM.INV(K39,$G$14,$G$15)</f>
        <v>1023.5636394462346</v>
      </c>
      <c r="V39" s="106">
        <f>T39*U39</f>
        <v>1023.5636394462346</v>
      </c>
      <c r="W39" s="106">
        <f>VLOOKUP(T39,$F$21:$G$24,2,FALSE)</f>
        <v>800</v>
      </c>
      <c r="X39" s="105">
        <f>V39-W39</f>
        <v>223.56363944623456</v>
      </c>
      <c r="Y39" s="105">
        <f>X39+Y38</f>
        <v>7381.7782932785367</v>
      </c>
    </row>
    <row r="40" spans="2:25" x14ac:dyDescent="0.3">
      <c r="I40" s="109">
        <f>I39+1</f>
        <v>32</v>
      </c>
      <c r="J40" s="108">
        <v>0.5162987969809878</v>
      </c>
      <c r="K40" s="108">
        <v>0.27226719785451226</v>
      </c>
      <c r="M40" s="107">
        <v>1</v>
      </c>
      <c r="N40" s="106">
        <f>$D$13</f>
        <v>1000</v>
      </c>
      <c r="O40" s="106">
        <f>M40*N40</f>
        <v>1000</v>
      </c>
      <c r="P40" s="106">
        <f>$D$20*M40</f>
        <v>800</v>
      </c>
      <c r="Q40" s="105">
        <f>O40-P40</f>
        <v>200</v>
      </c>
      <c r="R40" s="105">
        <f>Q40+R39</f>
        <v>6400</v>
      </c>
      <c r="T40" s="107">
        <f>_xlfn.BINOM.INV($G$11,$G$10,J40)</f>
        <v>2</v>
      </c>
      <c r="U40" s="106">
        <f>_xlfn.NORM.INV(K40,$G$14,$G$15)</f>
        <v>888.80591598357876</v>
      </c>
      <c r="V40" s="106">
        <f>T40*U40</f>
        <v>1777.6118319671575</v>
      </c>
      <c r="W40" s="106">
        <f>VLOOKUP(T40,$F$21:$G$24,2,FALSE)</f>
        <v>1550</v>
      </c>
      <c r="X40" s="105">
        <f>V40-W40</f>
        <v>227.61183196715751</v>
      </c>
      <c r="Y40" s="105">
        <f>X40+Y39</f>
        <v>7609.3901252456944</v>
      </c>
    </row>
    <row r="41" spans="2:25" x14ac:dyDescent="0.3">
      <c r="I41" s="109">
        <f>I40+1</f>
        <v>33</v>
      </c>
      <c r="J41" s="108">
        <v>0.13264800492524065</v>
      </c>
      <c r="K41" s="108">
        <v>0.24459323942147881</v>
      </c>
      <c r="M41" s="107">
        <v>1</v>
      </c>
      <c r="N41" s="106">
        <f>$D$13</f>
        <v>1000</v>
      </c>
      <c r="O41" s="106">
        <f>M41*N41</f>
        <v>1000</v>
      </c>
      <c r="P41" s="106">
        <f>$D$20*M41</f>
        <v>800</v>
      </c>
      <c r="Q41" s="105">
        <f>O41-P41</f>
        <v>200</v>
      </c>
      <c r="R41" s="105">
        <f>Q41+R40</f>
        <v>6600</v>
      </c>
      <c r="T41" s="107">
        <f>_xlfn.BINOM.INV($G$11,$G$10,J41)</f>
        <v>1</v>
      </c>
      <c r="U41" s="106">
        <f>_xlfn.NORM.INV(K41,$G$14,$G$15)</f>
        <v>871.67933685250705</v>
      </c>
      <c r="V41" s="106">
        <f>T41*U41</f>
        <v>871.67933685250705</v>
      </c>
      <c r="W41" s="106">
        <f>VLOOKUP(T41,$F$21:$G$24,2,FALSE)</f>
        <v>800</v>
      </c>
      <c r="X41" s="105">
        <f>V41-W41</f>
        <v>71.679336852507049</v>
      </c>
      <c r="Y41" s="105">
        <f>X41+Y40</f>
        <v>7681.0694620982013</v>
      </c>
    </row>
    <row r="42" spans="2:25" x14ac:dyDescent="0.3">
      <c r="I42" s="109">
        <f>I41+1</f>
        <v>34</v>
      </c>
      <c r="J42" s="108">
        <v>0.57655254471065054</v>
      </c>
      <c r="K42" s="108">
        <v>0.80028211198118193</v>
      </c>
      <c r="M42" s="107">
        <v>1</v>
      </c>
      <c r="N42" s="106">
        <f>$D$13</f>
        <v>1000</v>
      </c>
      <c r="O42" s="106">
        <f>M42*N42</f>
        <v>1000</v>
      </c>
      <c r="P42" s="106">
        <f>$D$20*M42</f>
        <v>800</v>
      </c>
      <c r="Q42" s="105">
        <f>O42-P42</f>
        <v>200</v>
      </c>
      <c r="R42" s="105">
        <f>Q42+R41</f>
        <v>6800</v>
      </c>
      <c r="T42" s="107">
        <f>_xlfn.BINOM.INV($G$11,$G$10,J42)</f>
        <v>2</v>
      </c>
      <c r="U42" s="106">
        <f>_xlfn.NORM.INV(K42,$G$14,$G$15)</f>
        <v>1178.5258682234639</v>
      </c>
      <c r="V42" s="106">
        <f>T42*U42</f>
        <v>2357.0517364469279</v>
      </c>
      <c r="W42" s="106">
        <f>VLOOKUP(T42,$F$21:$G$24,2,FALSE)</f>
        <v>1550</v>
      </c>
      <c r="X42" s="105">
        <f>V42-W42</f>
        <v>807.05173644692786</v>
      </c>
      <c r="Y42" s="105">
        <f>X42+Y41</f>
        <v>8488.12119854513</v>
      </c>
    </row>
    <row r="43" spans="2:25" x14ac:dyDescent="0.3">
      <c r="I43" s="109">
        <f>I42+1</f>
        <v>35</v>
      </c>
      <c r="J43" s="108">
        <v>0.64523457734810352</v>
      </c>
      <c r="K43" s="108">
        <v>0.77886477975120705</v>
      </c>
      <c r="M43" s="107">
        <v>1</v>
      </c>
      <c r="N43" s="106">
        <f>$D$13</f>
        <v>1000</v>
      </c>
      <c r="O43" s="106">
        <f>M43*N43</f>
        <v>1000</v>
      </c>
      <c r="P43" s="106">
        <f>$D$20*M43</f>
        <v>800</v>
      </c>
      <c r="Q43" s="105">
        <f>O43-P43</f>
        <v>200</v>
      </c>
      <c r="R43" s="105">
        <f>Q43+R42</f>
        <v>7000</v>
      </c>
      <c r="T43" s="107">
        <f>_xlfn.BINOM.INV($G$11,$G$10,J43)</f>
        <v>2</v>
      </c>
      <c r="U43" s="106">
        <f>_xlfn.NORM.INV(K43,$G$14,$G$15)</f>
        <v>1163.6729755414658</v>
      </c>
      <c r="V43" s="106">
        <f>T43*U43</f>
        <v>2327.3459510829316</v>
      </c>
      <c r="W43" s="106">
        <f>VLOOKUP(T43,$F$21:$G$24,2,FALSE)</f>
        <v>1550</v>
      </c>
      <c r="X43" s="105">
        <f>V43-W43</f>
        <v>777.34595108293161</v>
      </c>
      <c r="Y43" s="105">
        <f>X43+Y42</f>
        <v>9265.4671496280607</v>
      </c>
    </row>
    <row r="44" spans="2:25" x14ac:dyDescent="0.3">
      <c r="I44" s="109">
        <f>I43+1</f>
        <v>36</v>
      </c>
      <c r="J44" s="108">
        <v>0.88200225309190727</v>
      </c>
      <c r="K44" s="108">
        <v>0.42022278805809399</v>
      </c>
      <c r="M44" s="107">
        <v>1</v>
      </c>
      <c r="N44" s="106">
        <f>$D$13</f>
        <v>1000</v>
      </c>
      <c r="O44" s="106">
        <f>M44*N44</f>
        <v>1000</v>
      </c>
      <c r="P44" s="106">
        <f>$D$20*M44</f>
        <v>800</v>
      </c>
      <c r="Q44" s="105">
        <f>O44-P44</f>
        <v>200</v>
      </c>
      <c r="R44" s="105">
        <f>Q44+R43</f>
        <v>7200</v>
      </c>
      <c r="T44" s="107">
        <f>_xlfn.BINOM.INV($G$11,$G$10,J44)</f>
        <v>3</v>
      </c>
      <c r="U44" s="106">
        <f>_xlfn.NORM.INV(K44,$G$14,$G$15)</f>
        <v>969.73528662735748</v>
      </c>
      <c r="V44" s="106">
        <f>T44*U44</f>
        <v>2909.2058598820722</v>
      </c>
      <c r="W44" s="106">
        <f>VLOOKUP(T44,$F$21:$G$24,2,FALSE)</f>
        <v>2300</v>
      </c>
      <c r="X44" s="105">
        <f>V44-W44</f>
        <v>609.20585988207222</v>
      </c>
      <c r="Y44" s="105">
        <f>X44+Y43</f>
        <v>9874.6730095101339</v>
      </c>
    </row>
    <row r="45" spans="2:25" x14ac:dyDescent="0.3">
      <c r="I45" s="109">
        <f>I44+1</f>
        <v>37</v>
      </c>
      <c r="J45" s="108">
        <v>0.99345077818845817</v>
      </c>
      <c r="K45" s="108">
        <v>0.1919909229744855</v>
      </c>
      <c r="M45" s="107">
        <v>1</v>
      </c>
      <c r="N45" s="106">
        <f>$D$13</f>
        <v>1000</v>
      </c>
      <c r="O45" s="106">
        <f>M45*N45</f>
        <v>1000</v>
      </c>
      <c r="P45" s="106">
        <f>$D$20*M45</f>
        <v>800</v>
      </c>
      <c r="Q45" s="105">
        <f>O45-P45</f>
        <v>200</v>
      </c>
      <c r="R45" s="105">
        <f>Q45+R44</f>
        <v>7400</v>
      </c>
      <c r="T45" s="107">
        <f>_xlfn.BINOM.INV($G$11,$G$10,J45)</f>
        <v>3</v>
      </c>
      <c r="U45" s="106">
        <f>_xlfn.NORM.INV(K45,$G$14,$G$15)</f>
        <v>835.88338679789331</v>
      </c>
      <c r="V45" s="106">
        <f>T45*U45</f>
        <v>2507.6501603936799</v>
      </c>
      <c r="W45" s="106">
        <f>VLOOKUP(T45,$F$21:$G$24,2,FALSE)</f>
        <v>2300</v>
      </c>
      <c r="X45" s="105">
        <f>V45-W45</f>
        <v>207.65016039367993</v>
      </c>
      <c r="Y45" s="105">
        <f>X45+Y44</f>
        <v>10082.323169903813</v>
      </c>
    </row>
    <row r="46" spans="2:25" x14ac:dyDescent="0.3">
      <c r="I46" s="109">
        <f>I45+1</f>
        <v>38</v>
      </c>
      <c r="J46" s="108">
        <v>0.73767509474950055</v>
      </c>
      <c r="K46" s="108">
        <v>0.78839053581979002</v>
      </c>
      <c r="M46" s="107">
        <v>1</v>
      </c>
      <c r="N46" s="106">
        <f>$D$13</f>
        <v>1000</v>
      </c>
      <c r="O46" s="106">
        <f>M46*N46</f>
        <v>1000</v>
      </c>
      <c r="P46" s="106">
        <f>$D$20*M46</f>
        <v>800</v>
      </c>
      <c r="Q46" s="105">
        <f>O46-P46</f>
        <v>200</v>
      </c>
      <c r="R46" s="105">
        <f>Q46+R45</f>
        <v>7600</v>
      </c>
      <c r="T46" s="107">
        <f>_xlfn.BINOM.INV($G$11,$G$10,J46)</f>
        <v>2</v>
      </c>
      <c r="U46" s="106">
        <f>_xlfn.NORM.INV(K46,$G$14,$G$15)</f>
        <v>1170.1698482285128</v>
      </c>
      <c r="V46" s="106">
        <f>T46*U46</f>
        <v>2340.3396964570256</v>
      </c>
      <c r="W46" s="106">
        <f>VLOOKUP(T46,$F$21:$G$24,2,FALSE)</f>
        <v>1550</v>
      </c>
      <c r="X46" s="105">
        <f>V46-W46</f>
        <v>790.33969645702564</v>
      </c>
      <c r="Y46" s="105">
        <f>X46+Y45</f>
        <v>10872.662866360839</v>
      </c>
    </row>
    <row r="47" spans="2:25" x14ac:dyDescent="0.3">
      <c r="I47" s="109">
        <f>I46+1</f>
        <v>39</v>
      </c>
      <c r="J47" s="108">
        <v>0.76701137318190338</v>
      </c>
      <c r="K47" s="108">
        <v>0.79667649681653008</v>
      </c>
      <c r="M47" s="107">
        <v>1</v>
      </c>
      <c r="N47" s="106">
        <f>$D$13</f>
        <v>1000</v>
      </c>
      <c r="O47" s="106">
        <f>M47*N47</f>
        <v>1000</v>
      </c>
      <c r="P47" s="106">
        <f>$D$20*M47</f>
        <v>800</v>
      </c>
      <c r="Q47" s="105">
        <f>O47-P47</f>
        <v>200</v>
      </c>
      <c r="R47" s="105">
        <f>Q47+R46</f>
        <v>7800</v>
      </c>
      <c r="T47" s="107">
        <f>_xlfn.BINOM.INV($G$11,$G$10,J47)</f>
        <v>2</v>
      </c>
      <c r="U47" s="106">
        <f>_xlfn.NORM.INV(K47,$G$14,$G$15)</f>
        <v>1175.9617204712406</v>
      </c>
      <c r="V47" s="106">
        <f>T47*U47</f>
        <v>2351.9234409424812</v>
      </c>
      <c r="W47" s="106">
        <f>VLOOKUP(T47,$F$21:$G$24,2,FALSE)</f>
        <v>1550</v>
      </c>
      <c r="X47" s="105">
        <f>V47-W47</f>
        <v>801.92344094248119</v>
      </c>
      <c r="Y47" s="105">
        <f>X47+Y46</f>
        <v>11674.58630730332</v>
      </c>
    </row>
    <row r="48" spans="2:25" x14ac:dyDescent="0.3">
      <c r="I48" s="109">
        <f>I47+1</f>
        <v>40</v>
      </c>
      <c r="J48" s="108">
        <v>0.35918460293949028</v>
      </c>
      <c r="K48" s="108">
        <v>0.12169845849593663</v>
      </c>
      <c r="M48" s="107">
        <v>1</v>
      </c>
      <c r="N48" s="106">
        <f>$D$13</f>
        <v>1000</v>
      </c>
      <c r="O48" s="106">
        <f>M48*N48</f>
        <v>1000</v>
      </c>
      <c r="P48" s="106">
        <f>$D$20*M48</f>
        <v>800</v>
      </c>
      <c r="Q48" s="105">
        <f>O48-P48</f>
        <v>200</v>
      </c>
      <c r="R48" s="105">
        <f>Q48+R47</f>
        <v>8000</v>
      </c>
      <c r="T48" s="107">
        <f>_xlfn.BINOM.INV($G$11,$G$10,J48)</f>
        <v>1</v>
      </c>
      <c r="U48" s="106">
        <f>_xlfn.NORM.INV(K48,$G$14,$G$15)</f>
        <v>776.6923618601827</v>
      </c>
      <c r="V48" s="106">
        <f>T48*U48</f>
        <v>776.6923618601827</v>
      </c>
      <c r="W48" s="106">
        <f>VLOOKUP(T48,$F$21:$G$24,2,FALSE)</f>
        <v>800</v>
      </c>
      <c r="X48" s="105">
        <f>V48-W48</f>
        <v>-23.3076381398173</v>
      </c>
      <c r="Y48" s="105">
        <f>X48+Y47</f>
        <v>11651.278669163503</v>
      </c>
    </row>
    <row r="49" spans="9:25" x14ac:dyDescent="0.3">
      <c r="I49" s="109">
        <f>I48+1</f>
        <v>41</v>
      </c>
      <c r="J49" s="108">
        <v>0.29811573272610592</v>
      </c>
      <c r="K49" s="108">
        <v>0.82045707867952733</v>
      </c>
      <c r="M49" s="107">
        <v>1</v>
      </c>
      <c r="N49" s="106">
        <f>$D$13</f>
        <v>1000</v>
      </c>
      <c r="O49" s="106">
        <f>M49*N49</f>
        <v>1000</v>
      </c>
      <c r="P49" s="106">
        <f>$D$20*M49</f>
        <v>800</v>
      </c>
      <c r="Q49" s="105">
        <f>O49-P49</f>
        <v>200</v>
      </c>
      <c r="R49" s="105">
        <f>Q49+R48</f>
        <v>8200</v>
      </c>
      <c r="T49" s="107">
        <f>_xlfn.BINOM.INV($G$11,$G$10,J49)</f>
        <v>1</v>
      </c>
      <c r="U49" s="106">
        <f>_xlfn.NORM.INV(K49,$G$14,$G$15)</f>
        <v>1193.4216789039574</v>
      </c>
      <c r="V49" s="106">
        <f>T49*U49</f>
        <v>1193.4216789039574</v>
      </c>
      <c r="W49" s="106">
        <f>VLOOKUP(T49,$F$21:$G$24,2,FALSE)</f>
        <v>800</v>
      </c>
      <c r="X49" s="105">
        <f>V49-W49</f>
        <v>393.4216789039574</v>
      </c>
      <c r="Y49" s="105">
        <f>X49+Y48</f>
        <v>12044.700348067461</v>
      </c>
    </row>
    <row r="50" spans="9:25" x14ac:dyDescent="0.3">
      <c r="I50" s="109">
        <f>I49+1</f>
        <v>42</v>
      </c>
      <c r="J50" s="108">
        <v>0.74214593581821409</v>
      </c>
      <c r="K50" s="108">
        <v>0.25215707127777109</v>
      </c>
      <c r="M50" s="107">
        <v>1</v>
      </c>
      <c r="N50" s="106">
        <f>$D$13</f>
        <v>1000</v>
      </c>
      <c r="O50" s="106">
        <f>M50*N50</f>
        <v>1000</v>
      </c>
      <c r="P50" s="106">
        <f>$D$20*M50</f>
        <v>800</v>
      </c>
      <c r="Q50" s="105">
        <f>O50-P50</f>
        <v>200</v>
      </c>
      <c r="R50" s="105">
        <f>Q50+R49</f>
        <v>8400</v>
      </c>
      <c r="T50" s="107">
        <f>_xlfn.BINOM.INV($G$11,$G$10,J50)</f>
        <v>2</v>
      </c>
      <c r="U50" s="106">
        <f>_xlfn.NORM.INV(K50,$G$14,$G$15)</f>
        <v>876.45656435945534</v>
      </c>
      <c r="V50" s="106">
        <f>T50*U50</f>
        <v>1752.9131287189107</v>
      </c>
      <c r="W50" s="106">
        <f>VLOOKUP(T50,$F$21:$G$24,2,FALSE)</f>
        <v>1550</v>
      </c>
      <c r="X50" s="105">
        <f>V50-W50</f>
        <v>202.91312871891068</v>
      </c>
      <c r="Y50" s="105">
        <f>X50+Y49</f>
        <v>12247.613476786371</v>
      </c>
    </row>
    <row r="51" spans="9:25" x14ac:dyDescent="0.3">
      <c r="I51" s="109">
        <f>I50+1</f>
        <v>43</v>
      </c>
      <c r="J51" s="108">
        <v>0.45033327746542318</v>
      </c>
      <c r="K51" s="108">
        <v>0.92327315684639366</v>
      </c>
      <c r="M51" s="107">
        <v>1</v>
      </c>
      <c r="N51" s="106">
        <f>$D$13</f>
        <v>1000</v>
      </c>
      <c r="O51" s="106">
        <f>M51*N51</f>
        <v>1000</v>
      </c>
      <c r="P51" s="106">
        <f>$D$20*M51</f>
        <v>800</v>
      </c>
      <c r="Q51" s="105">
        <f>O51-P51</f>
        <v>200</v>
      </c>
      <c r="R51" s="105">
        <f>Q51+R50</f>
        <v>8600</v>
      </c>
      <c r="T51" s="107">
        <f>_xlfn.BINOM.INV($G$11,$G$10,J51)</f>
        <v>1</v>
      </c>
      <c r="U51" s="106">
        <f>_xlfn.NORM.INV(K51,$G$14,$G$15)</f>
        <v>1295.4875985415511</v>
      </c>
      <c r="V51" s="106">
        <f>T51*U51</f>
        <v>1295.4875985415511</v>
      </c>
      <c r="W51" s="106">
        <f>VLOOKUP(T51,$F$21:$G$24,2,FALSE)</f>
        <v>800</v>
      </c>
      <c r="X51" s="105">
        <f>V51-W51</f>
        <v>495.48759854155105</v>
      </c>
      <c r="Y51" s="105">
        <f>X51+Y50</f>
        <v>12743.101075327922</v>
      </c>
    </row>
    <row r="52" spans="9:25" x14ac:dyDescent="0.3">
      <c r="I52" s="109">
        <f>I51+1</f>
        <v>44</v>
      </c>
      <c r="J52" s="108">
        <v>0.68668843922310074</v>
      </c>
      <c r="K52" s="108">
        <v>0.37846572562140512</v>
      </c>
      <c r="M52" s="107">
        <v>1</v>
      </c>
      <c r="N52" s="106">
        <f>$D$13</f>
        <v>1000</v>
      </c>
      <c r="O52" s="106">
        <f>M52*N52</f>
        <v>1000</v>
      </c>
      <c r="P52" s="106">
        <f>$D$20*M52</f>
        <v>800</v>
      </c>
      <c r="Q52" s="105">
        <f>O52-P52</f>
        <v>200</v>
      </c>
      <c r="R52" s="105">
        <f>Q52+R51</f>
        <v>8800</v>
      </c>
      <c r="T52" s="107">
        <f>_xlfn.BINOM.INV($G$11,$G$10,J52)</f>
        <v>2</v>
      </c>
      <c r="U52" s="106">
        <f>_xlfn.NORM.INV(K52,$G$14,$G$15)</f>
        <v>948.09743325816896</v>
      </c>
      <c r="V52" s="106">
        <f>T52*U52</f>
        <v>1896.1948665163379</v>
      </c>
      <c r="W52" s="106">
        <f>VLOOKUP(T52,$F$21:$G$24,2,FALSE)</f>
        <v>1550</v>
      </c>
      <c r="X52" s="105">
        <f>V52-W52</f>
        <v>346.19486651633792</v>
      </c>
      <c r="Y52" s="105">
        <f>X52+Y51</f>
        <v>13089.295941844261</v>
      </c>
    </row>
    <row r="53" spans="9:25" x14ac:dyDescent="0.3">
      <c r="I53" s="109">
        <f>I52+1</f>
        <v>45</v>
      </c>
      <c r="J53" s="108">
        <v>0.77981720466999915</v>
      </c>
      <c r="K53" s="108">
        <v>3.5152598479294195E-2</v>
      </c>
      <c r="M53" s="107">
        <v>1</v>
      </c>
      <c r="N53" s="106">
        <f>$D$13</f>
        <v>1000</v>
      </c>
      <c r="O53" s="106">
        <f>M53*N53</f>
        <v>1000</v>
      </c>
      <c r="P53" s="106">
        <f>$D$20*M53</f>
        <v>800</v>
      </c>
      <c r="Q53" s="105">
        <f>O53-P53</f>
        <v>200</v>
      </c>
      <c r="R53" s="105">
        <f>Q53+R52</f>
        <v>9000</v>
      </c>
      <c r="T53" s="107">
        <f>_xlfn.BINOM.INV($G$11,$G$10,J53)</f>
        <v>2</v>
      </c>
      <c r="U53" s="106">
        <f>_xlfn.NORM.INV(K53,$G$14,$G$15)</f>
        <v>648.01213506529768</v>
      </c>
      <c r="V53" s="106">
        <f>T53*U53</f>
        <v>1296.0242701305954</v>
      </c>
      <c r="W53" s="106">
        <f>VLOOKUP(T53,$F$21:$G$24,2,FALSE)</f>
        <v>1550</v>
      </c>
      <c r="X53" s="105">
        <f>V53-W53</f>
        <v>-253.97572986940463</v>
      </c>
      <c r="Y53" s="105">
        <f>X53+Y52</f>
        <v>12835.320211974857</v>
      </c>
    </row>
    <row r="54" spans="9:25" x14ac:dyDescent="0.3">
      <c r="I54" s="109">
        <f>I53+1</f>
        <v>46</v>
      </c>
      <c r="J54" s="108">
        <v>0.72573949561873285</v>
      </c>
      <c r="K54" s="108">
        <v>0.95881033832122309</v>
      </c>
      <c r="M54" s="107">
        <v>1</v>
      </c>
      <c r="N54" s="106">
        <f>$D$13</f>
        <v>1000</v>
      </c>
      <c r="O54" s="106">
        <f>M54*N54</f>
        <v>1000</v>
      </c>
      <c r="P54" s="106">
        <f>$D$20*M54</f>
        <v>800</v>
      </c>
      <c r="Q54" s="105">
        <f>O54-P54</f>
        <v>200</v>
      </c>
      <c r="R54" s="105">
        <f>Q54+R53</f>
        <v>9200</v>
      </c>
      <c r="T54" s="107">
        <f>_xlfn.BINOM.INV($G$11,$G$10,J54)</f>
        <v>2</v>
      </c>
      <c r="U54" s="106">
        <f>_xlfn.NORM.INV(K54,$G$14,$G$15)</f>
        <v>1357.4088921880036</v>
      </c>
      <c r="V54" s="106">
        <f>T54*U54</f>
        <v>2714.8177843760072</v>
      </c>
      <c r="W54" s="106">
        <f>VLOOKUP(T54,$F$21:$G$24,2,FALSE)</f>
        <v>1550</v>
      </c>
      <c r="X54" s="105">
        <f>V54-W54</f>
        <v>1164.8177843760072</v>
      </c>
      <c r="Y54" s="105">
        <f>X54+Y53</f>
        <v>14000.137996350864</v>
      </c>
    </row>
    <row r="55" spans="9:25" x14ac:dyDescent="0.3">
      <c r="I55" s="109">
        <f>I54+1</f>
        <v>47</v>
      </c>
      <c r="J55" s="108">
        <v>0.41366390574493106</v>
      </c>
      <c r="K55" s="108">
        <v>0.83971684562475024</v>
      </c>
      <c r="M55" s="107">
        <v>1</v>
      </c>
      <c r="N55" s="106">
        <f>$D$13</f>
        <v>1000</v>
      </c>
      <c r="O55" s="106">
        <f>M55*N55</f>
        <v>1000</v>
      </c>
      <c r="P55" s="106">
        <f>$D$20*M55</f>
        <v>800</v>
      </c>
      <c r="Q55" s="105">
        <f>O55-P55</f>
        <v>200</v>
      </c>
      <c r="R55" s="105">
        <f>Q55+R54</f>
        <v>9400</v>
      </c>
      <c r="T55" s="107">
        <f>_xlfn.BINOM.INV($G$11,$G$10,J55)</f>
        <v>1</v>
      </c>
      <c r="U55" s="106">
        <f>_xlfn.NORM.INV(K55,$G$14,$G$15)</f>
        <v>1208.6589608899119</v>
      </c>
      <c r="V55" s="106">
        <f>T55*U55</f>
        <v>1208.6589608899119</v>
      </c>
      <c r="W55" s="106">
        <f>VLOOKUP(T55,$F$21:$G$24,2,FALSE)</f>
        <v>800</v>
      </c>
      <c r="X55" s="105">
        <f>V55-W55</f>
        <v>408.6589608899119</v>
      </c>
      <c r="Y55" s="105">
        <f>X55+Y54</f>
        <v>14408.796957240776</v>
      </c>
    </row>
    <row r="56" spans="9:25" x14ac:dyDescent="0.3">
      <c r="I56" s="109">
        <f>I55+1</f>
        <v>48</v>
      </c>
      <c r="J56" s="108">
        <v>0.24976000872660553</v>
      </c>
      <c r="K56" s="108">
        <v>7.6059114377795667E-2</v>
      </c>
      <c r="M56" s="107">
        <v>1</v>
      </c>
      <c r="N56" s="106">
        <f>$D$13</f>
        <v>1000</v>
      </c>
      <c r="O56" s="106">
        <f>M56*N56</f>
        <v>1000</v>
      </c>
      <c r="P56" s="106">
        <f>$D$20*M56</f>
        <v>800</v>
      </c>
      <c r="Q56" s="105">
        <f>O56-P56</f>
        <v>200</v>
      </c>
      <c r="R56" s="105">
        <f>Q56+R55</f>
        <v>9600</v>
      </c>
      <c r="T56" s="107">
        <f>_xlfn.BINOM.INV($G$11,$G$10,J56)</f>
        <v>1</v>
      </c>
      <c r="U56" s="106">
        <f>_xlfn.NORM.INV(K56,$G$14,$G$15)</f>
        <v>723.58211376859447</v>
      </c>
      <c r="V56" s="106">
        <f>T56*U56</f>
        <v>723.58211376859447</v>
      </c>
      <c r="W56" s="106">
        <f>VLOOKUP(T56,$F$21:$G$24,2,FALSE)</f>
        <v>800</v>
      </c>
      <c r="X56" s="105">
        <f>V56-W56</f>
        <v>-76.417886231405532</v>
      </c>
      <c r="Y56" s="105">
        <f>X56+Y55</f>
        <v>14332.379071009371</v>
      </c>
    </row>
    <row r="57" spans="9:25" x14ac:dyDescent="0.3">
      <c r="I57" s="109">
        <f>I56+1</f>
        <v>49</v>
      </c>
      <c r="J57" s="108">
        <v>0.93763805589968596</v>
      </c>
      <c r="K57" s="108">
        <v>0.40591769285270729</v>
      </c>
      <c r="M57" s="107">
        <v>1</v>
      </c>
      <c r="N57" s="106">
        <f>$D$13</f>
        <v>1000</v>
      </c>
      <c r="O57" s="106">
        <f>M57*N57</f>
        <v>1000</v>
      </c>
      <c r="P57" s="106">
        <f>$D$20*M57</f>
        <v>800</v>
      </c>
      <c r="Q57" s="105">
        <f>O57-P57</f>
        <v>200</v>
      </c>
      <c r="R57" s="105">
        <f>Q57+R56</f>
        <v>9800</v>
      </c>
      <c r="T57" s="107">
        <f>_xlfn.BINOM.INV($G$11,$G$10,J57)</f>
        <v>3</v>
      </c>
      <c r="U57" s="106">
        <f>_xlfn.NORM.INV(K57,$G$14,$G$15)</f>
        <v>962.38821336026888</v>
      </c>
      <c r="V57" s="106">
        <f>T57*U57</f>
        <v>2887.1646400808067</v>
      </c>
      <c r="W57" s="106">
        <f>VLOOKUP(T57,$F$21:$G$24,2,FALSE)</f>
        <v>2300</v>
      </c>
      <c r="X57" s="105">
        <f>V57-W57</f>
        <v>587.16464008080675</v>
      </c>
      <c r="Y57" s="105">
        <f>X57+Y56</f>
        <v>14919.543711090177</v>
      </c>
    </row>
    <row r="58" spans="9:25" x14ac:dyDescent="0.3">
      <c r="I58" s="109">
        <f>I57+1</f>
        <v>50</v>
      </c>
      <c r="J58" s="108">
        <v>0.79340294618667451</v>
      </c>
      <c r="K58" s="108">
        <v>0.7145343605046689</v>
      </c>
      <c r="M58" s="107">
        <v>1</v>
      </c>
      <c r="N58" s="106">
        <f>$D$13</f>
        <v>1000</v>
      </c>
      <c r="O58" s="106">
        <f>M58*N58</f>
        <v>1000</v>
      </c>
      <c r="P58" s="106">
        <f>$D$20*M58</f>
        <v>800</v>
      </c>
      <c r="Q58" s="105">
        <f>O58-P58</f>
        <v>200</v>
      </c>
      <c r="R58" s="105">
        <f>Q58+R57</f>
        <v>10000</v>
      </c>
      <c r="T58" s="107">
        <f>_xlfn.BINOM.INV($G$11,$G$10,J58)</f>
        <v>2</v>
      </c>
      <c r="U58" s="106">
        <f>_xlfn.NORM.INV(K58,$G$14,$G$15)</f>
        <v>1123.336097827432</v>
      </c>
      <c r="V58" s="106">
        <f>T58*U58</f>
        <v>2246.672195654864</v>
      </c>
      <c r="W58" s="106">
        <f>VLOOKUP(T58,$F$21:$G$24,2,FALSE)</f>
        <v>1550</v>
      </c>
      <c r="X58" s="105">
        <f>V58-W58</f>
        <v>696.67219565486403</v>
      </c>
      <c r="Y58" s="105">
        <f>X58+Y57</f>
        <v>15616.215906745041</v>
      </c>
    </row>
    <row r="59" spans="9:25" x14ac:dyDescent="0.3">
      <c r="I59" s="109">
        <f>I58+1</f>
        <v>51</v>
      </c>
      <c r="J59" s="108">
        <v>0.5867086592649462</v>
      </c>
      <c r="K59" s="108">
        <v>0.8710402228761176</v>
      </c>
      <c r="M59" s="107">
        <v>1</v>
      </c>
      <c r="N59" s="106">
        <f>$D$13</f>
        <v>1000</v>
      </c>
      <c r="O59" s="106">
        <f>M59*N59</f>
        <v>1000</v>
      </c>
      <c r="P59" s="106">
        <f>$D$20*M59</f>
        <v>800</v>
      </c>
      <c r="Q59" s="105">
        <f>O59-P59</f>
        <v>200</v>
      </c>
      <c r="R59" s="105">
        <f>Q59+R58</f>
        <v>10200</v>
      </c>
      <c r="T59" s="107">
        <f>_xlfn.BINOM.INV($G$11,$G$10,J59)</f>
        <v>2</v>
      </c>
      <c r="U59" s="106">
        <f>_xlfn.NORM.INV(K59,$G$14,$G$15)</f>
        <v>1236.2644160039965</v>
      </c>
      <c r="V59" s="106">
        <f>T59*U59</f>
        <v>2472.5288320079931</v>
      </c>
      <c r="W59" s="106">
        <f>VLOOKUP(T59,$F$21:$G$24,2,FALSE)</f>
        <v>1550</v>
      </c>
      <c r="X59" s="105">
        <f>V59-W59</f>
        <v>922.52883200799306</v>
      </c>
      <c r="Y59" s="105">
        <f>X59+Y58</f>
        <v>16538.744738753034</v>
      </c>
    </row>
    <row r="60" spans="9:25" x14ac:dyDescent="0.3">
      <c r="I60" s="109">
        <f>I59+1</f>
        <v>52</v>
      </c>
      <c r="J60" s="108">
        <v>0.91298741604162459</v>
      </c>
      <c r="K60" s="108">
        <v>0.51830700359616055</v>
      </c>
      <c r="M60" s="107">
        <v>1</v>
      </c>
      <c r="N60" s="106">
        <f>$D$13</f>
        <v>1000</v>
      </c>
      <c r="O60" s="106">
        <f>M60*N60</f>
        <v>1000</v>
      </c>
      <c r="P60" s="106">
        <f>$D$20*M60</f>
        <v>800</v>
      </c>
      <c r="Q60" s="105">
        <f>O60-P60</f>
        <v>200</v>
      </c>
      <c r="R60" s="105">
        <f>Q60+R59</f>
        <v>10400</v>
      </c>
      <c r="T60" s="107">
        <f>_xlfn.BINOM.INV($G$11,$G$10,J60)</f>
        <v>3</v>
      </c>
      <c r="U60" s="106">
        <f>_xlfn.NORM.INV(K60,$G$14,$G$15)</f>
        <v>1019.1809940151296</v>
      </c>
      <c r="V60" s="106">
        <f>T60*U60</f>
        <v>3057.5429820453887</v>
      </c>
      <c r="W60" s="106">
        <f>VLOOKUP(T60,$F$21:$G$24,2,FALSE)</f>
        <v>2300</v>
      </c>
      <c r="X60" s="105">
        <f>V60-W60</f>
        <v>757.54298204538873</v>
      </c>
      <c r="Y60" s="105">
        <f>X60+Y59</f>
        <v>17296.287720798424</v>
      </c>
    </row>
    <row r="61" spans="9:25" x14ac:dyDescent="0.3">
      <c r="I61" s="109">
        <f>I60+1</f>
        <v>53</v>
      </c>
      <c r="J61" s="108">
        <v>0.14844031843062278</v>
      </c>
      <c r="K61" s="108">
        <v>0.38491682393552928</v>
      </c>
      <c r="M61" s="107">
        <v>1</v>
      </c>
      <c r="N61" s="106">
        <f>$D$13</f>
        <v>1000</v>
      </c>
      <c r="O61" s="106">
        <f>M61*N61</f>
        <v>1000</v>
      </c>
      <c r="P61" s="106">
        <f>$D$20*M61</f>
        <v>800</v>
      </c>
      <c r="Q61" s="105">
        <f>O61-P61</f>
        <v>200</v>
      </c>
      <c r="R61" s="105">
        <f>Q61+R60</f>
        <v>10600</v>
      </c>
      <c r="T61" s="107">
        <f>_xlfn.BINOM.INV($G$11,$G$10,J61)</f>
        <v>1</v>
      </c>
      <c r="U61" s="106">
        <f>_xlfn.NORM.INV(K61,$G$14,$G$15)</f>
        <v>951.48150018902743</v>
      </c>
      <c r="V61" s="106">
        <f>T61*U61</f>
        <v>951.48150018902743</v>
      </c>
      <c r="W61" s="106">
        <f>VLOOKUP(T61,$F$21:$G$24,2,FALSE)</f>
        <v>800</v>
      </c>
      <c r="X61" s="105">
        <f>V61-W61</f>
        <v>151.48150018902743</v>
      </c>
      <c r="Y61" s="105">
        <f>X61+Y60</f>
        <v>17447.769220987451</v>
      </c>
    </row>
    <row r="62" spans="9:25" x14ac:dyDescent="0.3">
      <c r="I62" s="109">
        <f>I61+1</f>
        <v>54</v>
      </c>
      <c r="J62" s="108">
        <v>0.91755238473462397</v>
      </c>
      <c r="K62" s="108">
        <v>0.75326663433562224</v>
      </c>
      <c r="M62" s="107">
        <v>1</v>
      </c>
      <c r="N62" s="106">
        <f>$D$13</f>
        <v>1000</v>
      </c>
      <c r="O62" s="106">
        <f>M62*N62</f>
        <v>1000</v>
      </c>
      <c r="P62" s="106">
        <f>$D$20*M62</f>
        <v>800</v>
      </c>
      <c r="Q62" s="105">
        <f>O62-P62</f>
        <v>200</v>
      </c>
      <c r="R62" s="105">
        <f>Q62+R61</f>
        <v>10800</v>
      </c>
      <c r="T62" s="107">
        <f>_xlfn.BINOM.INV($G$11,$G$10,J62)</f>
        <v>3</v>
      </c>
      <c r="U62" s="106">
        <f>_xlfn.NORM.INV(K62,$G$14,$G$15)</f>
        <v>1146.9610787397191</v>
      </c>
      <c r="V62" s="106">
        <f>T62*U62</f>
        <v>3440.8832362191574</v>
      </c>
      <c r="W62" s="106">
        <f>VLOOKUP(T62,$F$21:$G$24,2,FALSE)</f>
        <v>2300</v>
      </c>
      <c r="X62" s="105">
        <f>V62-W62</f>
        <v>1140.8832362191574</v>
      </c>
      <c r="Y62" s="105">
        <f>X62+Y61</f>
        <v>18588.652457206608</v>
      </c>
    </row>
    <row r="63" spans="9:25" x14ac:dyDescent="0.3">
      <c r="I63" s="109">
        <f>I62+1</f>
        <v>55</v>
      </c>
      <c r="J63" s="108">
        <v>0.76675409409546291</v>
      </c>
      <c r="K63" s="108">
        <v>8.0283204365264371E-2</v>
      </c>
      <c r="M63" s="107">
        <v>1</v>
      </c>
      <c r="N63" s="106">
        <f>$D$13</f>
        <v>1000</v>
      </c>
      <c r="O63" s="106">
        <f>M63*N63</f>
        <v>1000</v>
      </c>
      <c r="P63" s="106">
        <f>$D$20*M63</f>
        <v>800</v>
      </c>
      <c r="Q63" s="105">
        <f>O63-P63</f>
        <v>200</v>
      </c>
      <c r="R63" s="105">
        <f>Q63+R62</f>
        <v>11000</v>
      </c>
      <c r="T63" s="107">
        <f>_xlfn.BINOM.INV($G$11,$G$10,J63)</f>
        <v>2</v>
      </c>
      <c r="U63" s="106">
        <f>_xlfn.NORM.INV(K63,$G$14,$G$15)</f>
        <v>729.36617273702154</v>
      </c>
      <c r="V63" s="106">
        <f>T63*U63</f>
        <v>1458.7323454740431</v>
      </c>
      <c r="W63" s="106">
        <f>VLOOKUP(T63,$F$21:$G$24,2,FALSE)</f>
        <v>1550</v>
      </c>
      <c r="X63" s="105">
        <f>V63-W63</f>
        <v>-91.267654525956914</v>
      </c>
      <c r="Y63" s="105">
        <f>X63+Y62</f>
        <v>18497.384802680652</v>
      </c>
    </row>
    <row r="64" spans="9:25" x14ac:dyDescent="0.3">
      <c r="I64" s="109">
        <f>I63+1</f>
        <v>56</v>
      </c>
      <c r="J64" s="108">
        <v>3.7533128441796237E-2</v>
      </c>
      <c r="K64" s="108">
        <v>0.75217334235662314</v>
      </c>
      <c r="M64" s="107">
        <v>1</v>
      </c>
      <c r="N64" s="106">
        <f>$D$13</f>
        <v>1000</v>
      </c>
      <c r="O64" s="106">
        <f>M64*N64</f>
        <v>1000</v>
      </c>
      <c r="P64" s="106">
        <f>$D$20*M64</f>
        <v>800</v>
      </c>
      <c r="Q64" s="105">
        <f>O64-P64</f>
        <v>200</v>
      </c>
      <c r="R64" s="105">
        <f>Q64+R63</f>
        <v>11200</v>
      </c>
      <c r="T64" s="107">
        <f>_xlfn.BINOM.INV($G$11,$G$10,J64)</f>
        <v>0</v>
      </c>
      <c r="U64" s="106">
        <f>_xlfn.NORM.INV(K64,$G$14,$G$15)</f>
        <v>1146.2689684761933</v>
      </c>
      <c r="V64" s="106">
        <f>T64*U64</f>
        <v>0</v>
      </c>
      <c r="W64" s="106">
        <f>VLOOKUP(T64,$F$21:$G$24,2,FALSE)</f>
        <v>800</v>
      </c>
      <c r="X64" s="105">
        <f>V64-W64</f>
        <v>-800</v>
      </c>
      <c r="Y64" s="105">
        <f>X64+Y63</f>
        <v>17697.384802680652</v>
      </c>
    </row>
    <row r="65" spans="9:25" x14ac:dyDescent="0.3">
      <c r="I65" s="109">
        <f>I64+1</f>
        <v>57</v>
      </c>
      <c r="J65" s="108">
        <v>0.17478173000281205</v>
      </c>
      <c r="K65" s="108">
        <v>0.20280048312503918</v>
      </c>
      <c r="M65" s="107">
        <v>1</v>
      </c>
      <c r="N65" s="106">
        <f>$D$13</f>
        <v>1000</v>
      </c>
      <c r="O65" s="106">
        <f>M65*N65</f>
        <v>1000</v>
      </c>
      <c r="P65" s="106">
        <f>$D$20*M65</f>
        <v>800</v>
      </c>
      <c r="Q65" s="105">
        <f>O65-P65</f>
        <v>200</v>
      </c>
      <c r="R65" s="105">
        <f>Q65+R64</f>
        <v>11400</v>
      </c>
      <c r="T65" s="107">
        <f>_xlfn.BINOM.INV($G$11,$G$10,J65)</f>
        <v>1</v>
      </c>
      <c r="U65" s="106">
        <f>_xlfn.NORM.INV(K65,$G$14,$G$15)</f>
        <v>843.66802889659175</v>
      </c>
      <c r="V65" s="106">
        <f>T65*U65</f>
        <v>843.66802889659175</v>
      </c>
      <c r="W65" s="106">
        <f>VLOOKUP(T65,$F$21:$G$24,2,FALSE)</f>
        <v>800</v>
      </c>
      <c r="X65" s="105">
        <f>V65-W65</f>
        <v>43.66802889659175</v>
      </c>
      <c r="Y65" s="105">
        <f>X65+Y64</f>
        <v>17741.052831577243</v>
      </c>
    </row>
    <row r="66" spans="9:25" x14ac:dyDescent="0.3">
      <c r="I66" s="109">
        <f>I65+1</f>
        <v>58</v>
      </c>
      <c r="J66" s="108">
        <v>0.94576616500852317</v>
      </c>
      <c r="K66" s="108">
        <v>0.59804948543909375</v>
      </c>
      <c r="M66" s="107">
        <v>1</v>
      </c>
      <c r="N66" s="106">
        <f>$D$13</f>
        <v>1000</v>
      </c>
      <c r="O66" s="106">
        <f>M66*N66</f>
        <v>1000</v>
      </c>
      <c r="P66" s="106">
        <f>$D$20*M66</f>
        <v>800</v>
      </c>
      <c r="Q66" s="105">
        <f>O66-P66</f>
        <v>200</v>
      </c>
      <c r="R66" s="105">
        <f>Q66+R65</f>
        <v>11600</v>
      </c>
      <c r="T66" s="107">
        <f>_xlfn.BINOM.INV($G$11,$G$10,J66)</f>
        <v>3</v>
      </c>
      <c r="U66" s="106">
        <f>_xlfn.NORM.INV(K66,$G$14,$G$15)</f>
        <v>1059.6603282778647</v>
      </c>
      <c r="V66" s="106">
        <f>T66*U66</f>
        <v>3178.980984833594</v>
      </c>
      <c r="W66" s="106">
        <f>VLOOKUP(T66,$F$21:$G$24,2,FALSE)</f>
        <v>2300</v>
      </c>
      <c r="X66" s="105">
        <f>V66-W66</f>
        <v>878.98098483359399</v>
      </c>
      <c r="Y66" s="105">
        <f>X66+Y65</f>
        <v>18620.033816410836</v>
      </c>
    </row>
    <row r="67" spans="9:25" x14ac:dyDescent="0.3">
      <c r="I67" s="109">
        <f>I66+1</f>
        <v>59</v>
      </c>
      <c r="J67" s="108">
        <v>0.47837733717072728</v>
      </c>
      <c r="K67" s="108">
        <v>8.8045895955522924E-2</v>
      </c>
      <c r="M67" s="107">
        <v>1</v>
      </c>
      <c r="N67" s="106">
        <f>$D$13</f>
        <v>1000</v>
      </c>
      <c r="O67" s="106">
        <f>M67*N67</f>
        <v>1000</v>
      </c>
      <c r="P67" s="106">
        <f>$D$20*M67</f>
        <v>800</v>
      </c>
      <c r="Q67" s="105">
        <f>O67-P67</f>
        <v>200</v>
      </c>
      <c r="R67" s="105">
        <f>Q67+R66</f>
        <v>11800</v>
      </c>
      <c r="T67" s="107">
        <f>_xlfn.BINOM.INV($G$11,$G$10,J67)</f>
        <v>1</v>
      </c>
      <c r="U67" s="106">
        <f>_xlfn.NORM.INV(K67,$G$14,$G$15)</f>
        <v>739.42263680834674</v>
      </c>
      <c r="V67" s="106">
        <f>T67*U67</f>
        <v>739.42263680834674</v>
      </c>
      <c r="W67" s="106">
        <f>VLOOKUP(T67,$F$21:$G$24,2,FALSE)</f>
        <v>800</v>
      </c>
      <c r="X67" s="105">
        <f>V67-W67</f>
        <v>-60.577363191653262</v>
      </c>
      <c r="Y67" s="105">
        <f>X67+Y66</f>
        <v>18559.456453219183</v>
      </c>
    </row>
    <row r="68" spans="9:25" x14ac:dyDescent="0.3">
      <c r="I68" s="109">
        <f>I67+1</f>
        <v>60</v>
      </c>
      <c r="J68" s="108">
        <v>0.23502810215436787</v>
      </c>
      <c r="K68" s="108">
        <v>0.99928357685017355</v>
      </c>
      <c r="M68" s="107">
        <v>1</v>
      </c>
      <c r="N68" s="106">
        <f>$D$13</f>
        <v>1000</v>
      </c>
      <c r="O68" s="106">
        <f>M68*N68</f>
        <v>1000</v>
      </c>
      <c r="P68" s="106">
        <f>$D$20*M68</f>
        <v>800</v>
      </c>
      <c r="Q68" s="105">
        <f>O68-P68</f>
        <v>200</v>
      </c>
      <c r="R68" s="105">
        <f>Q68+R67</f>
        <v>12000</v>
      </c>
      <c r="T68" s="107">
        <f>_xlfn.BINOM.INV($G$11,$G$10,J68)</f>
        <v>1</v>
      </c>
      <c r="U68" s="106">
        <f>_xlfn.NORM.INV(K68,$G$14,$G$15)</f>
        <v>1647.5902748242438</v>
      </c>
      <c r="V68" s="106">
        <f>T68*U68</f>
        <v>1647.5902748242438</v>
      </c>
      <c r="W68" s="106">
        <f>VLOOKUP(T68,$F$21:$G$24,2,FALSE)</f>
        <v>800</v>
      </c>
      <c r="X68" s="105">
        <f>V68-W68</f>
        <v>847.59027482424381</v>
      </c>
      <c r="Y68" s="105">
        <f>X68+Y67</f>
        <v>19407.046728043428</v>
      </c>
    </row>
    <row r="69" spans="9:25" x14ac:dyDescent="0.3">
      <c r="I69" s="109">
        <f>I68+1</f>
        <v>61</v>
      </c>
      <c r="J69" s="108">
        <v>0.19163589480581689</v>
      </c>
      <c r="K69" s="108">
        <v>0.33174175570453102</v>
      </c>
      <c r="M69" s="107">
        <v>1</v>
      </c>
      <c r="N69" s="106">
        <f>$D$13</f>
        <v>1000</v>
      </c>
      <c r="O69" s="106">
        <f>M69*N69</f>
        <v>1000</v>
      </c>
      <c r="P69" s="106">
        <f>$D$20*M69</f>
        <v>800</v>
      </c>
      <c r="Q69" s="105">
        <f>O69-P69</f>
        <v>200</v>
      </c>
      <c r="R69" s="105">
        <f>Q69+R68</f>
        <v>12200</v>
      </c>
      <c r="T69" s="107">
        <f>_xlfn.BINOM.INV($G$11,$G$10,J69)</f>
        <v>1</v>
      </c>
      <c r="U69" s="106">
        <f>_xlfn.NORM.INV(K69,$G$14,$G$15)</f>
        <v>922.97825521513744</v>
      </c>
      <c r="V69" s="106">
        <f>T69*U69</f>
        <v>922.97825521513744</v>
      </c>
      <c r="W69" s="106">
        <f>VLOOKUP(T69,$F$21:$G$24,2,FALSE)</f>
        <v>800</v>
      </c>
      <c r="X69" s="105">
        <f>V69-W69</f>
        <v>122.97825521513744</v>
      </c>
      <c r="Y69" s="105">
        <f>X69+Y68</f>
        <v>19530.024983258565</v>
      </c>
    </row>
    <row r="70" spans="9:25" x14ac:dyDescent="0.3">
      <c r="I70" s="109">
        <f>I69+1</f>
        <v>62</v>
      </c>
      <c r="J70" s="108">
        <v>0.39156364103233643</v>
      </c>
      <c r="K70" s="108">
        <v>0.87536762682635871</v>
      </c>
      <c r="M70" s="107">
        <v>1</v>
      </c>
      <c r="N70" s="106">
        <f>$D$13</f>
        <v>1000</v>
      </c>
      <c r="O70" s="106">
        <f>M70*N70</f>
        <v>1000</v>
      </c>
      <c r="P70" s="106">
        <f>$D$20*M70</f>
        <v>800</v>
      </c>
      <c r="Q70" s="105">
        <f>O70-P70</f>
        <v>200</v>
      </c>
      <c r="R70" s="105">
        <f>Q70+R69</f>
        <v>12400</v>
      </c>
      <c r="T70" s="107">
        <f>_xlfn.BINOM.INV($G$11,$G$10,J70)</f>
        <v>1</v>
      </c>
      <c r="U70" s="106">
        <f>_xlfn.NORM.INV(K70,$G$14,$G$15)</f>
        <v>1240.4274168576103</v>
      </c>
      <c r="V70" s="106">
        <f>T70*U70</f>
        <v>1240.4274168576103</v>
      </c>
      <c r="W70" s="106">
        <f>VLOOKUP(T70,$F$21:$G$24,2,FALSE)</f>
        <v>800</v>
      </c>
      <c r="X70" s="105">
        <f>V70-W70</f>
        <v>440.4274168576103</v>
      </c>
      <c r="Y70" s="105">
        <f>X70+Y69</f>
        <v>19970.452400116177</v>
      </c>
    </row>
    <row r="71" spans="9:25" x14ac:dyDescent="0.3">
      <c r="I71" s="109">
        <f>I70+1</f>
        <v>63</v>
      </c>
      <c r="J71" s="108">
        <v>0.99980247548587375</v>
      </c>
      <c r="K71" s="108">
        <v>0.29961329635051015</v>
      </c>
      <c r="M71" s="107">
        <v>1</v>
      </c>
      <c r="N71" s="106">
        <f>$D$13</f>
        <v>1000</v>
      </c>
      <c r="O71" s="106">
        <f>M71*N71</f>
        <v>1000</v>
      </c>
      <c r="P71" s="106">
        <f>$D$20*M71</f>
        <v>800</v>
      </c>
      <c r="Q71" s="105">
        <f>O71-P71</f>
        <v>200</v>
      </c>
      <c r="R71" s="105">
        <f>Q71+R70</f>
        <v>12600</v>
      </c>
      <c r="T71" s="107">
        <f>_xlfn.BINOM.INV($G$11,$G$10,J71)</f>
        <v>3</v>
      </c>
      <c r="U71" s="106">
        <f>_xlfn.NORM.INV(K71,$G$14,$G$15)</f>
        <v>904.89739256325004</v>
      </c>
      <c r="V71" s="106">
        <f>T71*U71</f>
        <v>2714.6921776897502</v>
      </c>
      <c r="W71" s="106">
        <f>VLOOKUP(T71,$F$21:$G$24,2,FALSE)</f>
        <v>2300</v>
      </c>
      <c r="X71" s="105">
        <f>V71-W71</f>
        <v>414.69217768975022</v>
      </c>
      <c r="Y71" s="105">
        <f>X71+Y70</f>
        <v>20385.144577805928</v>
      </c>
    </row>
    <row r="72" spans="9:25" x14ac:dyDescent="0.3">
      <c r="I72" s="109">
        <f>I71+1</f>
        <v>64</v>
      </c>
      <c r="J72" s="108">
        <v>0.42183251423908008</v>
      </c>
      <c r="K72" s="108">
        <v>0.33678675568766481</v>
      </c>
      <c r="M72" s="107">
        <v>1</v>
      </c>
      <c r="N72" s="106">
        <f>$D$13</f>
        <v>1000</v>
      </c>
      <c r="O72" s="106">
        <f>M72*N72</f>
        <v>1000</v>
      </c>
      <c r="P72" s="106">
        <f>$D$20*M72</f>
        <v>800</v>
      </c>
      <c r="Q72" s="105">
        <f>O72-P72</f>
        <v>200</v>
      </c>
      <c r="R72" s="105">
        <f>Q72+R71</f>
        <v>12800</v>
      </c>
      <c r="T72" s="107">
        <f>_xlfn.BINOM.INV($G$11,$G$10,J72)</f>
        <v>1</v>
      </c>
      <c r="U72" s="106">
        <f>_xlfn.NORM.INV(K72,$G$14,$G$15)</f>
        <v>925.75026692385484</v>
      </c>
      <c r="V72" s="106">
        <f>T72*U72</f>
        <v>925.75026692385484</v>
      </c>
      <c r="W72" s="106">
        <f>VLOOKUP(T72,$F$21:$G$24,2,FALSE)</f>
        <v>800</v>
      </c>
      <c r="X72" s="105">
        <f>V72-W72</f>
        <v>125.75026692385484</v>
      </c>
      <c r="Y72" s="105">
        <f>X72+Y71</f>
        <v>20510.894844729784</v>
      </c>
    </row>
    <row r="73" spans="9:25" x14ac:dyDescent="0.3">
      <c r="I73" s="109">
        <f>I72+1</f>
        <v>65</v>
      </c>
      <c r="J73" s="108">
        <v>0.36764855610079761</v>
      </c>
      <c r="K73" s="108">
        <v>0.36424308417795015</v>
      </c>
      <c r="M73" s="107">
        <v>1</v>
      </c>
      <c r="N73" s="106">
        <f>$D$13</f>
        <v>1000</v>
      </c>
      <c r="O73" s="106">
        <f>M73*N73</f>
        <v>1000</v>
      </c>
      <c r="P73" s="106">
        <f>$D$20*M73</f>
        <v>800</v>
      </c>
      <c r="Q73" s="105">
        <f>O73-P73</f>
        <v>200</v>
      </c>
      <c r="R73" s="105">
        <f>Q73+R72</f>
        <v>13000</v>
      </c>
      <c r="T73" s="107">
        <f>_xlfn.BINOM.INV($G$11,$G$10,J73)</f>
        <v>1</v>
      </c>
      <c r="U73" s="106">
        <f>_xlfn.NORM.INV(K73,$G$14,$G$15)</f>
        <v>940.57200645127568</v>
      </c>
      <c r="V73" s="106">
        <f>T73*U73</f>
        <v>940.57200645127568</v>
      </c>
      <c r="W73" s="106">
        <f>VLOOKUP(T73,$F$21:$G$24,2,FALSE)</f>
        <v>800</v>
      </c>
      <c r="X73" s="105">
        <f>V73-W73</f>
        <v>140.57200645127568</v>
      </c>
      <c r="Y73" s="105">
        <f>X73+Y72</f>
        <v>20651.46685118106</v>
      </c>
    </row>
    <row r="74" spans="9:25" x14ac:dyDescent="0.3">
      <c r="I74" s="109">
        <f>I73+1</f>
        <v>66</v>
      </c>
      <c r="J74" s="108">
        <v>0.85910630912402741</v>
      </c>
      <c r="K74" s="108">
        <v>4.8129676400368027E-3</v>
      </c>
      <c r="M74" s="107">
        <v>1</v>
      </c>
      <c r="N74" s="106">
        <f>$D$13</f>
        <v>1000</v>
      </c>
      <c r="O74" s="106">
        <f>M74*N74</f>
        <v>1000</v>
      </c>
      <c r="P74" s="106">
        <f>$D$20*M74</f>
        <v>800</v>
      </c>
      <c r="Q74" s="105">
        <f>O74-P74</f>
        <v>200</v>
      </c>
      <c r="R74" s="105">
        <f>Q74+R73</f>
        <v>13200</v>
      </c>
      <c r="T74" s="107">
        <f>_xlfn.BINOM.INV($G$11,$G$10,J74)</f>
        <v>2</v>
      </c>
      <c r="U74" s="106">
        <f>_xlfn.NORM.INV(K74,$G$14,$G$15)</f>
        <v>492.20304678643515</v>
      </c>
      <c r="V74" s="106">
        <f>T74*U74</f>
        <v>984.4060935728703</v>
      </c>
      <c r="W74" s="106">
        <f>VLOOKUP(T74,$F$21:$G$24,2,FALSE)</f>
        <v>1550</v>
      </c>
      <c r="X74" s="105">
        <f>V74-W74</f>
        <v>-565.5939064271297</v>
      </c>
      <c r="Y74" s="105">
        <f>X74+Y73</f>
        <v>20085.87294475393</v>
      </c>
    </row>
    <row r="75" spans="9:25" x14ac:dyDescent="0.3">
      <c r="I75" s="109">
        <f>I74+1</f>
        <v>67</v>
      </c>
      <c r="J75" s="108">
        <v>0.97262903497919062</v>
      </c>
      <c r="K75" s="108">
        <v>0.17379597818082848</v>
      </c>
      <c r="M75" s="107">
        <v>1</v>
      </c>
      <c r="N75" s="106">
        <f>$D$13</f>
        <v>1000</v>
      </c>
      <c r="O75" s="106">
        <f>M75*N75</f>
        <v>1000</v>
      </c>
      <c r="P75" s="106">
        <f>$D$20*M75</f>
        <v>800</v>
      </c>
      <c r="Q75" s="105">
        <f>O75-P75</f>
        <v>200</v>
      </c>
      <c r="R75" s="105">
        <f>Q75+R74</f>
        <v>13400</v>
      </c>
      <c r="T75" s="107">
        <f>_xlfn.BINOM.INV($G$11,$G$10,J75)</f>
        <v>3</v>
      </c>
      <c r="U75" s="106">
        <f>_xlfn.NORM.INV(K75,$G$14,$G$15)</f>
        <v>822.14592952399812</v>
      </c>
      <c r="V75" s="106">
        <f>T75*U75</f>
        <v>2466.4377885719941</v>
      </c>
      <c r="W75" s="106">
        <f>VLOOKUP(T75,$F$21:$G$24,2,FALSE)</f>
        <v>2300</v>
      </c>
      <c r="X75" s="105">
        <f>V75-W75</f>
        <v>166.43778857199413</v>
      </c>
      <c r="Y75" s="105">
        <f>X75+Y74</f>
        <v>20252.310733325925</v>
      </c>
    </row>
    <row r="76" spans="9:25" x14ac:dyDescent="0.3">
      <c r="I76" s="109">
        <f>I75+1</f>
        <v>68</v>
      </c>
      <c r="J76" s="108">
        <v>0.29857805195016263</v>
      </c>
      <c r="K76" s="108">
        <v>0.3567164640804531</v>
      </c>
      <c r="M76" s="107">
        <v>1</v>
      </c>
      <c r="N76" s="106">
        <f>$D$13</f>
        <v>1000</v>
      </c>
      <c r="O76" s="106">
        <f>M76*N76</f>
        <v>1000</v>
      </c>
      <c r="P76" s="106">
        <f>$D$20*M76</f>
        <v>800</v>
      </c>
      <c r="Q76" s="105">
        <f>O76-P76</f>
        <v>200</v>
      </c>
      <c r="R76" s="105">
        <f>Q76+R75</f>
        <v>13600</v>
      </c>
      <c r="T76" s="107">
        <f>_xlfn.BINOM.INV($G$11,$G$10,J76)</f>
        <v>1</v>
      </c>
      <c r="U76" s="106">
        <f>_xlfn.NORM.INV(K76,$G$14,$G$15)</f>
        <v>936.55010237943793</v>
      </c>
      <c r="V76" s="106">
        <f>T76*U76</f>
        <v>936.55010237943793</v>
      </c>
      <c r="W76" s="106">
        <f>VLOOKUP(T76,$F$21:$G$24,2,FALSE)</f>
        <v>800</v>
      </c>
      <c r="X76" s="105">
        <f>V76-W76</f>
        <v>136.55010237943793</v>
      </c>
      <c r="Y76" s="105">
        <f>X76+Y75</f>
        <v>20388.860835705364</v>
      </c>
    </row>
    <row r="77" spans="9:25" x14ac:dyDescent="0.3">
      <c r="I77" s="109">
        <f>I76+1</f>
        <v>69</v>
      </c>
      <c r="J77" s="108">
        <v>0.831984697148062</v>
      </c>
      <c r="K77" s="108">
        <v>0.73981803959180692</v>
      </c>
      <c r="M77" s="107">
        <v>1</v>
      </c>
      <c r="N77" s="106">
        <f>$D$13</f>
        <v>1000</v>
      </c>
      <c r="O77" s="106">
        <f>M77*N77</f>
        <v>1000</v>
      </c>
      <c r="P77" s="106">
        <f>$D$20*M77</f>
        <v>800</v>
      </c>
      <c r="Q77" s="105">
        <f>O77-P77</f>
        <v>200</v>
      </c>
      <c r="R77" s="105">
        <f>Q77+R76</f>
        <v>13800</v>
      </c>
      <c r="T77" s="107">
        <f>_xlfn.BINOM.INV($G$11,$G$10,J77)</f>
        <v>2</v>
      </c>
      <c r="U77" s="106">
        <f>_xlfn.NORM.INV(K77,$G$14,$G$15)</f>
        <v>1138.5569065407642</v>
      </c>
      <c r="V77" s="106">
        <f>T77*U77</f>
        <v>2277.1138130815284</v>
      </c>
      <c r="W77" s="106">
        <f>VLOOKUP(T77,$F$21:$G$24,2,FALSE)</f>
        <v>1550</v>
      </c>
      <c r="X77" s="105">
        <f>V77-W77</f>
        <v>727.11381308152841</v>
      </c>
      <c r="Y77" s="105">
        <f>X77+Y76</f>
        <v>21115.974648786891</v>
      </c>
    </row>
    <row r="78" spans="9:25" x14ac:dyDescent="0.3">
      <c r="I78" s="109">
        <f>I77+1</f>
        <v>70</v>
      </c>
      <c r="J78" s="108">
        <v>0.9387063769838373</v>
      </c>
      <c r="K78" s="108">
        <v>0.42466251603683891</v>
      </c>
      <c r="M78" s="107">
        <v>1</v>
      </c>
      <c r="N78" s="106">
        <f>$D$13</f>
        <v>1000</v>
      </c>
      <c r="O78" s="106">
        <f>M78*N78</f>
        <v>1000</v>
      </c>
      <c r="P78" s="106">
        <f>$D$20*M78</f>
        <v>800</v>
      </c>
      <c r="Q78" s="105">
        <f>O78-P78</f>
        <v>200</v>
      </c>
      <c r="R78" s="105">
        <f>Q78+R77</f>
        <v>14000</v>
      </c>
      <c r="T78" s="107">
        <f>_xlfn.BINOM.INV($G$11,$G$10,J78)</f>
        <v>3</v>
      </c>
      <c r="U78" s="106">
        <f>_xlfn.NORM.INV(K78,$G$14,$G$15)</f>
        <v>972.00405851717039</v>
      </c>
      <c r="V78" s="106">
        <f>T78*U78</f>
        <v>2916.0121755515111</v>
      </c>
      <c r="W78" s="106">
        <f>VLOOKUP(T78,$F$21:$G$24,2,FALSE)</f>
        <v>2300</v>
      </c>
      <c r="X78" s="105">
        <f>V78-W78</f>
        <v>616.01217555151106</v>
      </c>
      <c r="Y78" s="105">
        <f>X78+Y77</f>
        <v>21731.986824338401</v>
      </c>
    </row>
    <row r="79" spans="9:25" x14ac:dyDescent="0.3">
      <c r="I79" s="109">
        <f>I78+1</f>
        <v>71</v>
      </c>
      <c r="J79" s="108">
        <v>0.5332012132890197</v>
      </c>
      <c r="K79" s="108">
        <v>0.57837632298665032</v>
      </c>
      <c r="M79" s="107">
        <v>1</v>
      </c>
      <c r="N79" s="106">
        <f>$D$13</f>
        <v>1000</v>
      </c>
      <c r="O79" s="106">
        <f>M79*N79</f>
        <v>1000</v>
      </c>
      <c r="P79" s="106">
        <f>$D$20*M79</f>
        <v>800</v>
      </c>
      <c r="Q79" s="105">
        <f>O79-P79</f>
        <v>200</v>
      </c>
      <c r="R79" s="105">
        <f>Q79+R78</f>
        <v>14200</v>
      </c>
      <c r="T79" s="107">
        <f>_xlfn.BINOM.INV($G$11,$G$10,J79)</f>
        <v>2</v>
      </c>
      <c r="U79" s="106">
        <f>_xlfn.NORM.INV(K79,$G$14,$G$15)</f>
        <v>1049.5482909077814</v>
      </c>
      <c r="V79" s="106">
        <f>T79*U79</f>
        <v>2099.0965818155628</v>
      </c>
      <c r="W79" s="106">
        <f>VLOOKUP(T79,$F$21:$G$24,2,FALSE)</f>
        <v>1550</v>
      </c>
      <c r="X79" s="105">
        <f>V79-W79</f>
        <v>549.09658181556279</v>
      </c>
      <c r="Y79" s="105">
        <f>X79+Y78</f>
        <v>22281.083406153964</v>
      </c>
    </row>
    <row r="80" spans="9:25" x14ac:dyDescent="0.3">
      <c r="I80" s="109">
        <f>I79+1</f>
        <v>72</v>
      </c>
      <c r="J80" s="108">
        <v>0.31300449828374899</v>
      </c>
      <c r="K80" s="108">
        <v>9.5921806931841713E-2</v>
      </c>
      <c r="M80" s="107">
        <v>1</v>
      </c>
      <c r="N80" s="106">
        <f>$D$13</f>
        <v>1000</v>
      </c>
      <c r="O80" s="106">
        <f>M80*N80</f>
        <v>1000</v>
      </c>
      <c r="P80" s="106">
        <f>$D$20*M80</f>
        <v>800</v>
      </c>
      <c r="Q80" s="105">
        <f>O80-P80</f>
        <v>200</v>
      </c>
      <c r="R80" s="105">
        <f>Q80+R79</f>
        <v>14400</v>
      </c>
      <c r="T80" s="107">
        <f>_xlfn.BINOM.INV($G$11,$G$10,J80)</f>
        <v>1</v>
      </c>
      <c r="U80" s="106">
        <f>_xlfn.NORM.INV(K80,$G$14,$G$15)</f>
        <v>748.97107971654327</v>
      </c>
      <c r="V80" s="106">
        <f>T80*U80</f>
        <v>748.97107971654327</v>
      </c>
      <c r="W80" s="106">
        <f>VLOOKUP(T80,$F$21:$G$24,2,FALSE)</f>
        <v>800</v>
      </c>
      <c r="X80" s="105">
        <f>V80-W80</f>
        <v>-51.028920283456728</v>
      </c>
      <c r="Y80" s="105">
        <f>X80+Y79</f>
        <v>22230.054485870507</v>
      </c>
    </row>
    <row r="81" spans="9:25" x14ac:dyDescent="0.3">
      <c r="I81" s="109">
        <f>I80+1</f>
        <v>73</v>
      </c>
      <c r="J81" s="108">
        <v>0.1257564781089614</v>
      </c>
      <c r="K81" s="108">
        <v>0.82673591557543469</v>
      </c>
      <c r="M81" s="107">
        <v>1</v>
      </c>
      <c r="N81" s="106">
        <f>$D$13</f>
        <v>1000</v>
      </c>
      <c r="O81" s="106">
        <f>M81*N81</f>
        <v>1000</v>
      </c>
      <c r="P81" s="106">
        <f>$D$20*M81</f>
        <v>800</v>
      </c>
      <c r="Q81" s="105">
        <f>O81-P81</f>
        <v>200</v>
      </c>
      <c r="R81" s="105">
        <f>Q81+R80</f>
        <v>14600</v>
      </c>
      <c r="T81" s="107">
        <f>_xlfn.BINOM.INV($G$11,$G$10,J81)</f>
        <v>1</v>
      </c>
      <c r="U81" s="106">
        <f>_xlfn.NORM.INV(K81,$G$14,$G$15)</f>
        <v>1198.2689688442185</v>
      </c>
      <c r="V81" s="106">
        <f>T81*U81</f>
        <v>1198.2689688442185</v>
      </c>
      <c r="W81" s="106">
        <f>VLOOKUP(T81,$F$21:$G$24,2,FALSE)</f>
        <v>800</v>
      </c>
      <c r="X81" s="105">
        <f>V81-W81</f>
        <v>398.26896884421853</v>
      </c>
      <c r="Y81" s="105">
        <f>X81+Y80</f>
        <v>22628.323454714726</v>
      </c>
    </row>
    <row r="82" spans="9:25" x14ac:dyDescent="0.3">
      <c r="I82" s="109">
        <f>I81+1</f>
        <v>74</v>
      </c>
      <c r="J82" s="108">
        <v>0.44649547347449836</v>
      </c>
      <c r="K82" s="108">
        <v>0.3406059149231625</v>
      </c>
      <c r="M82" s="107">
        <v>1</v>
      </c>
      <c r="N82" s="106">
        <f>$D$13</f>
        <v>1000</v>
      </c>
      <c r="O82" s="106">
        <f>M82*N82</f>
        <v>1000</v>
      </c>
      <c r="P82" s="106">
        <f>$D$20*M82</f>
        <v>800</v>
      </c>
      <c r="Q82" s="105">
        <f>O82-P82</f>
        <v>200</v>
      </c>
      <c r="R82" s="105">
        <f>Q82+R81</f>
        <v>14800</v>
      </c>
      <c r="T82" s="107">
        <f>_xlfn.BINOM.INV($G$11,$G$10,J82)</f>
        <v>1</v>
      </c>
      <c r="U82" s="106">
        <f>_xlfn.NORM.INV(K82,$G$14,$G$15)</f>
        <v>927.83799178425159</v>
      </c>
      <c r="V82" s="106">
        <f>T82*U82</f>
        <v>927.83799178425159</v>
      </c>
      <c r="W82" s="106">
        <f>VLOOKUP(T82,$F$21:$G$24,2,FALSE)</f>
        <v>800</v>
      </c>
      <c r="X82" s="105">
        <f>V82-W82</f>
        <v>127.83799178425159</v>
      </c>
      <c r="Y82" s="105">
        <f>X82+Y81</f>
        <v>22756.161446498976</v>
      </c>
    </row>
    <row r="83" spans="9:25" x14ac:dyDescent="0.3">
      <c r="I83" s="109">
        <f>I82+1</f>
        <v>75</v>
      </c>
      <c r="J83" s="108">
        <v>0.75431863667743904</v>
      </c>
      <c r="K83" s="108">
        <v>0.29842065119601291</v>
      </c>
      <c r="M83" s="107">
        <v>1</v>
      </c>
      <c r="N83" s="106">
        <f>$D$13</f>
        <v>1000</v>
      </c>
      <c r="O83" s="106">
        <f>M83*N83</f>
        <v>1000</v>
      </c>
      <c r="P83" s="106">
        <f>$D$20*M83</f>
        <v>800</v>
      </c>
      <c r="Q83" s="105">
        <f>O83-P83</f>
        <v>200</v>
      </c>
      <c r="R83" s="105">
        <f>Q83+R82</f>
        <v>15000</v>
      </c>
      <c r="T83" s="107">
        <f>_xlfn.BINOM.INV($G$11,$G$10,J83)</f>
        <v>2</v>
      </c>
      <c r="U83" s="106">
        <f>_xlfn.NORM.INV(K83,$G$14,$G$15)</f>
        <v>904.2103364224414</v>
      </c>
      <c r="V83" s="106">
        <f>T83*U83</f>
        <v>1808.4206728448828</v>
      </c>
      <c r="W83" s="106">
        <f>VLOOKUP(T83,$F$21:$G$24,2,FALSE)</f>
        <v>1550</v>
      </c>
      <c r="X83" s="105">
        <f>V83-W83</f>
        <v>258.4206728448828</v>
      </c>
      <c r="Y83" s="105">
        <f>X83+Y82</f>
        <v>23014.582119343861</v>
      </c>
    </row>
    <row r="84" spans="9:25" x14ac:dyDescent="0.3">
      <c r="I84" s="109">
        <f>I83+1</f>
        <v>76</v>
      </c>
      <c r="J84" s="108">
        <v>9.7362958081199102E-2</v>
      </c>
      <c r="K84" s="108">
        <v>0.709646164527446</v>
      </c>
      <c r="M84" s="107">
        <v>1</v>
      </c>
      <c r="N84" s="106">
        <f>$D$13</f>
        <v>1000</v>
      </c>
      <c r="O84" s="106">
        <f>M84*N84</f>
        <v>1000</v>
      </c>
      <c r="P84" s="106">
        <f>$D$20*M84</f>
        <v>800</v>
      </c>
      <c r="Q84" s="105">
        <f>O84-P84</f>
        <v>200</v>
      </c>
      <c r="R84" s="105">
        <f>Q84+R83</f>
        <v>15200</v>
      </c>
      <c r="T84" s="107">
        <f>_xlfn.BINOM.INV($G$11,$G$10,J84)</f>
        <v>0</v>
      </c>
      <c r="U84" s="106">
        <f>_xlfn.NORM.INV(K84,$G$14,$G$15)</f>
        <v>1120.4702654587054</v>
      </c>
      <c r="V84" s="106">
        <f>T84*U84</f>
        <v>0</v>
      </c>
      <c r="W84" s="106">
        <f>VLOOKUP(T84,$F$21:$G$24,2,FALSE)</f>
        <v>800</v>
      </c>
      <c r="X84" s="105">
        <f>V84-W84</f>
        <v>-800</v>
      </c>
      <c r="Y84" s="105">
        <f>X84+Y83</f>
        <v>22214.582119343861</v>
      </c>
    </row>
    <row r="85" spans="9:25" x14ac:dyDescent="0.3">
      <c r="I85" s="109">
        <f>I84+1</f>
        <v>77</v>
      </c>
      <c r="J85" s="108">
        <v>0.17940158273882545</v>
      </c>
      <c r="K85" s="108">
        <v>0.40149450850793256</v>
      </c>
      <c r="M85" s="107">
        <v>1</v>
      </c>
      <c r="N85" s="106">
        <f>$D$13</f>
        <v>1000</v>
      </c>
      <c r="O85" s="106">
        <f>M85*N85</f>
        <v>1000</v>
      </c>
      <c r="P85" s="106">
        <f>$D$20*M85</f>
        <v>800</v>
      </c>
      <c r="Q85" s="105">
        <f>O85-P85</f>
        <v>200</v>
      </c>
      <c r="R85" s="105">
        <f>Q85+R84</f>
        <v>15400</v>
      </c>
      <c r="T85" s="107">
        <f>_xlfn.BINOM.INV($G$11,$G$10,J85)</f>
        <v>1</v>
      </c>
      <c r="U85" s="106">
        <f>_xlfn.NORM.INV(K85,$G$14,$G$15)</f>
        <v>960.10387262523386</v>
      </c>
      <c r="V85" s="106">
        <f>T85*U85</f>
        <v>960.10387262523386</v>
      </c>
      <c r="W85" s="106">
        <f>VLOOKUP(T85,$F$21:$G$24,2,FALSE)</f>
        <v>800</v>
      </c>
      <c r="X85" s="105">
        <f>V85-W85</f>
        <v>160.10387262523386</v>
      </c>
      <c r="Y85" s="105">
        <f>X85+Y84</f>
        <v>22374.685991969094</v>
      </c>
    </row>
    <row r="86" spans="9:25" x14ac:dyDescent="0.3">
      <c r="I86" s="109">
        <f>I85+1</f>
        <v>78</v>
      </c>
      <c r="J86" s="108">
        <v>0.41370239616691251</v>
      </c>
      <c r="K86" s="108">
        <v>0.34693805718386972</v>
      </c>
      <c r="M86" s="107">
        <v>1</v>
      </c>
      <c r="N86" s="106">
        <f>$D$13</f>
        <v>1000</v>
      </c>
      <c r="O86" s="106">
        <f>M86*N86</f>
        <v>1000</v>
      </c>
      <c r="P86" s="106">
        <f>$D$20*M86</f>
        <v>800</v>
      </c>
      <c r="Q86" s="105">
        <f>O86-P86</f>
        <v>200</v>
      </c>
      <c r="R86" s="105">
        <f>Q86+R85</f>
        <v>15600</v>
      </c>
      <c r="T86" s="107">
        <f>_xlfn.BINOM.INV($G$11,$G$10,J86)</f>
        <v>1</v>
      </c>
      <c r="U86" s="106">
        <f>_xlfn.NORM.INV(K86,$G$14,$G$15)</f>
        <v>931.27992772176265</v>
      </c>
      <c r="V86" s="106">
        <f>T86*U86</f>
        <v>931.27992772176265</v>
      </c>
      <c r="W86" s="106">
        <f>VLOOKUP(T86,$F$21:$G$24,2,FALSE)</f>
        <v>800</v>
      </c>
      <c r="X86" s="105">
        <f>V86-W86</f>
        <v>131.27992772176265</v>
      </c>
      <c r="Y86" s="105">
        <f>X86+Y85</f>
        <v>22505.965919690858</v>
      </c>
    </row>
    <row r="87" spans="9:25" x14ac:dyDescent="0.3">
      <c r="I87" s="109">
        <f>I86+1</f>
        <v>79</v>
      </c>
      <c r="J87" s="108">
        <v>2.8903701114439739E-2</v>
      </c>
      <c r="K87" s="108">
        <v>0.35963292862277463</v>
      </c>
      <c r="M87" s="107">
        <v>1</v>
      </c>
      <c r="N87" s="106">
        <f>$D$13</f>
        <v>1000</v>
      </c>
      <c r="O87" s="106">
        <f>M87*N87</f>
        <v>1000</v>
      </c>
      <c r="P87" s="106">
        <f>$D$20*M87</f>
        <v>800</v>
      </c>
      <c r="Q87" s="105">
        <f>O87-P87</f>
        <v>200</v>
      </c>
      <c r="R87" s="105">
        <f>Q87+R86</f>
        <v>15800</v>
      </c>
      <c r="T87" s="107">
        <f>_xlfn.BINOM.INV($G$11,$G$10,J87)</f>
        <v>0</v>
      </c>
      <c r="U87" s="106">
        <f>_xlfn.NORM.INV(K87,$G$14,$G$15)</f>
        <v>938.11197369140484</v>
      </c>
      <c r="V87" s="106">
        <f>T87*U87</f>
        <v>0</v>
      </c>
      <c r="W87" s="106">
        <f>VLOOKUP(T87,$F$21:$G$24,2,FALSE)</f>
        <v>800</v>
      </c>
      <c r="X87" s="105">
        <f>V87-W87</f>
        <v>-800</v>
      </c>
      <c r="Y87" s="105">
        <f>X87+Y86</f>
        <v>21705.965919690858</v>
      </c>
    </row>
    <row r="88" spans="9:25" x14ac:dyDescent="0.3">
      <c r="I88" s="109">
        <f>I87+1</f>
        <v>80</v>
      </c>
      <c r="J88" s="108">
        <v>0.55419330449313875</v>
      </c>
      <c r="K88" s="108">
        <v>0.19750929125759675</v>
      </c>
      <c r="M88" s="107">
        <v>1</v>
      </c>
      <c r="N88" s="106">
        <f>$D$13</f>
        <v>1000</v>
      </c>
      <c r="O88" s="106">
        <f>M88*N88</f>
        <v>1000</v>
      </c>
      <c r="P88" s="106">
        <f>$D$20*M88</f>
        <v>800</v>
      </c>
      <c r="Q88" s="105">
        <f>O88-P88</f>
        <v>200</v>
      </c>
      <c r="R88" s="105">
        <f>Q88+R87</f>
        <v>16000</v>
      </c>
      <c r="T88" s="107">
        <f>_xlfn.BINOM.INV($G$11,$G$10,J88)</f>
        <v>2</v>
      </c>
      <c r="U88" s="106">
        <f>_xlfn.NORM.INV(K88,$G$14,$G$15)</f>
        <v>839.88971501779588</v>
      </c>
      <c r="V88" s="106">
        <f>T88*U88</f>
        <v>1679.7794300355918</v>
      </c>
      <c r="W88" s="106">
        <f>VLOOKUP(T88,$F$21:$G$24,2,FALSE)</f>
        <v>1550</v>
      </c>
      <c r="X88" s="105">
        <f>V88-W88</f>
        <v>129.77943003559176</v>
      </c>
      <c r="Y88" s="105">
        <f>X88+Y87</f>
        <v>21835.745349726451</v>
      </c>
    </row>
    <row r="89" spans="9:25" x14ac:dyDescent="0.3">
      <c r="I89" s="109">
        <f>I88+1</f>
        <v>81</v>
      </c>
      <c r="J89" s="108">
        <v>6.8039625570271101E-2</v>
      </c>
      <c r="K89" s="108">
        <v>0.99342745242839281</v>
      </c>
      <c r="M89" s="107">
        <v>1</v>
      </c>
      <c r="N89" s="106">
        <f>$D$13</f>
        <v>1000</v>
      </c>
      <c r="O89" s="106">
        <f>M89*N89</f>
        <v>1000</v>
      </c>
      <c r="P89" s="106">
        <f>$D$20*M89</f>
        <v>800</v>
      </c>
      <c r="Q89" s="105">
        <f>O89-P89</f>
        <v>200</v>
      </c>
      <c r="R89" s="105">
        <f>Q89+R88</f>
        <v>16200</v>
      </c>
      <c r="T89" s="107">
        <f>_xlfn.BINOM.INV($G$11,$G$10,J89)</f>
        <v>0</v>
      </c>
      <c r="U89" s="106">
        <f>_xlfn.NORM.INV(K89,$G$14,$G$15)</f>
        <v>1505.9627901275467</v>
      </c>
      <c r="V89" s="106">
        <f>T89*U89</f>
        <v>0</v>
      </c>
      <c r="W89" s="106">
        <f>VLOOKUP(T89,$F$21:$G$24,2,FALSE)</f>
        <v>800</v>
      </c>
      <c r="X89" s="105">
        <f>V89-W89</f>
        <v>-800</v>
      </c>
      <c r="Y89" s="105">
        <f>X89+Y88</f>
        <v>21035.745349726451</v>
      </c>
    </row>
    <row r="90" spans="9:25" x14ac:dyDescent="0.3">
      <c r="I90" s="109">
        <f>I89+1</f>
        <v>82</v>
      </c>
      <c r="J90" s="108">
        <v>0.61653077992048844</v>
      </c>
      <c r="K90" s="108">
        <v>0.61714583964548597</v>
      </c>
      <c r="M90" s="107">
        <v>1</v>
      </c>
      <c r="N90" s="106">
        <f>$D$13</f>
        <v>1000</v>
      </c>
      <c r="O90" s="106">
        <f>M90*N90</f>
        <v>1000</v>
      </c>
      <c r="P90" s="106">
        <f>$D$20*M90</f>
        <v>800</v>
      </c>
      <c r="Q90" s="105">
        <f>O90-P90</f>
        <v>200</v>
      </c>
      <c r="R90" s="105">
        <f>Q90+R89</f>
        <v>16400</v>
      </c>
      <c r="T90" s="107">
        <f>_xlfn.BINOM.INV($G$11,$G$10,J90)</f>
        <v>2</v>
      </c>
      <c r="U90" s="106">
        <f>_xlfn.NORM.INV(K90,$G$14,$G$15)</f>
        <v>1069.5986486203167</v>
      </c>
      <c r="V90" s="106">
        <f>T90*U90</f>
        <v>2139.1972972406334</v>
      </c>
      <c r="W90" s="106">
        <f>VLOOKUP(T90,$F$21:$G$24,2,FALSE)</f>
        <v>1550</v>
      </c>
      <c r="X90" s="105">
        <f>V90-W90</f>
        <v>589.19729724063336</v>
      </c>
      <c r="Y90" s="105">
        <f>X90+Y89</f>
        <v>21624.942646967083</v>
      </c>
    </row>
    <row r="91" spans="9:25" x14ac:dyDescent="0.3">
      <c r="I91" s="109">
        <f>I90+1</f>
        <v>83</v>
      </c>
      <c r="J91" s="108">
        <v>0.72585445557178607</v>
      </c>
      <c r="K91" s="108">
        <v>1.3194602150721324E-2</v>
      </c>
      <c r="M91" s="107">
        <v>1</v>
      </c>
      <c r="N91" s="106">
        <f>$D$13</f>
        <v>1000</v>
      </c>
      <c r="O91" s="106">
        <f>M91*N91</f>
        <v>1000</v>
      </c>
      <c r="P91" s="106">
        <f>$D$20*M91</f>
        <v>800</v>
      </c>
      <c r="Q91" s="105">
        <f>O91-P91</f>
        <v>200</v>
      </c>
      <c r="R91" s="105">
        <f>Q91+R90</f>
        <v>16600</v>
      </c>
      <c r="T91" s="107">
        <f>_xlfn.BINOM.INV($G$11,$G$10,J91)</f>
        <v>2</v>
      </c>
      <c r="U91" s="106">
        <f>_xlfn.NORM.INV(K91,$G$14,$G$15)</f>
        <v>565.9128551866736</v>
      </c>
      <c r="V91" s="106">
        <f>T91*U91</f>
        <v>1131.8257103733472</v>
      </c>
      <c r="W91" s="106">
        <f>VLOOKUP(T91,$F$21:$G$24,2,FALSE)</f>
        <v>1550</v>
      </c>
      <c r="X91" s="105">
        <f>V91-W91</f>
        <v>-418.17428962665281</v>
      </c>
      <c r="Y91" s="105">
        <f>X91+Y90</f>
        <v>21206.768357340432</v>
      </c>
    </row>
    <row r="92" spans="9:25" x14ac:dyDescent="0.3">
      <c r="I92" s="109">
        <f>I91+1</f>
        <v>84</v>
      </c>
      <c r="J92" s="108">
        <v>0.33919964897674104</v>
      </c>
      <c r="K92" s="108">
        <v>0.83491780121799808</v>
      </c>
      <c r="M92" s="107">
        <v>1</v>
      </c>
      <c r="N92" s="106">
        <f>$D$13</f>
        <v>1000</v>
      </c>
      <c r="O92" s="106">
        <f>M92*N92</f>
        <v>1000</v>
      </c>
      <c r="P92" s="106">
        <f>$D$20*M92</f>
        <v>800</v>
      </c>
      <c r="Q92" s="105">
        <f>O92-P92</f>
        <v>200</v>
      </c>
      <c r="R92" s="105">
        <f>Q92+R91</f>
        <v>16800</v>
      </c>
      <c r="T92" s="107">
        <f>_xlfn.BINOM.INV($G$11,$G$10,J92)</f>
        <v>1</v>
      </c>
      <c r="U92" s="106">
        <f>_xlfn.NORM.INV(K92,$G$14,$G$15)</f>
        <v>1204.7565589708331</v>
      </c>
      <c r="V92" s="106">
        <f>T92*U92</f>
        <v>1204.7565589708331</v>
      </c>
      <c r="W92" s="106">
        <f>VLOOKUP(T92,$F$21:$G$24,2,FALSE)</f>
        <v>800</v>
      </c>
      <c r="X92" s="105">
        <f>V92-W92</f>
        <v>404.75655897083311</v>
      </c>
      <c r="Y92" s="105">
        <f>X92+Y91</f>
        <v>21611.524916311264</v>
      </c>
    </row>
    <row r="93" spans="9:25" x14ac:dyDescent="0.3">
      <c r="I93" s="109">
        <f>I92+1</f>
        <v>85</v>
      </c>
      <c r="J93" s="108">
        <v>0.33093047048933899</v>
      </c>
      <c r="K93" s="108">
        <v>0.24179378513387317</v>
      </c>
      <c r="M93" s="107">
        <v>1</v>
      </c>
      <c r="N93" s="106">
        <f>$D$13</f>
        <v>1000</v>
      </c>
      <c r="O93" s="106">
        <f>M93*N93</f>
        <v>1000</v>
      </c>
      <c r="P93" s="106">
        <f>$D$20*M93</f>
        <v>800</v>
      </c>
      <c r="Q93" s="105">
        <f>O93-P93</f>
        <v>200</v>
      </c>
      <c r="R93" s="105">
        <f>Q93+R92</f>
        <v>17000</v>
      </c>
      <c r="T93" s="107">
        <f>_xlfn.BINOM.INV($G$11,$G$10,J93)</f>
        <v>1</v>
      </c>
      <c r="U93" s="106">
        <f>_xlfn.NORM.INV(K93,$G$14,$G$15)</f>
        <v>869.89117866549213</v>
      </c>
      <c r="V93" s="106">
        <f>T93*U93</f>
        <v>869.89117866549213</v>
      </c>
      <c r="W93" s="106">
        <f>VLOOKUP(T93,$F$21:$G$24,2,FALSE)</f>
        <v>800</v>
      </c>
      <c r="X93" s="105">
        <f>V93-W93</f>
        <v>69.891178665492134</v>
      </c>
      <c r="Y93" s="105">
        <f>X93+Y92</f>
        <v>21681.416094976757</v>
      </c>
    </row>
    <row r="94" spans="9:25" x14ac:dyDescent="0.3">
      <c r="I94" s="109">
        <f>I93+1</f>
        <v>86</v>
      </c>
      <c r="J94" s="108">
        <v>0.94655266695975304</v>
      </c>
      <c r="K94" s="108">
        <v>0.26026536742511819</v>
      </c>
      <c r="M94" s="107">
        <v>1</v>
      </c>
      <c r="N94" s="106">
        <f>$D$13</f>
        <v>1000</v>
      </c>
      <c r="O94" s="106">
        <f>M94*N94</f>
        <v>1000</v>
      </c>
      <c r="P94" s="106">
        <f>$D$20*M94</f>
        <v>800</v>
      </c>
      <c r="Q94" s="105">
        <f>O94-P94</f>
        <v>200</v>
      </c>
      <c r="R94" s="105">
        <f>Q94+R93</f>
        <v>17200</v>
      </c>
      <c r="T94" s="107">
        <f>_xlfn.BINOM.INV($G$11,$G$10,J94)</f>
        <v>3</v>
      </c>
      <c r="U94" s="106">
        <f>_xlfn.NORM.INV(K94,$G$14,$G$15)</f>
        <v>881.49449851064503</v>
      </c>
      <c r="V94" s="106">
        <f>T94*U94</f>
        <v>2644.4834955319352</v>
      </c>
      <c r="W94" s="106">
        <f>VLOOKUP(T94,$F$21:$G$24,2,FALSE)</f>
        <v>2300</v>
      </c>
      <c r="X94" s="105">
        <f>V94-W94</f>
        <v>344.4834955319352</v>
      </c>
      <c r="Y94" s="105">
        <f>X94+Y93</f>
        <v>22025.899590508692</v>
      </c>
    </row>
    <row r="95" spans="9:25" x14ac:dyDescent="0.3">
      <c r="I95" s="109">
        <f>I94+1</f>
        <v>87</v>
      </c>
      <c r="J95" s="108">
        <v>7.6065135749999513E-2</v>
      </c>
      <c r="K95" s="108">
        <v>6.1849884325319016E-2</v>
      </c>
      <c r="M95" s="107">
        <v>1</v>
      </c>
      <c r="N95" s="106">
        <f>$D$13</f>
        <v>1000</v>
      </c>
      <c r="O95" s="106">
        <f>M95*N95</f>
        <v>1000</v>
      </c>
      <c r="P95" s="106">
        <f>$D$20*M95</f>
        <v>800</v>
      </c>
      <c r="Q95" s="105">
        <f>O95-P95</f>
        <v>200</v>
      </c>
      <c r="R95" s="105">
        <f>Q95+R94</f>
        <v>17400</v>
      </c>
      <c r="T95" s="107">
        <f>_xlfn.BINOM.INV($G$11,$G$10,J95)</f>
        <v>0</v>
      </c>
      <c r="U95" s="106">
        <f>_xlfn.NORM.INV(K95,$G$14,$G$15)</f>
        <v>702.11433925854249</v>
      </c>
      <c r="V95" s="106">
        <f>T95*U95</f>
        <v>0</v>
      </c>
      <c r="W95" s="106">
        <f>VLOOKUP(T95,$F$21:$G$24,2,FALSE)</f>
        <v>800</v>
      </c>
      <c r="X95" s="105">
        <f>V95-W95</f>
        <v>-800</v>
      </c>
      <c r="Y95" s="105">
        <f>X95+Y94</f>
        <v>21225.899590508692</v>
      </c>
    </row>
    <row r="96" spans="9:25" x14ac:dyDescent="0.3">
      <c r="I96" s="109">
        <f>I95+1</f>
        <v>88</v>
      </c>
      <c r="J96" s="108">
        <v>0.54680730644927533</v>
      </c>
      <c r="K96" s="108">
        <v>0.40804603691802055</v>
      </c>
      <c r="M96" s="107">
        <v>1</v>
      </c>
      <c r="N96" s="106">
        <f>$D$13</f>
        <v>1000</v>
      </c>
      <c r="O96" s="106">
        <f>M96*N96</f>
        <v>1000</v>
      </c>
      <c r="P96" s="106">
        <f>$D$20*M96</f>
        <v>800</v>
      </c>
      <c r="Q96" s="105">
        <f>O96-P96</f>
        <v>200</v>
      </c>
      <c r="R96" s="105">
        <f>Q96+R95</f>
        <v>17600</v>
      </c>
      <c r="T96" s="107">
        <f>_xlfn.BINOM.INV($G$11,$G$10,J96)</f>
        <v>2</v>
      </c>
      <c r="U96" s="106">
        <f>_xlfn.NORM.INV(K96,$G$14,$G$15)</f>
        <v>963.48516268927369</v>
      </c>
      <c r="V96" s="106">
        <f>T96*U96</f>
        <v>1926.9703253785474</v>
      </c>
      <c r="W96" s="106">
        <f>VLOOKUP(T96,$F$21:$G$24,2,FALSE)</f>
        <v>1550</v>
      </c>
      <c r="X96" s="105">
        <f>V96-W96</f>
        <v>376.97032537854739</v>
      </c>
      <c r="Y96" s="105">
        <f>X96+Y95</f>
        <v>21602.86991588724</v>
      </c>
    </row>
    <row r="97" spans="9:25" x14ac:dyDescent="0.3">
      <c r="I97" s="109">
        <f>I96+1</f>
        <v>89</v>
      </c>
      <c r="J97" s="108">
        <v>0.70721389760061282</v>
      </c>
      <c r="K97" s="108">
        <v>0.13592588447076859</v>
      </c>
      <c r="M97" s="107">
        <v>1</v>
      </c>
      <c r="N97" s="106">
        <f>$D$13</f>
        <v>1000</v>
      </c>
      <c r="O97" s="106">
        <f>M97*N97</f>
        <v>1000</v>
      </c>
      <c r="P97" s="106">
        <f>$D$20*M97</f>
        <v>800</v>
      </c>
      <c r="Q97" s="105">
        <f>O97-P97</f>
        <v>200</v>
      </c>
      <c r="R97" s="105">
        <f>Q97+R96</f>
        <v>17800</v>
      </c>
      <c r="T97" s="107">
        <f>_xlfn.BINOM.INV($G$11,$G$10,J97)</f>
        <v>2</v>
      </c>
      <c r="U97" s="106">
        <f>_xlfn.NORM.INV(K97,$G$14,$G$15)</f>
        <v>790.23837567630812</v>
      </c>
      <c r="V97" s="106">
        <f>T97*U97</f>
        <v>1580.4767513526162</v>
      </c>
      <c r="W97" s="106">
        <f>VLOOKUP(T97,$F$21:$G$24,2,FALSE)</f>
        <v>1550</v>
      </c>
      <c r="X97" s="105">
        <f>V97-W97</f>
        <v>30.476751352616247</v>
      </c>
      <c r="Y97" s="105">
        <f>X97+Y96</f>
        <v>21633.346667239857</v>
      </c>
    </row>
    <row r="98" spans="9:25" x14ac:dyDescent="0.3">
      <c r="I98" s="109">
        <f>I97+1</f>
        <v>90</v>
      </c>
      <c r="J98" s="108">
        <v>0.86840949969534076</v>
      </c>
      <c r="K98" s="108">
        <v>0.50512100767456702</v>
      </c>
      <c r="M98" s="107">
        <v>1</v>
      </c>
      <c r="N98" s="106">
        <f>$D$13</f>
        <v>1000</v>
      </c>
      <c r="O98" s="106">
        <f>M98*N98</f>
        <v>1000</v>
      </c>
      <c r="P98" s="106">
        <f>$D$20*M98</f>
        <v>800</v>
      </c>
      <c r="Q98" s="105">
        <f>O98-P98</f>
        <v>200</v>
      </c>
      <c r="R98" s="105">
        <f>Q98+R97</f>
        <v>18000</v>
      </c>
      <c r="T98" s="107">
        <f>_xlfn.BINOM.INV($G$11,$G$10,J98)</f>
        <v>2</v>
      </c>
      <c r="U98" s="106">
        <f>_xlfn.NORM.INV(K98,$G$14,$G$15)</f>
        <v>1012.5673630345746</v>
      </c>
      <c r="V98" s="106">
        <f>T98*U98</f>
        <v>2025.1347260691491</v>
      </c>
      <c r="W98" s="106">
        <f>VLOOKUP(T98,$F$21:$G$24,2,FALSE)</f>
        <v>1550</v>
      </c>
      <c r="X98" s="105">
        <f>V98-W98</f>
        <v>475.13472606914911</v>
      </c>
      <c r="Y98" s="105">
        <f>X98+Y97</f>
        <v>22108.481393309004</v>
      </c>
    </row>
    <row r="99" spans="9:25" x14ac:dyDescent="0.3">
      <c r="I99" s="109">
        <f>I98+1</f>
        <v>91</v>
      </c>
      <c r="J99" s="108">
        <v>0.53719876826773083</v>
      </c>
      <c r="K99" s="108">
        <v>0.28679990401840083</v>
      </c>
      <c r="M99" s="107">
        <v>1</v>
      </c>
      <c r="N99" s="106">
        <f>$D$13</f>
        <v>1000</v>
      </c>
      <c r="O99" s="106">
        <f>M99*N99</f>
        <v>1000</v>
      </c>
      <c r="P99" s="106">
        <f>$D$20*M99</f>
        <v>800</v>
      </c>
      <c r="Q99" s="105">
        <f>O99-P99</f>
        <v>200</v>
      </c>
      <c r="R99" s="105">
        <f>Q99+R98</f>
        <v>18200</v>
      </c>
      <c r="T99" s="107">
        <f>_xlfn.BINOM.INV($G$11,$G$10,J99)</f>
        <v>2</v>
      </c>
      <c r="U99" s="106">
        <f>_xlfn.NORM.INV(K99,$G$14,$G$15)</f>
        <v>897.44843657067327</v>
      </c>
      <c r="V99" s="106">
        <f>T99*U99</f>
        <v>1794.8968731413465</v>
      </c>
      <c r="W99" s="106">
        <f>VLOOKUP(T99,$F$21:$G$24,2,FALSE)</f>
        <v>1550</v>
      </c>
      <c r="X99" s="105">
        <f>V99-W99</f>
        <v>244.89687314134653</v>
      </c>
      <c r="Y99" s="105">
        <f>X99+Y98</f>
        <v>22353.378266450352</v>
      </c>
    </row>
    <row r="100" spans="9:25" x14ac:dyDescent="0.3">
      <c r="I100" s="109">
        <f>I99+1</f>
        <v>92</v>
      </c>
      <c r="J100" s="108">
        <v>0.30462681659451185</v>
      </c>
      <c r="K100" s="108">
        <v>0.32992802823023271</v>
      </c>
      <c r="M100" s="107">
        <v>1</v>
      </c>
      <c r="N100" s="106">
        <f>$D$13</f>
        <v>1000</v>
      </c>
      <c r="O100" s="106">
        <f>M100*N100</f>
        <v>1000</v>
      </c>
      <c r="P100" s="106">
        <f>$D$20*M100</f>
        <v>800</v>
      </c>
      <c r="Q100" s="105">
        <f>O100-P100</f>
        <v>200</v>
      </c>
      <c r="R100" s="105">
        <f>Q100+R99</f>
        <v>18400</v>
      </c>
      <c r="T100" s="107">
        <f>_xlfn.BINOM.INV($G$11,$G$10,J100)</f>
        <v>1</v>
      </c>
      <c r="U100" s="106">
        <f>_xlfn.NORM.INV(K100,$G$14,$G$15)</f>
        <v>921.97761804776951</v>
      </c>
      <c r="V100" s="106">
        <f>T100*U100</f>
        <v>921.97761804776951</v>
      </c>
      <c r="W100" s="106">
        <f>VLOOKUP(T100,$F$21:$G$24,2,FALSE)</f>
        <v>800</v>
      </c>
      <c r="X100" s="105">
        <f>V100-W100</f>
        <v>121.97761804776951</v>
      </c>
      <c r="Y100" s="105">
        <f>X100+Y99</f>
        <v>22475.355884498123</v>
      </c>
    </row>
    <row r="101" spans="9:25" x14ac:dyDescent="0.3">
      <c r="I101" s="109">
        <f>I100+1</f>
        <v>93</v>
      </c>
      <c r="J101" s="108">
        <v>0.61909663563961292</v>
      </c>
      <c r="K101" s="108">
        <v>0.26936829868520085</v>
      </c>
      <c r="M101" s="107">
        <v>1</v>
      </c>
      <c r="N101" s="106">
        <f>$D$13</f>
        <v>1000</v>
      </c>
      <c r="O101" s="106">
        <f>M101*N101</f>
        <v>1000</v>
      </c>
      <c r="P101" s="106">
        <f>$D$20*M101</f>
        <v>800</v>
      </c>
      <c r="Q101" s="105">
        <f>O101-P101</f>
        <v>200</v>
      </c>
      <c r="R101" s="105">
        <f>Q101+R100</f>
        <v>18600</v>
      </c>
      <c r="T101" s="107">
        <f>_xlfn.BINOM.INV($G$11,$G$10,J101)</f>
        <v>2</v>
      </c>
      <c r="U101" s="106">
        <f>_xlfn.NORM.INV(K101,$G$14,$G$15)</f>
        <v>887.05507586524413</v>
      </c>
      <c r="V101" s="106">
        <f>T101*U101</f>
        <v>1774.1101517304883</v>
      </c>
      <c r="W101" s="106">
        <f>VLOOKUP(T101,$F$21:$G$24,2,FALSE)</f>
        <v>1550</v>
      </c>
      <c r="X101" s="105">
        <f>V101-W101</f>
        <v>224.11015173048827</v>
      </c>
      <c r="Y101" s="105">
        <f>X101+Y100</f>
        <v>22699.466036228612</v>
      </c>
    </row>
    <row r="102" spans="9:25" x14ac:dyDescent="0.3">
      <c r="I102" s="109">
        <f>I101+1</f>
        <v>94</v>
      </c>
      <c r="J102" s="108">
        <v>0.90966820697061845</v>
      </c>
      <c r="K102" s="108">
        <v>0.83605031525397111</v>
      </c>
      <c r="M102" s="107">
        <v>1</v>
      </c>
      <c r="N102" s="106">
        <f>$D$13</f>
        <v>1000</v>
      </c>
      <c r="O102" s="106">
        <f>M102*N102</f>
        <v>1000</v>
      </c>
      <c r="P102" s="106">
        <f>$D$20*M102</f>
        <v>800</v>
      </c>
      <c r="Q102" s="105">
        <f>O102-P102</f>
        <v>200</v>
      </c>
      <c r="R102" s="105">
        <f>Q102+R101</f>
        <v>18800</v>
      </c>
      <c r="T102" s="107">
        <f>_xlfn.BINOM.INV($G$11,$G$10,J102)</f>
        <v>3</v>
      </c>
      <c r="U102" s="106">
        <f>_xlfn.NORM.INV(K102,$G$14,$G$15)</f>
        <v>1205.6707600751174</v>
      </c>
      <c r="V102" s="106">
        <f>T102*U102</f>
        <v>3617.0122802253522</v>
      </c>
      <c r="W102" s="106">
        <f>VLOOKUP(T102,$F$21:$G$24,2,FALSE)</f>
        <v>2300</v>
      </c>
      <c r="X102" s="105">
        <f>V102-W102</f>
        <v>1317.0122802253522</v>
      </c>
      <c r="Y102" s="105">
        <f>X102+Y101</f>
        <v>24016.478316453966</v>
      </c>
    </row>
    <row r="103" spans="9:25" x14ac:dyDescent="0.3">
      <c r="I103" s="109">
        <f>I102+1</f>
        <v>95</v>
      </c>
      <c r="J103" s="108">
        <v>0.50048185132291712</v>
      </c>
      <c r="K103" s="108">
        <v>0.16109618252544555</v>
      </c>
      <c r="M103" s="107">
        <v>1</v>
      </c>
      <c r="N103" s="106">
        <f>$D$13</f>
        <v>1000</v>
      </c>
      <c r="O103" s="106">
        <f>M103*N103</f>
        <v>1000</v>
      </c>
      <c r="P103" s="106">
        <f>$D$20*M103</f>
        <v>800</v>
      </c>
      <c r="Q103" s="105">
        <f>O103-P103</f>
        <v>200</v>
      </c>
      <c r="R103" s="105">
        <f>Q103+R102</f>
        <v>19000</v>
      </c>
      <c r="T103" s="107">
        <f>_xlfn.BINOM.INV($G$11,$G$10,J103)</f>
        <v>2</v>
      </c>
      <c r="U103" s="106">
        <f>_xlfn.NORM.INV(K103,$G$14,$G$15)</f>
        <v>812.00746579888312</v>
      </c>
      <c r="V103" s="106">
        <f>T103*U103</f>
        <v>1624.0149315977662</v>
      </c>
      <c r="W103" s="106">
        <f>VLOOKUP(T103,$F$21:$G$24,2,FALSE)</f>
        <v>1550</v>
      </c>
      <c r="X103" s="105">
        <f>V103-W103</f>
        <v>74.014931597766235</v>
      </c>
      <c r="Y103" s="105">
        <f>X103+Y102</f>
        <v>24090.493248051731</v>
      </c>
    </row>
    <row r="104" spans="9:25" x14ac:dyDescent="0.3">
      <c r="I104" s="109">
        <f>I103+1</f>
        <v>96</v>
      </c>
      <c r="J104" s="108">
        <v>0.54400569056264148</v>
      </c>
      <c r="K104" s="108">
        <v>0.34548073900054865</v>
      </c>
      <c r="M104" s="107">
        <v>1</v>
      </c>
      <c r="N104" s="106">
        <f>$D$13</f>
        <v>1000</v>
      </c>
      <c r="O104" s="106">
        <f>M104*N104</f>
        <v>1000</v>
      </c>
      <c r="P104" s="106">
        <f>$D$20*M104</f>
        <v>800</v>
      </c>
      <c r="Q104" s="105">
        <f>O104-P104</f>
        <v>200</v>
      </c>
      <c r="R104" s="105">
        <f>Q104+R103</f>
        <v>19200</v>
      </c>
      <c r="T104" s="107">
        <f>_xlfn.BINOM.INV($G$11,$G$10,J104)</f>
        <v>2</v>
      </c>
      <c r="U104" s="106">
        <f>_xlfn.NORM.INV(K104,$G$14,$G$15)</f>
        <v>930.48987923810455</v>
      </c>
      <c r="V104" s="106">
        <f>T104*U104</f>
        <v>1860.9797584762091</v>
      </c>
      <c r="W104" s="106">
        <f>VLOOKUP(T104,$F$21:$G$24,2,FALSE)</f>
        <v>1550</v>
      </c>
      <c r="X104" s="105">
        <f>V104-W104</f>
        <v>310.9797584762091</v>
      </c>
      <c r="Y104" s="105">
        <f>X104+Y103</f>
        <v>24401.47300652794</v>
      </c>
    </row>
    <row r="105" spans="9:25" x14ac:dyDescent="0.3">
      <c r="I105" s="109">
        <f>I104+1</f>
        <v>97</v>
      </c>
      <c r="J105" s="108">
        <v>0.60040279698893406</v>
      </c>
      <c r="K105" s="108">
        <v>0.1833865896656599</v>
      </c>
      <c r="M105" s="107">
        <v>1</v>
      </c>
      <c r="N105" s="106">
        <f>$D$13</f>
        <v>1000</v>
      </c>
      <c r="O105" s="106">
        <f>M105*N105</f>
        <v>1000</v>
      </c>
      <c r="P105" s="106">
        <f>$D$20*M105</f>
        <v>800</v>
      </c>
      <c r="Q105" s="105">
        <f>O105-P105</f>
        <v>200</v>
      </c>
      <c r="R105" s="105">
        <f>Q105+R104</f>
        <v>19400</v>
      </c>
      <c r="T105" s="107">
        <f>_xlfn.BINOM.INV($G$11,$G$10,J105)</f>
        <v>2</v>
      </c>
      <c r="U105" s="106">
        <f>_xlfn.NORM.INV(K105,$G$14,$G$15)</f>
        <v>829.49316636051049</v>
      </c>
      <c r="V105" s="106">
        <f>T105*U105</f>
        <v>1658.986332721021</v>
      </c>
      <c r="W105" s="106">
        <f>VLOOKUP(T105,$F$21:$G$24,2,FALSE)</f>
        <v>1550</v>
      </c>
      <c r="X105" s="105">
        <f>V105-W105</f>
        <v>108.98633272102097</v>
      </c>
      <c r="Y105" s="105">
        <f>X105+Y104</f>
        <v>24510.459339248962</v>
      </c>
    </row>
    <row r="106" spans="9:25" x14ac:dyDescent="0.3">
      <c r="I106" s="109">
        <f>I105+1</f>
        <v>98</v>
      </c>
      <c r="J106" s="108">
        <v>0.1529517577191799</v>
      </c>
      <c r="K106" s="108">
        <v>0.89086872022671793</v>
      </c>
      <c r="M106" s="107">
        <v>1</v>
      </c>
      <c r="N106" s="106">
        <f>$D$13</f>
        <v>1000</v>
      </c>
      <c r="O106" s="106">
        <f>M106*N106</f>
        <v>1000</v>
      </c>
      <c r="P106" s="106">
        <f>$D$20*M106</f>
        <v>800</v>
      </c>
      <c r="Q106" s="105">
        <f>O106-P106</f>
        <v>200</v>
      </c>
      <c r="R106" s="105">
        <f>Q106+R105</f>
        <v>19600</v>
      </c>
      <c r="T106" s="107">
        <f>_xlfn.BINOM.INV($G$11,$G$10,J106)</f>
        <v>1</v>
      </c>
      <c r="U106" s="106">
        <f>_xlfn.NORM.INV(K106,$G$14,$G$15)</f>
        <v>1256.2322508318327</v>
      </c>
      <c r="V106" s="106">
        <f>T106*U106</f>
        <v>1256.2322508318327</v>
      </c>
      <c r="W106" s="106">
        <f>VLOOKUP(T106,$F$21:$G$24,2,FALSE)</f>
        <v>800</v>
      </c>
      <c r="X106" s="105">
        <f>V106-W106</f>
        <v>456.23225083183274</v>
      </c>
      <c r="Y106" s="105">
        <f>X106+Y105</f>
        <v>24966.691590080794</v>
      </c>
    </row>
    <row r="107" spans="9:25" x14ac:dyDescent="0.3">
      <c r="I107" s="109">
        <f>I106+1</f>
        <v>99</v>
      </c>
      <c r="J107" s="108">
        <v>0.1846176917537673</v>
      </c>
      <c r="K107" s="108">
        <v>0.67692445043996574</v>
      </c>
      <c r="M107" s="107">
        <v>1</v>
      </c>
      <c r="N107" s="106">
        <f>$D$13</f>
        <v>1000</v>
      </c>
      <c r="O107" s="106">
        <f>M107*N107</f>
        <v>1000</v>
      </c>
      <c r="P107" s="106">
        <f>$D$20*M107</f>
        <v>800</v>
      </c>
      <c r="Q107" s="105">
        <f>O107-P107</f>
        <v>200</v>
      </c>
      <c r="R107" s="105">
        <f>Q107+R106</f>
        <v>19800</v>
      </c>
      <c r="T107" s="107">
        <f>_xlfn.BINOM.INV($G$11,$G$10,J107)</f>
        <v>1</v>
      </c>
      <c r="U107" s="106">
        <f>_xlfn.NORM.INV(K107,$G$14,$G$15)</f>
        <v>1101.8231354828756</v>
      </c>
      <c r="V107" s="106">
        <f>T107*U107</f>
        <v>1101.8231354828756</v>
      </c>
      <c r="W107" s="106">
        <f>VLOOKUP(T107,$F$21:$G$24,2,FALSE)</f>
        <v>800</v>
      </c>
      <c r="X107" s="105">
        <f>V107-W107</f>
        <v>301.82313548287561</v>
      </c>
      <c r="Y107" s="105">
        <f>X107+Y106</f>
        <v>25268.514725563669</v>
      </c>
    </row>
    <row r="108" spans="9:25" x14ac:dyDescent="0.3">
      <c r="I108" s="109">
        <f>I107+1</f>
        <v>100</v>
      </c>
      <c r="J108" s="108">
        <v>0.2371202142784461</v>
      </c>
      <c r="K108" s="108">
        <v>8.4458499169097756E-3</v>
      </c>
      <c r="M108" s="107">
        <v>1</v>
      </c>
      <c r="N108" s="106">
        <f>$D$13</f>
        <v>1000</v>
      </c>
      <c r="O108" s="106">
        <f>M108*N108</f>
        <v>1000</v>
      </c>
      <c r="P108" s="106">
        <f>$D$20*M108</f>
        <v>800</v>
      </c>
      <c r="Q108" s="105">
        <f>O108-P108</f>
        <v>200</v>
      </c>
      <c r="R108" s="105">
        <f>Q108+R107</f>
        <v>20000</v>
      </c>
      <c r="T108" s="107">
        <f>_xlfn.BINOM.INV($G$11,$G$10,J108)</f>
        <v>1</v>
      </c>
      <c r="U108" s="106">
        <f>_xlfn.NORM.INV(K108,$G$14,$G$15)</f>
        <v>532.1886800684922</v>
      </c>
      <c r="V108" s="106">
        <f>T108*U108</f>
        <v>532.1886800684922</v>
      </c>
      <c r="W108" s="106">
        <f>VLOOKUP(T108,$F$21:$G$24,2,FALSE)</f>
        <v>800</v>
      </c>
      <c r="X108" s="105">
        <f>V108-W108</f>
        <v>-267.8113199315078</v>
      </c>
      <c r="Y108" s="105">
        <f>X108+Y107</f>
        <v>25000.703405632161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Q1 d(i)</vt:lpstr>
      <vt:lpstr>Q1 e</vt:lpstr>
      <vt:lpstr>Q1 f (i)(ii)</vt:lpstr>
      <vt:lpstr>ITEM (COMPLETE)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Mark Dulceak</cp:lastModifiedBy>
  <cp:lastPrinted>2024-05-26T19:35:02Z</cp:lastPrinted>
  <dcterms:created xsi:type="dcterms:W3CDTF">2024-01-15T18:39:37Z</dcterms:created>
  <dcterms:modified xsi:type="dcterms:W3CDTF">2024-07-23T16:25:14Z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0dd5db4b-78fb-42ac-8616-2bbd1a698c72_Enabled">
    <vt:lpwstr>true</vt:lpwstr>
  </property>
  <property fmtid="{D5CDD505-2E9C-101B-9397-08002B2CF9AE}" pid="5" name="MSIP_Label_0dd5db4b-78fb-42ac-8616-2bbd1a698c72_SetDate">
    <vt:lpwstr>2024-07-17T16:11:46Z</vt:lpwstr>
  </property>
  <property fmtid="{D5CDD505-2E9C-101B-9397-08002B2CF9AE}" pid="6" name="MSIP_Label_0dd5db4b-78fb-42ac-8616-2bbd1a698c72_Method">
    <vt:lpwstr>Privileged</vt:lpwstr>
  </property>
  <property fmtid="{D5CDD505-2E9C-101B-9397-08002B2CF9AE}" pid="7" name="MSIP_Label_0dd5db4b-78fb-42ac-8616-2bbd1a698c72_Name">
    <vt:lpwstr>EXTERNAL</vt:lpwstr>
  </property>
  <property fmtid="{D5CDD505-2E9C-101B-9397-08002B2CF9AE}" pid="8" name="MSIP_Label_0dd5db4b-78fb-42ac-8616-2bbd1a698c72_SiteId">
    <vt:lpwstr>5d3e2773-e07f-4432-a630-1a0f68a28a05</vt:lpwstr>
  </property>
  <property fmtid="{D5CDD505-2E9C-101B-9397-08002B2CF9AE}" pid="9" name="MSIP_Label_0dd5db4b-78fb-42ac-8616-2bbd1a698c72_ActionId">
    <vt:lpwstr>69e22f61-8d9b-42dc-8a78-df15217b292d</vt:lpwstr>
  </property>
  <property fmtid="{D5CDD505-2E9C-101B-9397-08002B2CF9AE}" pid="10" name="MSIP_Label_0dd5db4b-78fb-42ac-8616-2bbd1a698c72_ContentBits">
    <vt:lpwstr>0</vt:lpwstr>
  </property>
</Properties>
</file>