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U:\Solutions\May 2024 Solutions\GH DP\"/>
    </mc:Choice>
  </mc:AlternateContent>
  <xr:revisionPtr revIDLastSave="0" documentId="8_{2BB8EAFF-6042-40A4-A8FC-9CAC34805741}" xr6:coauthVersionLast="47" xr6:coauthVersionMax="47" xr10:uidLastSave="{00000000-0000-0000-0000-000000000000}"/>
  <bookViews>
    <workbookView xWindow="-108" yWindow="-108" windowWidth="23256" windowHeight="12456" activeTab="2" xr2:uid="{4DE0A405-97BE-4042-B481-4604990612A5}"/>
  </bookViews>
  <sheets>
    <sheet name="Q01" sheetId="25" r:id="rId1"/>
    <sheet name="Q02" sheetId="46" r:id="rId2"/>
    <sheet name="Q03" sheetId="39" r:id="rId3"/>
    <sheet name="Q04" sheetId="47" r:id="rId4"/>
    <sheet name="Q05" sheetId="48" r:id="rId5"/>
    <sheet name="Q06" sheetId="55" r:id="rId6"/>
    <sheet name="Q07" sheetId="50" r:id="rId7"/>
    <sheet name="Q08" sheetId="51" r:id="rId8"/>
    <sheet name="Q09" sheetId="5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8" i="55" l="1"/>
  <c r="P113" i="55"/>
  <c r="P114" i="55" s="1"/>
  <c r="O113" i="55"/>
  <c r="O114" i="55" s="1"/>
  <c r="N113" i="55"/>
  <c r="N114" i="55" s="1"/>
  <c r="N117" i="55" s="1"/>
  <c r="N119" i="55" s="1"/>
  <c r="P111" i="55"/>
  <c r="O111" i="55"/>
  <c r="N111" i="55"/>
  <c r="N70" i="55"/>
  <c r="N69" i="55"/>
  <c r="N68" i="55"/>
  <c r="N67" i="55"/>
  <c r="Q53" i="55"/>
  <c r="O53" i="55"/>
  <c r="P53" i="55" s="1"/>
  <c r="Q52" i="55"/>
  <c r="P52" i="55"/>
  <c r="O52" i="55"/>
  <c r="R52" i="55" s="1"/>
  <c r="R51" i="55"/>
  <c r="Q51" i="55"/>
  <c r="Q54" i="55" s="1"/>
  <c r="P51" i="55"/>
  <c r="O51" i="55"/>
  <c r="O54" i="55" s="1"/>
  <c r="Q42" i="55"/>
  <c r="R42" i="55" s="1"/>
  <c r="N59" i="55" s="1"/>
  <c r="P42" i="55"/>
  <c r="O42" i="55"/>
  <c r="P28" i="55"/>
  <c r="Q41" i="55" s="1"/>
  <c r="O28" i="55"/>
  <c r="P41" i="55" s="1"/>
  <c r="N28" i="55"/>
  <c r="O41" i="55" s="1"/>
  <c r="O46" i="55" l="1"/>
  <c r="R41" i="55"/>
  <c r="N60" i="55" s="1"/>
  <c r="O45" i="55"/>
  <c r="O44" i="55"/>
  <c r="O43" i="55"/>
  <c r="O47" i="55"/>
  <c r="Q44" i="55"/>
  <c r="Q43" i="55"/>
  <c r="Q46" i="55"/>
  <c r="Q45" i="55"/>
  <c r="Q47" i="55"/>
  <c r="P46" i="55"/>
  <c r="P47" i="55"/>
  <c r="P44" i="55"/>
  <c r="P48" i="55" s="1"/>
  <c r="P45" i="55"/>
  <c r="P43" i="55"/>
  <c r="P54" i="55"/>
  <c r="R54" i="55" s="1"/>
  <c r="R53" i="55"/>
  <c r="Q48" i="55" l="1"/>
  <c r="R45" i="55"/>
  <c r="Q49" i="55"/>
  <c r="Q55" i="55" s="1"/>
  <c r="R47" i="55"/>
  <c r="O49" i="55"/>
  <c r="R43" i="55"/>
  <c r="R44" i="55"/>
  <c r="O48" i="55"/>
  <c r="P49" i="55"/>
  <c r="P55" i="55" s="1"/>
  <c r="R46" i="55"/>
  <c r="R49" i="55" l="1"/>
  <c r="O55" i="55"/>
  <c r="R55" i="55" s="1"/>
  <c r="N123" i="55" l="1"/>
  <c r="N126" i="55" s="1"/>
  <c r="N58" i="55"/>
  <c r="N61" i="55" s="1"/>
  <c r="N63" i="55" s="1"/>
  <c r="O27" i="52" l="1"/>
  <c r="O25" i="52"/>
  <c r="P24" i="52"/>
  <c r="P21" i="52"/>
  <c r="Q21" i="52" s="1"/>
  <c r="R21" i="52" s="1"/>
  <c r="O21" i="52"/>
  <c r="N21" i="52"/>
  <c r="P20" i="52"/>
  <c r="Q20" i="52" s="1"/>
  <c r="R20" i="52" s="1"/>
  <c r="O20" i="52"/>
  <c r="N20" i="52"/>
  <c r="P19" i="52"/>
  <c r="Q19" i="52" s="1"/>
  <c r="R19" i="52" s="1"/>
  <c r="O19" i="52"/>
  <c r="N19" i="52"/>
  <c r="P18" i="52"/>
  <c r="P27" i="52" s="1"/>
  <c r="Q27" i="52" s="1"/>
  <c r="O18" i="52"/>
  <c r="N18" i="52"/>
  <c r="P17" i="52"/>
  <c r="Q17" i="52" s="1"/>
  <c r="R17" i="52" s="1"/>
  <c r="O17" i="52"/>
  <c r="N17" i="52"/>
  <c r="Q16" i="52"/>
  <c r="R16" i="52" s="1"/>
  <c r="P16" i="52"/>
  <c r="O16" i="52"/>
  <c r="N16" i="52"/>
  <c r="P15" i="52"/>
  <c r="Q15" i="52" s="1"/>
  <c r="O15" i="52"/>
  <c r="N15" i="52"/>
  <c r="P14" i="52"/>
  <c r="P26" i="52" s="1"/>
  <c r="O14" i="52"/>
  <c r="O26" i="52" s="1"/>
  <c r="N14" i="52"/>
  <c r="P13" i="52"/>
  <c r="Q13" i="52" s="1"/>
  <c r="O13" i="52"/>
  <c r="N13" i="52"/>
  <c r="P12" i="52"/>
  <c r="Q12" i="52" s="1"/>
  <c r="R12" i="52" s="1"/>
  <c r="O12" i="52"/>
  <c r="N12" i="52"/>
  <c r="P11" i="52"/>
  <c r="P25" i="52" s="1"/>
  <c r="Q25" i="52" s="1"/>
  <c r="O11" i="52"/>
  <c r="N11" i="52"/>
  <c r="P10" i="52"/>
  <c r="Q10" i="52" s="1"/>
  <c r="R10" i="52" s="1"/>
  <c r="O10" i="52"/>
  <c r="N10" i="52"/>
  <c r="P9" i="52"/>
  <c r="Q9" i="52" s="1"/>
  <c r="O9" i="52"/>
  <c r="N9" i="52"/>
  <c r="P8" i="52"/>
  <c r="Q8" i="52" s="1"/>
  <c r="O8" i="52"/>
  <c r="N8" i="52"/>
  <c r="Q7" i="52"/>
  <c r="P7" i="52"/>
  <c r="O7" i="52"/>
  <c r="N7" i="52"/>
  <c r="P6" i="52"/>
  <c r="Q6" i="52" s="1"/>
  <c r="O6" i="52"/>
  <c r="O24" i="52" s="1"/>
  <c r="N6" i="52"/>
  <c r="Q26" i="52" l="1"/>
  <c r="R26" i="52" s="1"/>
  <c r="Q24" i="52"/>
  <c r="R25" i="52" s="1"/>
  <c r="R13" i="52"/>
  <c r="Q11" i="52"/>
  <c r="R11" i="52" s="1"/>
  <c r="Q14" i="52"/>
  <c r="R14" i="52" s="1"/>
  <c r="Q18" i="52"/>
  <c r="R18" i="52" s="1"/>
  <c r="R15" i="52" l="1"/>
  <c r="R27" i="52"/>
  <c r="B33" i="25" l="1"/>
  <c r="AB19" i="25"/>
  <c r="AA19" i="25"/>
  <c r="Z19" i="25"/>
  <c r="AD19" i="25" s="1"/>
  <c r="AE18" i="25"/>
  <c r="AB18" i="25"/>
  <c r="AA18" i="25"/>
  <c r="Z18" i="25"/>
  <c r="AD18" i="25" s="1"/>
  <c r="AB17" i="25"/>
  <c r="AA17" i="25"/>
  <c r="Z17" i="25"/>
  <c r="AC17" i="25" s="1"/>
  <c r="AE16" i="25"/>
  <c r="AB16" i="25"/>
  <c r="AA16" i="25"/>
  <c r="Z16" i="25"/>
  <c r="AD16" i="25" s="1"/>
  <c r="AB15" i="25"/>
  <c r="AA15" i="25"/>
  <c r="Z15" i="25"/>
  <c r="AE15" i="25" s="1"/>
  <c r="AE14" i="25"/>
  <c r="AB14" i="25"/>
  <c r="AA14" i="25"/>
  <c r="Z14" i="25"/>
  <c r="AD14" i="25" s="1"/>
  <c r="AD13" i="25"/>
  <c r="AA13" i="25"/>
  <c r="Z13" i="25"/>
  <c r="AE13" i="25" s="1"/>
  <c r="N13" i="25"/>
  <c r="AD12" i="25"/>
  <c r="AA12" i="25"/>
  <c r="Z12" i="25"/>
  <c r="AE12" i="25" s="1"/>
  <c r="N12" i="25"/>
  <c r="S12" i="25" s="1"/>
  <c r="T12" i="25" s="1"/>
  <c r="U12" i="25" s="1"/>
  <c r="AD11" i="25"/>
  <c r="AA11" i="25"/>
  <c r="Z11" i="25"/>
  <c r="AC11" i="25" s="1"/>
  <c r="N11" i="25"/>
  <c r="O11" i="25" s="1"/>
  <c r="AD10" i="25"/>
  <c r="AA10" i="25"/>
  <c r="Z10" i="25"/>
  <c r="AC10" i="25" s="1"/>
  <c r="O10" i="25"/>
  <c r="N10" i="25"/>
  <c r="P10" i="25" s="1"/>
  <c r="AD9" i="25"/>
  <c r="AA9" i="25"/>
  <c r="Z9" i="25"/>
  <c r="AE9" i="25" s="1"/>
  <c r="S9" i="25"/>
  <c r="T9" i="25" s="1"/>
  <c r="Q9" i="25"/>
  <c r="O9" i="25"/>
  <c r="N9" i="25"/>
  <c r="AE8" i="25"/>
  <c r="AD8" i="25"/>
  <c r="AC8" i="25"/>
  <c r="AA8" i="25"/>
  <c r="Z8" i="25"/>
  <c r="AB8" i="25" s="1"/>
  <c r="S8" i="25"/>
  <c r="R8" i="25"/>
  <c r="R9" i="25" s="1"/>
  <c r="Q8" i="25"/>
  <c r="O8" i="25"/>
  <c r="N8" i="25"/>
  <c r="Q10" i="25" l="1"/>
  <c r="R10" i="25" s="1"/>
  <c r="R11" i="25" s="1"/>
  <c r="R12" i="25" s="1"/>
  <c r="P13" i="25"/>
  <c r="AF8" i="25"/>
  <c r="AF9" i="25" s="1"/>
  <c r="AF10" i="25" s="1"/>
  <c r="AF11" i="25" s="1"/>
  <c r="AF12" i="25" s="1"/>
  <c r="AF13" i="25" s="1"/>
  <c r="AF14" i="25" s="1"/>
  <c r="AF15" i="25" s="1"/>
  <c r="AF16" i="25" s="1"/>
  <c r="AF17" i="25" s="1"/>
  <c r="AF18" i="25" s="1"/>
  <c r="AF19" i="25" s="1"/>
  <c r="O13" i="25"/>
  <c r="Q11" i="25"/>
  <c r="AB12" i="25"/>
  <c r="AC15" i="25"/>
  <c r="AB9" i="25"/>
  <c r="AD17" i="25"/>
  <c r="AE19" i="25"/>
  <c r="AE10" i="25"/>
  <c r="AE20" i="25" s="1"/>
  <c r="O12" i="25"/>
  <c r="AB13" i="25"/>
  <c r="AB11" i="25"/>
  <c r="AC13" i="25"/>
  <c r="AC19" i="25"/>
  <c r="AD15" i="25"/>
  <c r="AD20" i="25" s="1"/>
  <c r="AB10" i="25"/>
  <c r="AB20" i="25" s="1"/>
  <c r="AE17" i="25"/>
  <c r="AE11" i="25"/>
  <c r="AC14" i="25"/>
  <c r="AC20" i="25" s="1"/>
  <c r="AC16" i="25"/>
  <c r="AC18" i="25"/>
  <c r="T8" i="25"/>
  <c r="AC12" i="25"/>
  <c r="AC9" i="25"/>
  <c r="U8" i="25" l="1"/>
  <c r="U9" i="25" s="1"/>
  <c r="Q13" i="25"/>
  <c r="S10" i="25" l="1"/>
  <c r="T10" i="25" l="1"/>
  <c r="T13" i="25" l="1"/>
  <c r="U10" i="25"/>
  <c r="U13" i="25" l="1"/>
  <c r="S11" i="25"/>
  <c r="S13" i="25" s="1"/>
  <c r="W7" i="51" l="1"/>
  <c r="V7" i="51"/>
  <c r="X7" i="51" s="1"/>
  <c r="O16" i="51" s="1"/>
  <c r="U7" i="51"/>
  <c r="T7" i="51"/>
  <c r="W6" i="51"/>
  <c r="Y6" i="51" s="1"/>
  <c r="O25" i="51" s="1"/>
  <c r="V6" i="51"/>
  <c r="X6" i="51" s="1"/>
  <c r="O15" i="51" s="1"/>
  <c r="U6" i="51"/>
  <c r="T6" i="51"/>
  <c r="W5" i="51"/>
  <c r="V5" i="51"/>
  <c r="U5" i="51"/>
  <c r="T5" i="51"/>
  <c r="P14" i="51" s="1"/>
  <c r="W4" i="51"/>
  <c r="P23" i="51" s="1"/>
  <c r="V4" i="51"/>
  <c r="P13" i="51" s="1"/>
  <c r="U4" i="51"/>
  <c r="T4" i="51"/>
  <c r="T8" i="51" s="1"/>
  <c r="P16" i="51" l="1"/>
  <c r="P26" i="51"/>
  <c r="U8" i="51"/>
  <c r="P15" i="51"/>
  <c r="Y4" i="51"/>
  <c r="V8" i="51"/>
  <c r="P24" i="51"/>
  <c r="O23" i="51"/>
  <c r="Y5" i="51"/>
  <c r="O24" i="51" s="1"/>
  <c r="X4" i="51"/>
  <c r="P25" i="51"/>
  <c r="W8" i="51"/>
  <c r="Y7" i="51"/>
  <c r="O26" i="51" s="1"/>
  <c r="X5" i="51"/>
  <c r="O14" i="51" s="1"/>
  <c r="X8" i="51" l="1"/>
  <c r="X9" i="51" s="1"/>
  <c r="O13" i="51"/>
  <c r="O17" i="51" s="1"/>
  <c r="Y8" i="51"/>
  <c r="Y9" i="51" s="1"/>
  <c r="O27" i="51"/>
  <c r="N80" i="50"/>
  <c r="M79" i="50"/>
  <c r="N77" i="50"/>
  <c r="M77" i="50"/>
  <c r="Q61" i="50"/>
  <c r="P61" i="50"/>
  <c r="R55" i="50"/>
  <c r="Q58" i="50" s="1"/>
  <c r="Q55" i="50"/>
  <c r="P55" i="50"/>
  <c r="Q54" i="50"/>
  <c r="R53" i="50"/>
  <c r="Q60" i="50" s="1"/>
  <c r="F43" i="50"/>
  <c r="F42" i="50"/>
  <c r="F41" i="50"/>
  <c r="F40" i="50"/>
  <c r="F39" i="50"/>
  <c r="R4" i="50" s="1"/>
  <c r="Q38" i="50"/>
  <c r="F38" i="50"/>
  <c r="F37" i="50"/>
  <c r="Q36" i="50"/>
  <c r="P36" i="50"/>
  <c r="F36" i="50"/>
  <c r="Q35" i="50"/>
  <c r="P35" i="50"/>
  <c r="Q34" i="50"/>
  <c r="P34" i="50"/>
  <c r="Q33" i="50"/>
  <c r="P33" i="50"/>
  <c r="Q32" i="50"/>
  <c r="P32" i="50"/>
  <c r="Q31" i="50"/>
  <c r="P31" i="50"/>
  <c r="Q30" i="50"/>
  <c r="P30" i="50"/>
  <c r="Q29" i="50"/>
  <c r="P29" i="50"/>
  <c r="Q28" i="50"/>
  <c r="P28" i="50"/>
  <c r="Q27" i="50"/>
  <c r="Q37" i="50" s="1"/>
  <c r="Q39" i="50" s="1"/>
  <c r="P27" i="50"/>
  <c r="Q21" i="50"/>
  <c r="Q20" i="50"/>
  <c r="Q22" i="50" s="1"/>
  <c r="Q47" i="50" s="1"/>
  <c r="Q19" i="50"/>
  <c r="P19" i="50"/>
  <c r="Q18" i="50"/>
  <c r="P18" i="50"/>
  <c r="Q17" i="50"/>
  <c r="P17" i="50"/>
  <c r="Q16" i="50"/>
  <c r="P16" i="50"/>
  <c r="Q15" i="50"/>
  <c r="P15" i="50"/>
  <c r="Q14" i="50"/>
  <c r="P14" i="50"/>
  <c r="Q13" i="50"/>
  <c r="P13" i="50"/>
  <c r="Q12" i="50"/>
  <c r="P12" i="50"/>
  <c r="Q11" i="50"/>
  <c r="P11" i="50"/>
  <c r="Q10" i="50"/>
  <c r="P10" i="50"/>
  <c r="P4" i="50"/>
  <c r="N4" i="50"/>
  <c r="N42" i="50" l="1"/>
  <c r="Q56" i="50"/>
  <c r="Q57" i="50"/>
  <c r="P53" i="50"/>
  <c r="Q53" i="50"/>
  <c r="Q59" i="50"/>
  <c r="P52" i="50"/>
  <c r="Q52" i="50"/>
  <c r="Q62" i="50" s="1"/>
  <c r="Q64" i="50" s="1"/>
  <c r="N67" i="50" s="1"/>
  <c r="P59" i="50"/>
  <c r="N79" i="50"/>
  <c r="P60" i="50"/>
  <c r="P56" i="50"/>
  <c r="P57" i="50"/>
  <c r="P58" i="50"/>
  <c r="P54" i="50"/>
  <c r="N81" i="50" l="1"/>
  <c r="N73" i="50"/>
  <c r="M81" i="50"/>
  <c r="N71" i="50"/>
  <c r="T152" i="48" l="1"/>
  <c r="R152" i="48"/>
  <c r="S150" i="48"/>
  <c r="R150" i="48"/>
  <c r="R143" i="48"/>
  <c r="S143" i="48" s="1"/>
  <c r="T143" i="48" s="1"/>
  <c r="N146" i="48" s="1"/>
  <c r="N109" i="48"/>
  <c r="O108" i="48"/>
  <c r="N108" i="48"/>
  <c r="O107" i="48"/>
  <c r="N107" i="48"/>
  <c r="O106" i="48"/>
  <c r="N106" i="48"/>
  <c r="O105" i="48"/>
  <c r="N105" i="48"/>
  <c r="O104" i="48"/>
  <c r="O103" i="48"/>
  <c r="N102" i="48"/>
  <c r="N97" i="48"/>
  <c r="N96" i="48"/>
  <c r="N95" i="48"/>
  <c r="N98" i="48" l="1"/>
  <c r="N104" i="48" s="1"/>
  <c r="P108" i="48"/>
  <c r="P106" i="48"/>
  <c r="P107" i="48"/>
  <c r="T150" i="48"/>
  <c r="U150" i="48" s="1"/>
  <c r="N147" i="48" s="1"/>
  <c r="N142" i="48"/>
  <c r="N103" i="48"/>
  <c r="P103" i="48" s="1"/>
  <c r="O109" i="48"/>
  <c r="P109" i="48"/>
  <c r="N141" i="48"/>
  <c r="N149" i="48" s="1"/>
  <c r="P105" i="48"/>
  <c r="O102" i="48"/>
  <c r="P104" i="48" s="1"/>
  <c r="A43" i="47"/>
  <c r="A44" i="47" s="1"/>
  <c r="A45" i="47" s="1"/>
  <c r="A46" i="47" s="1"/>
  <c r="AG30" i="47"/>
  <c r="AG29" i="47"/>
  <c r="AG28" i="47"/>
  <c r="AG27" i="47"/>
  <c r="AG26" i="47"/>
  <c r="AE26" i="47"/>
  <c r="AE27" i="47" s="1"/>
  <c r="AE28" i="47" s="1"/>
  <c r="AG25" i="47"/>
  <c r="AE25" i="47"/>
  <c r="AG24" i="47"/>
  <c r="AF25" i="47" s="1"/>
  <c r="AF26" i="47" s="1"/>
  <c r="AF27" i="47" s="1"/>
  <c r="AF28" i="47" s="1"/>
  <c r="AF29" i="47" s="1"/>
  <c r="AF30" i="47" s="1"/>
  <c r="AF20" i="47"/>
  <c r="AG20" i="47" s="1"/>
  <c r="AH20" i="47" s="1"/>
  <c r="AI30" i="47" s="1"/>
  <c r="Y20" i="47"/>
  <c r="X20" i="47"/>
  <c r="Z20" i="47" s="1"/>
  <c r="X27" i="47" s="1"/>
  <c r="O20" i="47"/>
  <c r="N20" i="47"/>
  <c r="P20" i="47" s="1"/>
  <c r="AF19" i="47"/>
  <c r="Y19" i="47"/>
  <c r="X19" i="47"/>
  <c r="Z19" i="47" s="1"/>
  <c r="X26" i="47" s="1"/>
  <c r="O19" i="47"/>
  <c r="Y12" i="47" s="1"/>
  <c r="N19" i="47"/>
  <c r="P19" i="47" s="1"/>
  <c r="AG18" i="47"/>
  <c r="AH18" i="47" s="1"/>
  <c r="AI28" i="47" s="1"/>
  <c r="AF18" i="47"/>
  <c r="AG19" i="47" s="1"/>
  <c r="AH19" i="47" s="1"/>
  <c r="AI29" i="47" s="1"/>
  <c r="Y18" i="47"/>
  <c r="Y21" i="47" s="1"/>
  <c r="X18" i="47"/>
  <c r="X21" i="47" s="1"/>
  <c r="Z21" i="47" s="1"/>
  <c r="X28" i="47" s="1"/>
  <c r="O18" i="47"/>
  <c r="O21" i="47" s="1"/>
  <c r="N18" i="47"/>
  <c r="P18" i="47" s="1"/>
  <c r="AF17" i="47"/>
  <c r="AG17" i="47" s="1"/>
  <c r="AH17" i="47" s="1"/>
  <c r="AI27" i="47" s="1"/>
  <c r="AG16" i="47"/>
  <c r="AH16" i="47" s="1"/>
  <c r="AI26" i="47" s="1"/>
  <c r="AF16" i="47"/>
  <c r="AE16" i="47"/>
  <c r="AE17" i="47" s="1"/>
  <c r="AE18" i="47" s="1"/>
  <c r="AF15" i="47"/>
  <c r="AG15" i="47" s="1"/>
  <c r="AH15" i="47" s="1"/>
  <c r="AI25" i="47" s="1"/>
  <c r="AE15" i="47"/>
  <c r="AF14" i="47"/>
  <c r="AG14" i="47" s="1"/>
  <c r="AH14" i="47" s="1"/>
  <c r="AI24" i="47" s="1"/>
  <c r="Y13" i="47"/>
  <c r="O13" i="47"/>
  <c r="P13" i="47" s="1"/>
  <c r="S13" i="47" s="1"/>
  <c r="N13" i="47"/>
  <c r="O12" i="47"/>
  <c r="P12" i="47" s="1"/>
  <c r="S12" i="47" s="1"/>
  <c r="N12" i="47"/>
  <c r="Y11" i="47"/>
  <c r="Y14" i="47" s="1"/>
  <c r="O11" i="47"/>
  <c r="P11" i="47" s="1"/>
  <c r="S11" i="47" s="1"/>
  <c r="N11" i="47"/>
  <c r="P102" i="48" l="1"/>
  <c r="Z13" i="47"/>
  <c r="Y27" i="47" s="1"/>
  <c r="X13" i="47"/>
  <c r="AH28" i="47"/>
  <c r="AJ28" i="47" s="1"/>
  <c r="Z11" i="47"/>
  <c r="Y25" i="47" s="1"/>
  <c r="X11" i="47"/>
  <c r="Z12" i="47"/>
  <c r="Y26" i="47" s="1"/>
  <c r="X12" i="47"/>
  <c r="AH25" i="47"/>
  <c r="AJ25" i="47" s="1"/>
  <c r="AH27" i="47"/>
  <c r="AJ27" i="47" s="1"/>
  <c r="Z26" i="47"/>
  <c r="AH29" i="47"/>
  <c r="AJ29" i="47" s="1"/>
  <c r="AH30" i="47"/>
  <c r="AJ30" i="47" s="1"/>
  <c r="Z27" i="47"/>
  <c r="AH26" i="47"/>
  <c r="AJ26" i="47" s="1"/>
  <c r="Z18" i="47"/>
  <c r="X25" i="47" s="1"/>
  <c r="AH24" i="47"/>
  <c r="AJ24" i="47" s="1"/>
  <c r="N21" i="47"/>
  <c r="P21" i="47" s="1"/>
  <c r="X14" i="47" l="1"/>
  <c r="Z14" i="47" s="1"/>
  <c r="Y28" i="47" s="1"/>
  <c r="Z28" i="47" s="1"/>
  <c r="Z25" i="47"/>
  <c r="N77" i="39" l="1"/>
  <c r="Q76" i="39"/>
  <c r="N16" i="39"/>
  <c r="O12" i="39"/>
  <c r="O6" i="39"/>
  <c r="N6" i="39"/>
  <c r="S5" i="39"/>
  <c r="S4" i="39"/>
  <c r="S6" i="39" s="1"/>
  <c r="S11" i="39" l="1"/>
  <c r="S10" i="39"/>
  <c r="S12" i="39" s="1"/>
  <c r="T6" i="39"/>
  <c r="T5" i="39" s="1"/>
  <c r="N12" i="39"/>
  <c r="U10" i="39" l="1"/>
  <c r="U12" i="39" s="1"/>
  <c r="U6" i="39"/>
  <c r="U11" i="39"/>
  <c r="T4" i="39"/>
  <c r="U4" i="39" s="1"/>
  <c r="U5" i="39"/>
  <c r="N15" i="39" l="1"/>
  <c r="M60" i="46" l="1"/>
  <c r="M61" i="46" s="1"/>
  <c r="Q32" i="46"/>
  <c r="N32" i="46"/>
  <c r="Q31" i="46"/>
  <c r="N31" i="46"/>
  <c r="Q30" i="46"/>
  <c r="N30" i="46"/>
  <c r="Q29" i="46"/>
  <c r="N29" i="46"/>
  <c r="Q28" i="46"/>
  <c r="N28" i="46"/>
  <c r="Q27" i="46"/>
  <c r="N27" i="46"/>
  <c r="Q26" i="46"/>
  <c r="N26" i="46"/>
  <c r="Q25" i="46"/>
  <c r="N25" i="46"/>
  <c r="Q24" i="46"/>
  <c r="N24" i="46"/>
  <c r="M24" i="46"/>
  <c r="M25" i="46" s="1"/>
  <c r="M26" i="46" s="1"/>
  <c r="M27" i="46" s="1"/>
  <c r="M28" i="46" s="1"/>
  <c r="M29" i="46" s="1"/>
  <c r="M30" i="46" s="1"/>
  <c r="M31" i="46" s="1"/>
  <c r="M32" i="46" s="1"/>
  <c r="Q23" i="46"/>
  <c r="N23" i="46"/>
  <c r="M23" i="46"/>
  <c r="Q22" i="46"/>
  <c r="R22" i="46" s="1"/>
  <c r="R23" i="46" s="1"/>
  <c r="R24" i="46" s="1"/>
  <c r="R25" i="46" s="1"/>
  <c r="R26" i="46" s="1"/>
  <c r="R27" i="46" s="1"/>
  <c r="R28" i="46" s="1"/>
  <c r="R29" i="46" s="1"/>
  <c r="R30" i="46" s="1"/>
  <c r="R31" i="46" s="1"/>
  <c r="R32" i="46" s="1"/>
  <c r="N22" i="46"/>
  <c r="O22" i="46" s="1"/>
  <c r="O23" i="46" s="1"/>
  <c r="O24" i="46" s="1"/>
  <c r="O25" i="46" s="1"/>
  <c r="O26" i="46" s="1"/>
  <c r="O27" i="46" s="1"/>
  <c r="O28" i="46" s="1"/>
  <c r="O29" i="46" s="1"/>
  <c r="O30" i="46" s="1"/>
  <c r="O31" i="46" s="1"/>
  <c r="O32" i="46" s="1"/>
  <c r="M7" i="46"/>
  <c r="M8" i="46" s="1"/>
  <c r="Q6" i="46"/>
  <c r="S22" i="46" s="1"/>
  <c r="P6" i="46"/>
  <c r="P7" i="46" s="1"/>
  <c r="P8" i="46" l="1"/>
  <c r="M9" i="46"/>
  <c r="Q8" i="46"/>
  <c r="R6" i="46"/>
  <c r="P22" i="46"/>
  <c r="Q7" i="46"/>
  <c r="M10" i="46" l="1"/>
  <c r="Q9" i="46"/>
  <c r="R8" i="46"/>
  <c r="P9" i="46"/>
  <c r="P23" i="46"/>
  <c r="S23" i="46"/>
  <c r="S24" i="46"/>
  <c r="P24" i="46"/>
  <c r="R7" i="46"/>
  <c r="P25" i="46" l="1"/>
  <c r="S25" i="46"/>
  <c r="R9" i="46"/>
  <c r="P10" i="46"/>
  <c r="Q10" i="46"/>
  <c r="M11" i="46"/>
  <c r="M12" i="46" l="1"/>
  <c r="Q11" i="46"/>
  <c r="R10" i="46"/>
  <c r="P11" i="46"/>
  <c r="P26" i="46"/>
  <c r="S26" i="46"/>
  <c r="Q12" i="46" l="1"/>
  <c r="M13" i="46"/>
  <c r="P12" i="46"/>
  <c r="R11" i="46"/>
  <c r="P27" i="46"/>
  <c r="S27" i="46"/>
  <c r="P13" i="46" l="1"/>
  <c r="R12" i="46"/>
  <c r="M14" i="46"/>
  <c r="Q13" i="46"/>
  <c r="S28" i="46"/>
  <c r="P28" i="46"/>
  <c r="P29" i="46" l="1"/>
  <c r="S29" i="46"/>
  <c r="M15" i="46"/>
  <c r="Q14" i="46"/>
  <c r="P14" i="46"/>
  <c r="R13" i="46"/>
  <c r="S30" i="46" l="1"/>
  <c r="P30" i="46"/>
  <c r="M16" i="46"/>
  <c r="Q16" i="46" s="1"/>
  <c r="Q15" i="46"/>
  <c r="R14" i="46"/>
  <c r="P15" i="46"/>
  <c r="R15" i="46" l="1"/>
  <c r="P16" i="46"/>
  <c r="R16" i="46" s="1"/>
  <c r="R17" i="46" s="1"/>
  <c r="P31" i="46"/>
  <c r="S31" i="46"/>
  <c r="P32" i="46"/>
  <c r="P33" i="46" s="1"/>
  <c r="S32" i="46"/>
  <c r="S33" i="46" s="1"/>
  <c r="A12" i="46" l="1"/>
  <c r="A13" i="46" s="1"/>
  <c r="A14" i="46" s="1"/>
  <c r="A15" i="46" s="1"/>
  <c r="A16" i="46" s="1"/>
  <c r="A17" i="46" s="1"/>
  <c r="A18" i="46" s="1"/>
  <c r="A19" i="46" s="1"/>
  <c r="A20" i="46" s="1"/>
  <c r="A21" i="46" s="1"/>
</calcChain>
</file>

<file path=xl/sharedStrings.xml><?xml version="1.0" encoding="utf-8"?>
<sst xmlns="http://schemas.openxmlformats.org/spreadsheetml/2006/main" count="1141" uniqueCount="643">
  <si>
    <t>ANSWER:</t>
  </si>
  <si>
    <t>Question 1</t>
  </si>
  <si>
    <t>END OF QUESTION</t>
  </si>
  <si>
    <t>(8 points)</t>
  </si>
  <si>
    <t>Question 2</t>
  </si>
  <si>
    <t>Question 3</t>
  </si>
  <si>
    <t>(7 points)</t>
  </si>
  <si>
    <t>Question 4</t>
  </si>
  <si>
    <t>Question 5</t>
  </si>
  <si>
    <t>Question 6</t>
  </si>
  <si>
    <t>Question 7</t>
  </si>
  <si>
    <t>Question 8</t>
  </si>
  <si>
    <t>(9 points)</t>
  </si>
  <si>
    <t>Question 9</t>
  </si>
  <si>
    <t>The response for part (a) is to be provided in the Word document.</t>
  </si>
  <si>
    <t>You are given:</t>
  </si>
  <si>
    <t>(c)       (2 points)</t>
  </si>
  <si>
    <t>Show your work.</t>
  </si>
  <si>
    <t>(d)       (2 points)</t>
  </si>
  <si>
    <t>N/A</t>
  </si>
  <si>
    <t>(b)       (3 points)</t>
  </si>
  <si>
    <t>The responses for parts (a) and (b) are to be provided in the Word document.</t>
  </si>
  <si>
    <t>(6 points)</t>
  </si>
  <si>
    <t>The response for part (c) is to be provided in the Word document.</t>
  </si>
  <si>
    <t>The responses for parts (a) - (c) are to be provided in the Word document.</t>
  </si>
  <si>
    <t>The response for part (e) is to be provided in the Word document.</t>
  </si>
  <si>
    <t>250-500</t>
  </si>
  <si>
    <t>20X2</t>
  </si>
  <si>
    <t>Factor</t>
  </si>
  <si>
    <t>Area</t>
  </si>
  <si>
    <t>Deductible</t>
  </si>
  <si>
    <t>(d)       (3 points)</t>
  </si>
  <si>
    <t>(e)       (2 points)</t>
  </si>
  <si>
    <t>You are an actuary pricing Medicare Part D.</t>
  </si>
  <si>
    <t>Pre-Inflation Reduction Act (IRA) and Post-IRA Part D Benefit Design</t>
  </si>
  <si>
    <t>Brand</t>
  </si>
  <si>
    <t>Generic</t>
  </si>
  <si>
    <t>Initial Coverage Limit</t>
  </si>
  <si>
    <t xml:space="preserve">    Plan Cost Share</t>
  </si>
  <si>
    <t xml:space="preserve">    Member Cost Share</t>
  </si>
  <si>
    <t xml:space="preserve">    Manuf Cost Share</t>
  </si>
  <si>
    <t>Coverage Gap</t>
  </si>
  <si>
    <t>TrOOP</t>
  </si>
  <si>
    <t>Catastrophic Phase</t>
  </si>
  <si>
    <t xml:space="preserve">    Gov’t Reinsurance</t>
  </si>
  <si>
    <t>Phase / Drug Type</t>
  </si>
  <si>
    <t>Drug Cost</t>
  </si>
  <si>
    <t>Deductible to ICL</t>
  </si>
  <si>
    <t>Donut Hole – Brand</t>
  </si>
  <si>
    <t>Donut Hole – Generic</t>
  </si>
  <si>
    <t>Catastrophic</t>
  </si>
  <si>
    <t>Total</t>
  </si>
  <si>
    <t>Calculate the member cost share and the amount applied to the out of pocket accumulator for Member A given the claims occur in:</t>
  </si>
  <si>
    <t>(i)    2023</t>
  </si>
  <si>
    <t>(ii)   2025</t>
  </si>
  <si>
    <t>(a)       (3 points)</t>
  </si>
  <si>
    <t>A less expensive generic drug is expected to become available in June 2025 for a patent-expired brand drug.</t>
  </si>
  <si>
    <t>Month</t>
  </si>
  <si>
    <t>Drug Costs – Brand</t>
  </si>
  <si>
    <t>Drug Costs – Generic</t>
  </si>
  <si>
    <t>Jan</t>
  </si>
  <si>
    <t>Feb</t>
  </si>
  <si>
    <t>Mar</t>
  </si>
  <si>
    <t>Apr</t>
  </si>
  <si>
    <t>May</t>
  </si>
  <si>
    <t>Jun</t>
  </si>
  <si>
    <t>Jul</t>
  </si>
  <si>
    <t>Aug</t>
  </si>
  <si>
    <t>Sep</t>
  </si>
  <si>
    <t>Oct</t>
  </si>
  <si>
    <t>Nov</t>
  </si>
  <si>
    <t>Dec</t>
  </si>
  <si>
    <t>(i)    Member cost share</t>
  </si>
  <si>
    <t>(ii)   Plan liability</t>
  </si>
  <si>
    <t>(iii)   Manufacturer liability</t>
  </si>
  <si>
    <t>(iv)   Government reinsurance</t>
  </si>
  <si>
    <t>(b)       (2 points)</t>
  </si>
  <si>
    <t>Expected Allowed Claims by Phase for Member A</t>
  </si>
  <si>
    <t>Anticipated 2025 Drug Claims for Member B</t>
  </si>
  <si>
    <t>Calculate the following for 2025 based on the projected claims for Member B:</t>
  </si>
  <si>
    <t>You are an actuary working on critical illness products.</t>
  </si>
  <si>
    <t>You are given the rate manual for a critical illness policy issued to a 40-year-old:</t>
  </si>
  <si>
    <t>10-year Critical Illness Rating Manual</t>
  </si>
  <si>
    <t>Age</t>
  </si>
  <si>
    <t>Claim Costs per 1,000</t>
  </si>
  <si>
    <t>Lapse Rate</t>
  </si>
  <si>
    <t>(a)       (4 points)</t>
  </si>
  <si>
    <t>(i)    Calculate the lifetime present value of claim costs. Show your work.</t>
  </si>
  <si>
    <t>(iv)    Describe considerations when setting lapse rate assumptions for policies sold at the employees’ worksite.</t>
  </si>
  <si>
    <t>(ii)    Create a sensitivity test for the lapse rate.</t>
  </si>
  <si>
    <t>(iii)    Explain the relationship between the lapse rate and the cost of providing coverage.</t>
  </si>
  <si>
    <t>Your client has a group policy that will be renewed next year.</t>
  </si>
  <si>
    <t>Group Credibility</t>
  </si>
  <si>
    <t>Actual to Expected Loss Ratio</t>
  </si>
  <si>
    <t>(b)       (1 point)</t>
  </si>
  <si>
    <t xml:space="preserve">Insurer 2-Choices offers a PPO and an HSA product.
</t>
  </si>
  <si>
    <t>You are given assumptions from Insurer 2-Choices’ rate manual and information on OldCo’s offerings.</t>
  </si>
  <si>
    <t xml:space="preserve">Employer Contribution </t>
  </si>
  <si>
    <t>Projected Enrollment Mix</t>
  </si>
  <si>
    <t>As a % of PPO Premium</t>
  </si>
  <si>
    <t>PPO</t>
  </si>
  <si>
    <t>HSA</t>
  </si>
  <si>
    <t>20%+</t>
  </si>
  <si>
    <t>15 - 19%</t>
  </si>
  <si>
    <t>10-14%</t>
  </si>
  <si>
    <t>Less than 10%</t>
  </si>
  <si>
    <t>Assumed Relative Health Status</t>
  </si>
  <si>
    <t>Enrollment Rate</t>
  </si>
  <si>
    <t xml:space="preserve">PPO </t>
  </si>
  <si>
    <t xml:space="preserve">HSA </t>
  </si>
  <si>
    <t>79%+</t>
  </si>
  <si>
    <t>60 - 79%</t>
  </si>
  <si>
    <t>50 - 59%</t>
  </si>
  <si>
    <t>40 - 49%</t>
  </si>
  <si>
    <t>20 - 39%</t>
  </si>
  <si>
    <t>&lt;20%</t>
  </si>
  <si>
    <t>Annual Pre-Selection Premium Trend:</t>
  </si>
  <si>
    <t>OldCo.</t>
  </si>
  <si>
    <t>Before Selection</t>
  </si>
  <si>
    <t>You are given for OldCo:</t>
  </si>
  <si>
    <t>Pure Premium 20X1</t>
  </si>
  <si>
    <t>Defined Employer Contribution Per Employee Per Month:</t>
  </si>
  <si>
    <t>Non-Benefit Load:</t>
  </si>
  <si>
    <t>None</t>
  </si>
  <si>
    <t>Calculate the effective premium change for the HSA in 20X2 using the following scenarios:</t>
  </si>
  <si>
    <t>(ii)    2-Choices insures the HSA while the PPO is insured by a competitor</t>
  </si>
  <si>
    <t>Annual Lapse</t>
  </si>
  <si>
    <t>Annual change in enrollment</t>
  </si>
  <si>
    <t>Benefit Buy-Down</t>
  </si>
  <si>
    <t>Employer Contribution Per Employee Per Month (as % of Premium)</t>
  </si>
  <si>
    <t>You are given rating information for NewCo.</t>
  </si>
  <si>
    <t>Calculate the amount of buy-down effect per employee that occurs in 20X2. Show your work. arrangement.  Show your work.</t>
  </si>
  <si>
    <t>NewCo. 20X1 MLR</t>
  </si>
  <si>
    <t>20X1 Annual Premium Per Employee</t>
  </si>
  <si>
    <t>20X2 Annual Average Premium Per Employee</t>
  </si>
  <si>
    <t>The responses for part (a) &amp; (b) are to be provided in the Word document.</t>
  </si>
  <si>
    <t>You are an LTC actuary working for the publicly traded company GHI on their experience study team.</t>
  </si>
  <si>
    <t>Initial claim exposure</t>
  </si>
  <si>
    <t>Interest rate</t>
  </si>
  <si>
    <t>Elimination period days</t>
  </si>
  <si>
    <t>Services Provided</t>
  </si>
  <si>
    <t>Care Setting</t>
  </si>
  <si>
    <t>Days per Week</t>
  </si>
  <si>
    <t>Home Health Care</t>
  </si>
  <si>
    <t>Assisted Living Facility</t>
  </si>
  <si>
    <t>Skilled Nursing Facility</t>
  </si>
  <si>
    <t>Pricing Assumptions for Estimated Exposures</t>
  </si>
  <si>
    <t>Max Daily Benefit Amount</t>
  </si>
  <si>
    <t>Max Annual Paid Claims</t>
  </si>
  <si>
    <t>Actual Daily Benefit Amount</t>
  </si>
  <si>
    <t>Daily Benefit Amount</t>
  </si>
  <si>
    <t>Paid Dollars by Year and Care Setting</t>
  </si>
  <si>
    <t>Year</t>
  </si>
  <si>
    <t>Actual Paid Claims</t>
  </si>
  <si>
    <t>Claims Termination by Duration and Industry Cumulative Continuance</t>
  </si>
  <si>
    <t>Duration Month</t>
  </si>
  <si>
    <t>Claim Terminations</t>
  </si>
  <si>
    <t>Industry Cumulative Continuance</t>
  </si>
  <si>
    <t>Calculate the total utilization rates by care setting. Show your work.</t>
  </si>
  <si>
    <t>20X1</t>
  </si>
  <si>
    <t xml:space="preserve">You are given pricing assumptions and benefit amounts:
</t>
  </si>
  <si>
    <t>(ii)    Interpret the results of the actual to expected analysis.</t>
  </si>
  <si>
    <t>(i)    	Develop an actual to expected analysis for the claims termination rates. Show your work.</t>
  </si>
  <si>
    <t>The response for part (f) is to be provided in the Word document.</t>
  </si>
  <si>
    <t>(11 points)</t>
  </si>
  <si>
    <t>Rating Factors</t>
  </si>
  <si>
    <t>Retention</t>
  </si>
  <si>
    <t>Age/Gender Premium Adjustment</t>
  </si>
  <si>
    <t>Claim Adjudication</t>
  </si>
  <si>
    <t>Males under 25</t>
  </si>
  <si>
    <t>Commissions</t>
  </si>
  <si>
    <t>Males 25-40</t>
  </si>
  <si>
    <t>Premium Taxes</t>
  </si>
  <si>
    <t>Males 40 and over</t>
  </si>
  <si>
    <t>Risk &amp; Profit</t>
  </si>
  <si>
    <t>Females under 25</t>
  </si>
  <si>
    <t>Other Administration</t>
  </si>
  <si>
    <t>Females 25-40</t>
  </si>
  <si>
    <t>Females 40 and over</t>
  </si>
  <si>
    <t>Group Size Premium Adjustment</t>
  </si>
  <si>
    <t>Number of Employees</t>
  </si>
  <si>
    <t>Area Adjustment</t>
  </si>
  <si>
    <t>5-9</t>
  </si>
  <si>
    <t>Northeast</t>
  </si>
  <si>
    <t>10-19</t>
  </si>
  <si>
    <t>Southeast</t>
  </si>
  <si>
    <t>20-49</t>
  </si>
  <si>
    <t>Midwest</t>
  </si>
  <si>
    <t>50-74</t>
  </si>
  <si>
    <t>West</t>
  </si>
  <si>
    <t>75-100</t>
  </si>
  <si>
    <t>Southwest</t>
  </si>
  <si>
    <t>Industry Premium Adjustment</t>
  </si>
  <si>
    <t>Contribution/Participation Adjustment</t>
  </si>
  <si>
    <t>Industry</t>
  </si>
  <si>
    <t>Employer Subsidy</t>
  </si>
  <si>
    <t>Employee Participation</t>
  </si>
  <si>
    <t>Hospitals, Home Health, Doctors, etc.</t>
  </si>
  <si>
    <t>0-49.9%</t>
  </si>
  <si>
    <t>Retail, Sales, Marketing, etc.</t>
  </si>
  <si>
    <t>50-100%</t>
  </si>
  <si>
    <t>Finance, Accounting, etc.</t>
  </si>
  <si>
    <t>Construction &amp; Manufacturing</t>
  </si>
  <si>
    <t>All Other</t>
  </si>
  <si>
    <t>Target Loss Ratio</t>
  </si>
  <si>
    <t>Premium and Expenses</t>
  </si>
  <si>
    <t>Premiums</t>
  </si>
  <si>
    <t>Incurred Claims</t>
  </si>
  <si>
    <t>Claim Adjudication Costs</t>
  </si>
  <si>
    <t>Other Administration Costs</t>
  </si>
  <si>
    <t>Premiums and Claims by Group Size</t>
  </si>
  <si>
    <t>Employees</t>
  </si>
  <si>
    <t>Claims</t>
  </si>
  <si>
    <t>Premium and Claims by Age/Gender</t>
  </si>
  <si>
    <t>Age/Gender</t>
  </si>
  <si>
    <t>Premium and Claims by Area</t>
  </si>
  <si>
    <t>Premium and Claims by Industry</t>
  </si>
  <si>
    <t>(c)</t>
  </si>
  <si>
    <t>(i)    Calculate 20X1 profit.  Show your work.</t>
  </si>
  <si>
    <t>(ii)    Create an actual to expected study for each assumption by completing the table provided in the Excel file.  Show your work.</t>
  </si>
  <si>
    <t>(iii)    Interpret the results for each assumption.</t>
  </si>
  <si>
    <t xml:space="preserve">You are pricing a renewal for a high-profile Northeast construction company.  The same employees participate in the plan as the prior year.   </t>
  </si>
  <si>
    <t>You are given rating factors, experience, and guidance from Lead Actuary on setting 20X2 rates.</t>
  </si>
  <si>
    <t>Eligible Employees</t>
  </si>
  <si>
    <t>Participating Employees</t>
  </si>
  <si>
    <t>Males, age 23</t>
  </si>
  <si>
    <t>Females, age 30</t>
  </si>
  <si>
    <t>Males, age 55</t>
  </si>
  <si>
    <t>Employer premium subsidy</t>
  </si>
  <si>
    <t>Guidance from the Lead Actuary on setting 20X2 rates:</t>
  </si>
  <si>
    <t>20X1 Experience</t>
  </si>
  <si>
    <t xml:space="preserve">You are given plan experience.
</t>
  </si>
  <si>
    <t>Credibility Weights</t>
  </si>
  <si>
    <t>Base Rate</t>
  </si>
  <si>
    <t>Group Size</t>
  </si>
  <si>
    <t>Contribution and Employee Participation</t>
  </si>
  <si>
    <t>Use the weights in the table below when calculating revised factors.</t>
  </si>
  <si>
    <t>Weight Given to 20X1 Claims Experience</t>
  </si>
  <si>
    <t>July 1, 20X0 – June 30, 20X1</t>
  </si>
  <si>
    <t>July 1, 20X1 – June 30, 20X2</t>
  </si>
  <si>
    <t>July 1, 20X2 – June 30, 20X3</t>
  </si>
  <si>
    <t>Paid Premium Per Member Per Month (PMPM)</t>
  </si>
  <si>
    <t>Average Number of Insured Members</t>
  </si>
  <si>
    <t>Paid Claims (in $000)</t>
  </si>
  <si>
    <t>IBNR Balance at end of period (in $000)</t>
  </si>
  <si>
    <t>Pooled Premiums (in $000)</t>
  </si>
  <si>
    <t>Pooled Claims (in $000)</t>
  </si>
  <si>
    <t>% of Paid Premium</t>
  </si>
  <si>
    <t>Administration</t>
  </si>
  <si>
    <t>Claims Trend</t>
  </si>
  <si>
    <t>Interest Rate</t>
  </si>
  <si>
    <t>Paid Premium PMPM from July 1, 20X3 to June 30, 20X4</t>
  </si>
  <si>
    <t>Pooling premium PMPM from July 1, 20X3 to June 30, 20X4</t>
  </si>
  <si>
    <t>Pooling premium PMPM from July 1, 20X4 to June 30, 20X5</t>
  </si>
  <si>
    <t>Expected number of insured members for the period from July 1, 20X4 to June 30, 20X5</t>
  </si>
  <si>
    <t>(i)    Client</t>
  </si>
  <si>
    <t>(ii)    Insurer</t>
  </si>
  <si>
    <t>The client has a deficit recovery arrangement where:</t>
  </si>
  <si>
    <t>Calculate the PMPM premium rate for July 1, 20X4 to June 30, 20X5 under the deficit recovery arrangement.  Show your work.</t>
  </si>
  <si>
    <t>Calculate the accumulated surplus or deficit as at June 30, 20X3 from the perspective of the:</t>
  </si>
  <si>
    <t>(c)       (3 points)</t>
  </si>
  <si>
    <t xml:space="preserve">You are consulting for a private employer that wants to emulate the public prescription drug plan for plan year 2024 in Quebec. </t>
  </si>
  <si>
    <t>You are given plan information and experience:</t>
  </si>
  <si>
    <t>2024 Quebec Public Plan</t>
  </si>
  <si>
    <t>Maximum annual premium</t>
  </si>
  <si>
    <t>Monthly deductible</t>
  </si>
  <si>
    <t>Member coinsurance</t>
  </si>
  <si>
    <t>Monthly out of pocket maximum</t>
  </si>
  <si>
    <t>Child coverage premium</t>
  </si>
  <si>
    <t>Child coverage cost share</t>
  </si>
  <si>
    <t>Private plan features</t>
  </si>
  <si>
    <t>Single coverage</t>
  </si>
  <si>
    <t>Family coverage</t>
  </si>
  <si>
    <t>Annual Deductible</t>
  </si>
  <si>
    <t>X</t>
  </si>
  <si>
    <t>2*X</t>
  </si>
  <si>
    <t>Coinsurance</t>
  </si>
  <si>
    <t>Annual Out-of-pocket maximum</t>
  </si>
  <si>
    <t>Y</t>
  </si>
  <si>
    <t>1.5*Y</t>
  </si>
  <si>
    <t>Monthly employee premium</t>
  </si>
  <si>
    <t>Z</t>
  </si>
  <si>
    <t>Ratio of expected plan sponsor costs relative to the expected public plan costs</t>
  </si>
  <si>
    <t>1.00 to 1.05</t>
  </si>
  <si>
    <t>1.25 to 1.30</t>
  </si>
  <si>
    <t>Annual Claim Probability Distribution</t>
  </si>
  <si>
    <t>Adult</t>
  </si>
  <si>
    <t>Child</t>
  </si>
  <si>
    <t>Family</t>
  </si>
  <si>
    <t>Cost range ($)</t>
  </si>
  <si>
    <t>Average Cost</t>
  </si>
  <si>
    <t>Distribution</t>
  </si>
  <si>
    <t>0-250</t>
  </si>
  <si>
    <t>500-1,000</t>
  </si>
  <si>
    <t>1,000-2,000</t>
  </si>
  <si>
    <t>2,000-5,000</t>
  </si>
  <si>
    <t>5,000-10,000</t>
  </si>
  <si>
    <t>10,000-20,000</t>
  </si>
  <si>
    <t>20,000-50,000</t>
  </si>
  <si>
    <t>&gt;50,000</t>
  </si>
  <si>
    <t>Private plan requirements</t>
  </si>
  <si>
    <t>(b)       (5 points)</t>
  </si>
  <si>
    <t xml:space="preserve">(i)    Construct a private employer plan that meets the private plan requirements by proposing values for the annual deductible (X), </t>
  </si>
  <si>
    <t>(ii)	    Verify the plan design meets the private plan requirements.</t>
  </si>
  <si>
    <t>You are given company premium and assumptions.</t>
  </si>
  <si>
    <t>Employee Premium Cost Share</t>
  </si>
  <si>
    <t>Assumptions</t>
  </si>
  <si>
    <t>Benefit</t>
  </si>
  <si>
    <t>Drivers</t>
  </si>
  <si>
    <t>Non-drivers</t>
  </si>
  <si>
    <t>Annual Trend</t>
  </si>
  <si>
    <t>Salary Change</t>
  </si>
  <si>
    <t>Life</t>
  </si>
  <si>
    <t>LTD</t>
  </si>
  <si>
    <t>Health</t>
  </si>
  <si>
    <t>Dental</t>
  </si>
  <si>
    <t>20X1 Total Premiums</t>
  </si>
  <si>
    <t>(d)       (1 point)</t>
  </si>
  <si>
    <t>Calculate the change in the 20X2 company cost for:</t>
  </si>
  <si>
    <t>(i)    Drivers</t>
  </si>
  <si>
    <t>(ii)    Non-drivers</t>
  </si>
  <si>
    <t>Show your work and state your assumptions.</t>
  </si>
  <si>
    <t>The response for parts (e) and (f) are to be provided in the Word document.</t>
  </si>
  <si>
    <t>(i)    Calculate the annual and quarterly year-over-year claims PMPM trends. Show your work.</t>
  </si>
  <si>
    <t>(ii)    Explain the patterns in both annual and quarterly year-over-year claims PMPM trends.</t>
  </si>
  <si>
    <t>The response for parts (d) - (f) are to be provided in the Word document.</t>
  </si>
  <si>
    <t>Insurer 2-Choices offers both the PPO and HSA product to OldCo.</t>
  </si>
  <si>
    <t>You are given claims experience:</t>
  </si>
  <si>
    <t>Claim Experience</t>
  </si>
  <si>
    <t>Quarter</t>
  </si>
  <si>
    <t># of Employees</t>
  </si>
  <si>
    <t># of Members</t>
  </si>
  <si>
    <t>Net Paid Claims</t>
  </si>
  <si>
    <t>1Q 20X1</t>
  </si>
  <si>
    <t>2Q 20X1</t>
  </si>
  <si>
    <t>3Q 20X1</t>
  </si>
  <si>
    <t>4Q 20X1</t>
  </si>
  <si>
    <t>1Q 20X2</t>
  </si>
  <si>
    <t>2Q 20X2</t>
  </si>
  <si>
    <t>3Q 20X2</t>
  </si>
  <si>
    <t>4Q 20X2</t>
  </si>
  <si>
    <t>1Q 20X3</t>
  </si>
  <si>
    <t>2Q 20X3</t>
  </si>
  <si>
    <t>3Q 20X3</t>
  </si>
  <si>
    <t>4Q 20X3</t>
  </si>
  <si>
    <t>1Q 20X4</t>
  </si>
  <si>
    <t>2Q 20X4</t>
  </si>
  <si>
    <t>3Q 20X4</t>
  </si>
  <si>
    <t>4Q 20X4</t>
  </si>
  <si>
    <t>You are given projected drug claims for Member B:</t>
  </si>
  <si>
    <t>(i)</t>
  </si>
  <si>
    <t>(ii)</t>
  </si>
  <si>
    <t>(iii)</t>
  </si>
  <si>
    <t>(iv)</t>
  </si>
  <si>
    <t>(i)    	Develop an actual to expected analysis for the utilization rates for 20X1 and 20X2 combined. Show your work.</t>
  </si>
  <si>
    <t>Experience</t>
  </si>
  <si>
    <t>Pricing</t>
  </si>
  <si>
    <t>Loss Ratio</t>
  </si>
  <si>
    <t>Weight Given to Current Rating Factors</t>
  </si>
  <si>
    <t>Calculate the rate increase based on historical experience. State your assumptions.  Show your work.</t>
  </si>
  <si>
    <t>Annual Discount Factor</t>
  </si>
  <si>
    <t>(i)    	2-Choices insures both the PPO and the HSA</t>
  </si>
  <si>
    <t xml:space="preserve">(4 points)  </t>
  </si>
  <si>
    <t>You are a benefits consultant, working with two employer groups (OldCo and NewCo) and Insurer 2-Choices.</t>
  </si>
  <si>
    <t>annual out-of-pocket maximum (Y), and family monthly employee premium (Z).  Show your work.</t>
  </si>
  <si>
    <t>A</t>
  </si>
  <si>
    <t>i</t>
  </si>
  <si>
    <t>B</t>
  </si>
  <si>
    <t>C = (1-B) * Prior Year Persistency</t>
  </si>
  <si>
    <t>D = (1/1.04)^
(Age - 40 + 1)</t>
  </si>
  <si>
    <t>E=AxCxD</t>
  </si>
  <si>
    <t>Persistency</t>
  </si>
  <si>
    <t>Discount Factor @ 4%</t>
  </si>
  <si>
    <t>PV of Claim Costs</t>
  </si>
  <si>
    <t>Lifetime PV of Claim Costs</t>
  </si>
  <si>
    <t>ii</t>
  </si>
  <si>
    <t>F</t>
  </si>
  <si>
    <t>G = (1-F) * Prior Year Persistency</t>
  </si>
  <si>
    <t>H=AxGxD</t>
  </si>
  <si>
    <t>I</t>
  </si>
  <si>
    <t>J = (1-I) * Prior Year Persistency</t>
  </si>
  <si>
    <t>K=AxLxD</t>
  </si>
  <si>
    <t>+2% lapse rate</t>
  </si>
  <si>
    <t xml:space="preserve">Revised Persistency </t>
  </si>
  <si>
    <t>-2% lapse rate</t>
  </si>
  <si>
    <t>iii</t>
  </si>
  <si>
    <t>When a policy lapses more quickly, the cost of providing coverage decreases because there are fewer policies inforce in the later higher claim years. Consequently, when a policy lapses more slowly, the cost of providing coverage increases.</t>
  </si>
  <si>
    <t>iv</t>
  </si>
  <si>
    <t xml:space="preserve">Since worksite policies are typically paid through payroll deductions, a terminated employee will need to setup a new method of payment if they want to continue the coverage or reevaluate the need for coverage. </t>
  </si>
  <si>
    <t xml:space="preserve">Additionally, since these policies are often issued age-rated, a new policy at a new employer would be more expensive. This causes turbulence in the lapse rates due to employee turnover. </t>
  </si>
  <si>
    <t>Answer: Credibility of the group x (Actual-to-expected loss ratio) + (1-Credibility of the group) x 100%</t>
  </si>
  <si>
    <t>= 35%*1.30+(1-35%)*1.0</t>
  </si>
  <si>
    <t>Rate Increase</t>
  </si>
  <si>
    <t>ER Contribution</t>
  </si>
  <si>
    <t>Contribution %</t>
  </si>
  <si>
    <t>Enrollment</t>
  </si>
  <si>
    <t>Relative Health Status</t>
  </si>
  <si>
    <t>Preliminary Rates</t>
  </si>
  <si>
    <t>Avg. Selection Load</t>
  </si>
  <si>
    <t>Selection Loaded Rates</t>
  </si>
  <si>
    <t>Avg</t>
  </si>
  <si>
    <t>Final</t>
  </si>
  <si>
    <t>20X1 Rates</t>
  </si>
  <si>
    <t>20X2 Rates</t>
  </si>
  <si>
    <t>Plan</t>
  </si>
  <si>
    <t>Rate with Health Status</t>
  </si>
  <si>
    <t>Buydown</t>
  </si>
  <si>
    <t>Dollars Utilization rate = Actual Daily Benefit/Max Daily Benefit</t>
  </si>
  <si>
    <t>Total Utilization Rate = Dollars Utilization Rate * Days Utilization</t>
  </si>
  <si>
    <t>Expected Utilization Rate = Expected Paid/Maximum Paid (same as Total Utilization Rate calculated in (c))</t>
  </si>
  <si>
    <t>Monthly Continuance (Duration t+1) = Cumulative Continuance (Duration t+1) / Cumulative Continuance (Duration t)</t>
  </si>
  <si>
    <t>Note that quoting Expected Utilization from (c) is sufficient to answer the question. Backing into Expected Paid is not necessary to earn full credit. It is only provided for reference.</t>
  </si>
  <si>
    <t>Monthly Claim Termination Rate = 1 - Monthly Continuance Rate</t>
  </si>
  <si>
    <t>Expected Utilization Rates:</t>
  </si>
  <si>
    <t>Claim Exposure (Duration t+1) = Claim Exposure (Duration t) - Termination (Duration t)</t>
  </si>
  <si>
    <t>Max Daily Benefit</t>
  </si>
  <si>
    <t>Actual Daily Benefit</t>
  </si>
  <si>
    <t>Dollars Utilization Rate</t>
  </si>
  <si>
    <t>Days Utilization</t>
  </si>
  <si>
    <t>Total Utilization Rate</t>
  </si>
  <si>
    <t>Expected Paid</t>
  </si>
  <si>
    <t>Maximum Paid</t>
  </si>
  <si>
    <t>Expected Utilization Rate</t>
  </si>
  <si>
    <t>Actual Claim Termination Rate = Claim Terminations/Claim Exposure</t>
  </si>
  <si>
    <t>5/7</t>
  </si>
  <si>
    <t>7/7</t>
  </si>
  <si>
    <t>Calculation of expected claim termination rates</t>
  </si>
  <si>
    <t>Cumulative Continuance</t>
  </si>
  <si>
    <t>Monthly Continuance</t>
  </si>
  <si>
    <t>Claim Termination</t>
  </si>
  <si>
    <t>Alternative solution using Actual Utilization Rates:</t>
  </si>
  <si>
    <t>Actual Utilization Rate = Actual Paid/Maximum Paid</t>
  </si>
  <si>
    <t>Actual Paid</t>
  </si>
  <si>
    <t>Actual Utilization Rate</t>
  </si>
  <si>
    <t>Calculation of actual to expected ratios</t>
  </si>
  <si>
    <t>A:E Analysis</t>
  </si>
  <si>
    <t>Claim Exposure</t>
  </si>
  <si>
    <t>Actual Claim Termination Rate</t>
  </si>
  <si>
    <t>Expected Claim Termination Rate</t>
  </si>
  <si>
    <t>A:E Ratio</t>
  </si>
  <si>
    <t>The actual to expected ratio of 102.3% indicates that the aggregate utilization is emerging higher (unfavorable) to expectations.</t>
  </si>
  <si>
    <t xml:space="preserve">The result may support an adjustment to pricing assumptions, although a deep dive into variance by care setting is warranted. </t>
  </si>
  <si>
    <t>For example, why was assisted living favorable (99.1%) while home health care was susbstantially unfavorable?</t>
  </si>
  <si>
    <t>The actual to expected analysis shows that GHI's claims terminations in durations 1-4 were favorable (&gt;100%) while later durations 5-7 were unfavorable compared to the industry.</t>
  </si>
  <si>
    <t>Given the low claims and termination counts, the credibility of actual experience is low.  Experience should be monitored closely to see if this pattern continues or if results come closer to expected over time.</t>
  </si>
  <si>
    <t>Other answers are acceptable if consistent with the A/E analysis and logically sound.</t>
  </si>
  <si>
    <t>Profit = Premium - Incurred Claims - Expenses from all sources</t>
  </si>
  <si>
    <t>Premium</t>
  </si>
  <si>
    <t>Expenses</t>
  </si>
  <si>
    <t>Profit</t>
  </si>
  <si>
    <t>Difference % or $</t>
  </si>
  <si>
    <t>Interpretation of results:</t>
  </si>
  <si>
    <t>Experienced loss ratio is unfavorable to pricing by 7.5%.</t>
  </si>
  <si>
    <t>We priced a 5% profit load but experienced a loss of 10.2%.  This means one or more of our assumptions was worse than expected.</t>
  </si>
  <si>
    <t>The issues are only slightly offset by lower than expected claims adjudication expenses.</t>
  </si>
  <si>
    <t>Commissions and premium tax assumptions were perfectly met, which is not surprising since they are designed as a fixed percentage of premiums.</t>
  </si>
  <si>
    <t>We also significantly missed on Administrative costs, which was an even larger impact than claims. The company should either consider cost reduction efforts (staff/consultants) or increasing assumptions (premiums) to account for this variance.</t>
  </si>
  <si>
    <t>Incurred claims exceeded the target (given collected premiums) by $900,000, so premiums will have to be increased to meet the 70% loss ratio that is desired.</t>
  </si>
  <si>
    <t>Renewal Increase = base rate change * any factor changes - 1</t>
  </si>
  <si>
    <t>Base Rate Increase</t>
  </si>
  <si>
    <t>Calculate new Industry factors</t>
  </si>
  <si>
    <t>Change in Retention</t>
  </si>
  <si>
    <t>Current</t>
  </si>
  <si>
    <t>New</t>
  </si>
  <si>
    <t>New Factor</t>
  </si>
  <si>
    <t>Age/Gender (no change)</t>
  </si>
  <si>
    <t>Const./Manufact.</t>
  </si>
  <si>
    <t>Group Size (no change)</t>
  </si>
  <si>
    <t>*judging each industry's experience vs. the experienced loss ratio.</t>
  </si>
  <si>
    <t>Area (no change)</t>
  </si>
  <si>
    <t>Weight</t>
  </si>
  <si>
    <t>Change in Industry factor</t>
  </si>
  <si>
    <t>Change in Subsidy &amp; Participation factor</t>
  </si>
  <si>
    <t>Calculate new Employee Participation factors</t>
  </si>
  <si>
    <t>Renewal Increase</t>
  </si>
  <si>
    <t>Total Annual Expected Gross Costs</t>
  </si>
  <si>
    <t>1) Calculate expected public plan cost net of member premium for one adult. Since claims are evenly distributed throughout the year, you may either</t>
  </si>
  <si>
    <t>divide costs by 12 and apply the monthly deductibe and OOP max or multiply the deductible and OOP max by 12 to apply to the annual cost.</t>
  </si>
  <si>
    <t>Annual Claim Probability Distribution (Adult)</t>
  </si>
  <si>
    <t>Public Plan</t>
  </si>
  <si>
    <t>Cost share</t>
  </si>
  <si>
    <t>Plan cost</t>
  </si>
  <si>
    <t>Expected annual plan cost by individual</t>
  </si>
  <si>
    <t>Annual member premium</t>
  </si>
  <si>
    <t>Expected public plan costs net of member contribution</t>
  </si>
  <si>
    <t>C=A-B</t>
  </si>
  <si>
    <t>2) Calculate the expected private plan cost net of employee contribution for one adult based on hypothetical values of deductible X and OOP maximum Y.</t>
  </si>
  <si>
    <t>Private Plan</t>
  </si>
  <si>
    <t>Deductible (X)</t>
  </si>
  <si>
    <t>OOP maximum (Y)</t>
  </si>
  <si>
    <t>Expected annual plan cost per adult</t>
  </si>
  <si>
    <t>D</t>
  </si>
  <si>
    <t>E=$75*12</t>
  </si>
  <si>
    <t>Expected private plan costs net of member contribution</t>
  </si>
  <si>
    <t>F=D-E</t>
  </si>
  <si>
    <t>3) Evaluate the ratio of the expected plan costs net of member contributions of the private plan relative to the public plan for a single adult.</t>
  </si>
  <si>
    <t>F/C=</t>
  </si>
  <si>
    <t>4) Calculate the expected public plan cost net of member premium for a family</t>
  </si>
  <si>
    <t>The expected public plan cost for a child is the total expected gross cost of a child since there is no cost sharing or premium ($425.28 annually).</t>
  </si>
  <si>
    <t>Since you assume a family is 2 adults and 2 children, the expected public plan cost for a family is 2 times $425.28 plus 2 times $374.82 (result in C).</t>
  </si>
  <si>
    <t>G</t>
  </si>
  <si>
    <t>5) Calculate the expected private plan cost net of employee contribution based on X and Y above and a hypothetical value for premium Z</t>
  </si>
  <si>
    <t>Annual Claim Probability Distribution (Family)</t>
  </si>
  <si>
    <t>Deductible (2X)</t>
  </si>
  <si>
    <t>OOP maximum (1.5Y)</t>
  </si>
  <si>
    <t>Expected annual plan cost per family</t>
  </si>
  <si>
    <t>H=SUMPRODUCT of Plan cost and Distribution</t>
  </si>
  <si>
    <t>I=H-Z</t>
  </si>
  <si>
    <t>6) Evaluate the ratio of the expected plan costs net of membre contributions of the private plan relative to the public plan for a family.</t>
  </si>
  <si>
    <t>I/G=</t>
  </si>
  <si>
    <t>Adjust the values of the deductible X and OOP maximum Y until you obtain a resulting ratio between 1.00 and 1.05 in Step 3 above.</t>
  </si>
  <si>
    <t>Is plan constraint respected for single?</t>
  </si>
  <si>
    <t>Adjust the value of the family premium Z until you obtain a resulting ratio between 1.25 and 1.30 in Step 6 above.</t>
  </si>
  <si>
    <t>Is plan constraint respected for family?</t>
  </si>
  <si>
    <t>Suggested private plan that meets all requirements</t>
  </si>
  <si>
    <t>Single</t>
  </si>
  <si>
    <t>Plan Costs</t>
  </si>
  <si>
    <t>Change in drivers</t>
  </si>
  <si>
    <t>Change in non-drivers</t>
  </si>
  <si>
    <t xml:space="preserve">Total </t>
  </si>
  <si>
    <t>Change</t>
  </si>
  <si>
    <t>% Change</t>
  </si>
  <si>
    <t>Assume trends apply to both drivers and non-drivers premiums.</t>
  </si>
  <si>
    <t>(a)</t>
  </si>
  <si>
    <t xml:space="preserve">(b) </t>
  </si>
  <si>
    <t>Member Pays</t>
  </si>
  <si>
    <t>Manuf Pays</t>
  </si>
  <si>
    <t>Amt Applied to TrOOP</t>
  </si>
  <si>
    <t>Accum TrOOP</t>
  </si>
  <si>
    <t>Plan Pays</t>
  </si>
  <si>
    <t>Cumulative OOP</t>
  </si>
  <si>
    <t>phase</t>
  </si>
  <si>
    <t>ded</t>
  </si>
  <si>
    <t>ICL</t>
  </si>
  <si>
    <t>cat</t>
  </si>
  <si>
    <t>Cat</t>
  </si>
  <si>
    <t>Premium and Claims by Employer Subsidy and Participation</t>
  </si>
  <si>
    <t>Assumption</t>
  </si>
  <si>
    <t>Difference</t>
  </si>
  <si>
    <t>Calculate the renewal percentage increase.  Show your work.</t>
  </si>
  <si>
    <t>ANSWER BELOW:</t>
  </si>
  <si>
    <t>July 1, 2019 – June 30, 2020</t>
  </si>
  <si>
    <t>July 1, 2020 – June 30, 2021</t>
  </si>
  <si>
    <t>July 1, 2021 – June 30, 2022</t>
  </si>
  <si>
    <t>Paid Premiums (in $000)</t>
  </si>
  <si>
    <t>The financial arrangement in place with the policyholder is a Deficit Recovery Arrangement where:</t>
  </si>
  <si>
    <t>• Surplus is accumulated over 1 year to offset future deficits.</t>
  </si>
  <si>
    <t>• Deficits are recovered over 2 years.</t>
  </si>
  <si>
    <t>(c) (2 points) Calculate the accumulated surplus/deficit as at June 30, 2022 from the client perspective</t>
  </si>
  <si>
    <t>Retention Fees (% of Paid Premium)</t>
  </si>
  <si>
    <t>Total (in $000)</t>
  </si>
  <si>
    <t>Paid Premiums</t>
  </si>
  <si>
    <t>less Pooled Premiums</t>
  </si>
  <si>
    <t>Experienced Premiums =Paid Premium-Pooled Premium</t>
  </si>
  <si>
    <t>less Administrative Expenses</t>
  </si>
  <si>
    <t>less Claim Adjudication Expenses</t>
  </si>
  <si>
    <t>less Premium Taxes</t>
  </si>
  <si>
    <t>less Risk &amp; Profit</t>
  </si>
  <si>
    <t>Retention total</t>
  </si>
  <si>
    <t>Net Premium</t>
  </si>
  <si>
    <t>Paid Claims</t>
  </si>
  <si>
    <t>less Pooled Claims</t>
  </si>
  <si>
    <t>plus Delta IBNR</t>
  </si>
  <si>
    <t>Surplus / Deficit</t>
  </si>
  <si>
    <t>Accumulated Deficit/Surplus</t>
  </si>
  <si>
    <t>Profit/loss from account experience:</t>
  </si>
  <si>
    <t>Profit/loss from pooled experience (Pooled Premium - Pooled Claim):</t>
  </si>
  <si>
    <t>Risk &amp; Profit (3%) embedded in paid premiums:</t>
  </si>
  <si>
    <t>Total profit/loss for this account:</t>
  </si>
  <si>
    <t>or</t>
  </si>
  <si>
    <t>% of total premium</t>
  </si>
  <si>
    <t>Given</t>
  </si>
  <si>
    <t>Paid Premium PMPM from July 1, 2022 to June 30, 2023</t>
  </si>
  <si>
    <t>Pooling premium PMPM from July 1, 2022 to June 30, 2023</t>
  </si>
  <si>
    <t>Pooling premium PMPM from July 1, 2023 to June 30, 2024</t>
  </si>
  <si>
    <t>Expected number of insured members for the period from July 1, 2023 to June 30, 2024</t>
  </si>
  <si>
    <t>PMPM</t>
  </si>
  <si>
    <t>July 1, 2022 to June 30, 2023</t>
  </si>
  <si>
    <t>Experienced Premiums</t>
  </si>
  <si>
    <t>(1) Adjusted Premiums 07/01/22 - 06/30/23</t>
  </si>
  <si>
    <t>Adjusted Premiums (1)</t>
  </si>
  <si>
    <t>= Experienced Premiums 07/01/19 - 06/30/20 x (PMPM Experienced Premium 07/01/22 - 06/30/23 / PMPM Experienced Premium 07/01/19 - 06/30/20)</t>
  </si>
  <si>
    <t>(2) Trended Claims 07/01/23 - 06/30/24 = Incurred Claims 07/01/19 - 06/30/20 x ((1.05)^4)</t>
  </si>
  <si>
    <t>(from mid experience period to mid projection period)</t>
  </si>
  <si>
    <t>Trended Claims (2) base year to 7/1/2023-6/30/2024</t>
  </si>
  <si>
    <t>Credibility</t>
  </si>
  <si>
    <t>(3) Weighted Loss Ratio= (1/14) x Loss Ratio 07/01/19 - 06/30/20+ (4/14) x Loss Ratio 07/01/20 - 06/30/21+ (9/14) x Loss Ratio 07/01/21 - 06/30/22</t>
  </si>
  <si>
    <t>(4) Target Loss Ratio = 100% – Administration Fees – Claims Fees – Premium Tax – Risk &amp; Profit</t>
  </si>
  <si>
    <t>(5) Renewal Rate Increase = (Weighted Loss Ratio / Target Loss Ratio) - 1</t>
  </si>
  <si>
    <t>Weighted Loss Ratio (3)</t>
  </si>
  <si>
    <t>Target Loss Ratio (4)</t>
  </si>
  <si>
    <t>Renewal Rate Increase (5)</t>
  </si>
  <si>
    <t>(6) Base Premium PMPM= PMPM Experienced Premiums 07/01/22 - 06/30/23 x Renewal Rate Increase</t>
  </si>
  <si>
    <t>PMPM Experienced Premiums 07/01/22 - 06/30/23</t>
  </si>
  <si>
    <t>PMPM Premium Rates for July 1, 2023 to June 30, 2024</t>
  </si>
  <si>
    <t>= PMPM Paid Premium 07/01/22 - 06/30/23 - PMPM Pooled Premium 07/01/22 - 06/30/23</t>
  </si>
  <si>
    <t>Base premium (6)</t>
  </si>
  <si>
    <t>Deficit recovery premium (7)</t>
  </si>
  <si>
    <t>(7) Deficit Recovery Premium= Accumulated Deficit @ 06/30/22 / (Expected # of Insured Members 07/01/23 - 06/30/20 x 24)</t>
  </si>
  <si>
    <t>Pooling premium</t>
  </si>
  <si>
    <t>Total premium</t>
  </si>
  <si>
    <t xml:space="preserve">Alternative Solution </t>
  </si>
  <si>
    <t>Total Net Incurred Claim Costs</t>
  </si>
  <si>
    <t>Incurred Net Claims Costs PMPM</t>
  </si>
  <si>
    <t>Trending Factor to 20X5</t>
  </si>
  <si>
    <t>Trended Incurred Non-pooled Claims PMPM</t>
  </si>
  <si>
    <t>Credibility Blended non-pooled PMPMs</t>
  </si>
  <si>
    <t>20X5 Target Retentions</t>
  </si>
  <si>
    <t>20X5 Premium</t>
  </si>
  <si>
    <t>20X5 Pooling Chrg</t>
  </si>
  <si>
    <t>Accumulated Deficit</t>
  </si>
  <si>
    <t>Expected Enrollment Members</t>
  </si>
  <si>
    <t>Deficit Chrg PMPM over 2 Years</t>
  </si>
  <si>
    <t>Total Gross Premium</t>
  </si>
  <si>
    <t>·      All families include an employee, a spouse, and two children.</t>
  </si>
  <si>
    <t>·      Every adult would pay the maximum premium under the public plan.</t>
  </si>
  <si>
    <t>·      Pharmacy costs are evenly distributed for each month of the year.</t>
  </si>
  <si>
    <t>Non-Drivers</t>
  </si>
  <si>
    <t>20X2 Non Drivers</t>
  </si>
  <si>
    <t>20X2 Drivers</t>
  </si>
  <si>
    <t>20X1 Non Drivers</t>
  </si>
  <si>
    <t>20X1 Drivers</t>
  </si>
  <si>
    <t>Net Paid PMPM</t>
  </si>
  <si>
    <t>Quarterly Year over Year Trend</t>
  </si>
  <si>
    <t># Members</t>
  </si>
  <si>
    <t>Year 1</t>
  </si>
  <si>
    <t>Year 2</t>
  </si>
  <si>
    <t>Year 3</t>
  </si>
  <si>
    <t>Year 4</t>
  </si>
  <si>
    <t>·      In 20X1 and 20X2, the group only offered a copay-based plan design.</t>
  </si>
  <si>
    <t>·      In 4Q 20X2, the employer announced a change to full-replacement CDHP, effective in 20X3.</t>
  </si>
  <si>
    <t>·      No material changes to employee group member characteristics.</t>
  </si>
  <si>
    <r>
      <t xml:space="preserve">·         An observed actuarial phenomenon when a significant plan design is adopted (e.g. total replacement CDHP) is </t>
    </r>
    <r>
      <rPr>
        <b/>
        <sz val="11"/>
        <rFont val="Times New Roman"/>
        <family val="1"/>
      </rPr>
      <t>"rush, hush, crush"</t>
    </r>
  </si>
  <si>
    <t>·         A benefit rush may occur when there is a noticeable change in the benefit package</t>
  </si>
  <si>
    <t>·         The "benefit rush" not only impacts the year before a change is implemented but also has an impact for two years following implementation</t>
  </si>
  <si>
    <t>·         In the year following the implementation, there is a "benefit hush" - claims are lower than they would be on a steady state because of the services that would have been incurred in that time period were incurred during the rush</t>
  </si>
  <si>
    <t>·         In the second year, there is a "trend crush" as claims go back to a more normal level and consumers become more used to the new plan design.  The trend, however is higher than it would have been because it is coming off a lower base</t>
  </si>
  <si>
    <t>ADDITIONAL ANSWERS IN COLUMNS TO THE RIGHT -----&gt;</t>
  </si>
  <si>
    <t>(e ) (3 points) Calculate the PMPM premium rates for the period from July 1, 2023 to June 30, 2024.</t>
  </si>
  <si>
    <t>·      Surplus is accumulated over 1 year to offset future deficits.</t>
  </si>
  <si>
    <t>·      Deficits are recovered over 2 years.</t>
  </si>
  <si>
    <t>Calculate the accumulated surplus/deficit as at June 30, 2022 from the insurer perspective</t>
  </si>
  <si>
    <t>Dates are equivalent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</si>
</sst>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0.000"/>
    <numFmt numFmtId="167" formatCode="_(* #,##0_);_(* \(#,##0\);_(* &quot;-&quot;??_);_(@_)"/>
    <numFmt numFmtId="168" formatCode="_(* #,##0.000_);_(* \(#,##0.000\);_(* &quot;-&quot;??_);_(@_)"/>
    <numFmt numFmtId="169" formatCode="&quot;$&quot;#,##0.00"/>
    <numFmt numFmtId="170" formatCode="0.000"/>
    <numFmt numFmtId="171" formatCode="#,##0.00\ &quot;$&quot;"/>
    <numFmt numFmtId="172" formatCode="#,##0\ &quot;$&quot;"/>
    <numFmt numFmtId="173" formatCode="0.0"/>
  </numFmts>
  <fonts count="25" x14ac:knownFonts="1">
    <font>
      <sz val="11"/>
      <color theme="1"/>
      <name val="Calibri"/>
      <family val="2"/>
      <scheme val="minor"/>
    </font>
    <font>
      <sz val="12"/>
      <color theme="1"/>
      <name val="Times New Roman"/>
      <family val="1"/>
    </font>
    <font>
      <b/>
      <sz val="12"/>
      <color theme="1"/>
      <name val="Times New Roman"/>
      <family val="1"/>
    </font>
    <font>
      <sz val="12"/>
      <name val="Times New Roman"/>
      <family val="1"/>
    </font>
    <font>
      <i/>
      <sz val="12"/>
      <name val="Times New Roman"/>
      <family val="1"/>
    </font>
    <font>
      <sz val="10"/>
      <color rgb="FF000000"/>
      <name val="Arial"/>
      <family val="2"/>
    </font>
    <font>
      <sz val="11"/>
      <color rgb="FF000000"/>
      <name val="Times New Roman"/>
      <family val="1"/>
    </font>
    <font>
      <sz val="11"/>
      <color theme="1"/>
      <name val="Calibri"/>
      <family val="2"/>
      <scheme val="minor"/>
    </font>
    <font>
      <b/>
      <sz val="11"/>
      <color theme="1"/>
      <name val="Times New Roman"/>
      <family val="1"/>
    </font>
    <font>
      <sz val="11"/>
      <color theme="1"/>
      <name val="Times New Roman"/>
      <family val="1"/>
    </font>
    <font>
      <sz val="8"/>
      <name val="Calibri"/>
      <family val="2"/>
      <scheme val="minor"/>
    </font>
    <font>
      <sz val="11"/>
      <name val="Times New Roman"/>
      <family val="1"/>
    </font>
    <font>
      <u/>
      <sz val="11"/>
      <name val="Times New Roman"/>
      <family val="1"/>
    </font>
    <font>
      <b/>
      <sz val="12"/>
      <name val="Times New Roman"/>
      <family val="1"/>
    </font>
    <font>
      <i/>
      <sz val="12"/>
      <color theme="1"/>
      <name val="Times New Roman"/>
      <family val="1"/>
    </font>
    <font>
      <sz val="11"/>
      <color rgb="FFFF0000"/>
      <name val="Times New Roman"/>
      <family val="1"/>
    </font>
    <font>
      <i/>
      <sz val="11"/>
      <name val="Times New Roman"/>
      <family val="1"/>
    </font>
    <font>
      <sz val="11"/>
      <color rgb="FF0000FF"/>
      <name val="Times New Roman"/>
      <family val="1"/>
    </font>
    <font>
      <sz val="11"/>
      <color theme="9" tint="-0.249977111117893"/>
      <name val="Times New Roman"/>
      <family val="1"/>
    </font>
    <font>
      <b/>
      <sz val="11"/>
      <color rgb="FF0000FF"/>
      <name val="Times New Roman"/>
      <family val="1"/>
    </font>
    <font>
      <b/>
      <sz val="11"/>
      <name val="Times New Roman"/>
      <family val="1"/>
    </font>
    <font>
      <i/>
      <sz val="11"/>
      <color rgb="FF0070C0"/>
      <name val="Times New Roman"/>
      <family val="1"/>
    </font>
    <font>
      <b/>
      <sz val="11"/>
      <color rgb="FF0070C0"/>
      <name val="Times New Roman"/>
      <family val="1"/>
    </font>
    <font>
      <sz val="11"/>
      <color rgb="FF0070C0"/>
      <name val="Times New Roman"/>
      <family val="1"/>
    </font>
    <font>
      <i/>
      <sz val="11"/>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0.499984740745262"/>
        <bgColor indexed="64"/>
      </patternFill>
    </fill>
    <fill>
      <patternFill patternType="solid">
        <fgColor theme="2" tint="-0.74999237037263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0" fontId="5"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382">
    <xf numFmtId="0" fontId="0" fillId="0" borderId="0" xfId="0"/>
    <xf numFmtId="0" fontId="1" fillId="2" borderId="0" xfId="0" applyFont="1" applyFill="1"/>
    <xf numFmtId="0" fontId="1" fillId="0" borderId="0" xfId="0" applyFont="1"/>
    <xf numFmtId="0" fontId="2" fillId="2" borderId="0" xfId="0" applyFont="1" applyFill="1" applyAlignment="1">
      <alignment horizontal="left" indent="3"/>
    </xf>
    <xf numFmtId="0" fontId="4" fillId="2" borderId="0" xfId="0" applyFont="1" applyFill="1"/>
    <xf numFmtId="0" fontId="3" fillId="2" borderId="0" xfId="0" applyFont="1" applyFill="1"/>
    <xf numFmtId="0" fontId="2" fillId="2" borderId="0" xfId="0" applyFont="1" applyFill="1"/>
    <xf numFmtId="0" fontId="1" fillId="2" borderId="0" xfId="0" applyFont="1" applyFill="1" applyAlignment="1">
      <alignment vertical="center"/>
    </xf>
    <xf numFmtId="0" fontId="1" fillId="2" borderId="0" xfId="0" applyFont="1" applyFill="1" applyAlignment="1">
      <alignment horizontal="left" indent="2"/>
    </xf>
    <xf numFmtId="0" fontId="1" fillId="2" borderId="1" xfId="0" applyFont="1" applyFill="1" applyBorder="1" applyAlignment="1">
      <alignment horizontal="center" vertical="center"/>
    </xf>
    <xf numFmtId="0" fontId="3" fillId="2" borderId="0" xfId="0" applyFont="1" applyFill="1" applyAlignment="1">
      <alignment vertical="center"/>
    </xf>
    <xf numFmtId="0" fontId="1" fillId="2" borderId="1" xfId="0" applyFont="1" applyFill="1" applyBorder="1"/>
    <xf numFmtId="0" fontId="9" fillId="2" borderId="0" xfId="0" applyFont="1" applyFill="1"/>
    <xf numFmtId="0" fontId="8" fillId="2" borderId="1" xfId="0" applyFont="1" applyFill="1" applyBorder="1" applyAlignment="1">
      <alignment horizontal="centerContinuous"/>
    </xf>
    <xf numFmtId="10" fontId="8" fillId="2" borderId="1" xfId="0" applyNumberFormat="1" applyFont="1" applyFill="1" applyBorder="1" applyAlignment="1">
      <alignment horizontal="centerContinuous"/>
    </xf>
    <xf numFmtId="0" fontId="8" fillId="2" borderId="5" xfId="0" applyFont="1" applyFill="1" applyBorder="1" applyAlignment="1">
      <alignment horizontal="centerContinuous"/>
    </xf>
    <xf numFmtId="0" fontId="8" fillId="2" borderId="4" xfId="0" applyFont="1" applyFill="1" applyBorder="1" applyAlignment="1">
      <alignment horizontal="centerContinuous"/>
    </xf>
    <xf numFmtId="0" fontId="8" fillId="2" borderId="6" xfId="0" applyFont="1" applyFill="1" applyBorder="1" applyAlignment="1">
      <alignment horizontal="centerContinuous"/>
    </xf>
    <xf numFmtId="0" fontId="9" fillId="2" borderId="1" xfId="0" applyFont="1" applyFill="1" applyBorder="1" applyAlignment="1">
      <alignment horizontal="center"/>
    </xf>
    <xf numFmtId="164" fontId="9" fillId="2" borderId="1" xfId="4" applyNumberFormat="1" applyFont="1" applyFill="1" applyBorder="1" applyAlignment="1">
      <alignment horizontal="center"/>
    </xf>
    <xf numFmtId="9" fontId="9" fillId="2" borderId="1" xfId="0" applyNumberFormat="1" applyFont="1" applyFill="1" applyBorder="1" applyAlignment="1">
      <alignment horizontal="center"/>
    </xf>
    <xf numFmtId="0" fontId="9" fillId="2" borderId="1" xfId="0" applyFont="1" applyFill="1" applyBorder="1" applyAlignment="1">
      <alignment horizontal="left"/>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0" applyNumberFormat="1" applyFont="1" applyFill="1" applyBorder="1" applyAlignment="1">
      <alignment horizontal="right" vertical="center"/>
    </xf>
    <xf numFmtId="9" fontId="6" fillId="2" borderId="7" xfId="0" applyNumberFormat="1" applyFont="1" applyFill="1" applyBorder="1" applyAlignment="1">
      <alignment horizontal="right" vertical="center"/>
    </xf>
    <xf numFmtId="9" fontId="6" fillId="2" borderId="3" xfId="0" applyNumberFormat="1" applyFont="1" applyFill="1" applyBorder="1" applyAlignment="1">
      <alignment horizontal="right"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xf>
    <xf numFmtId="9" fontId="6" fillId="2" borderId="10" xfId="0" applyNumberFormat="1" applyFont="1" applyFill="1" applyBorder="1" applyAlignment="1">
      <alignment horizontal="right" vertical="center"/>
    </xf>
    <xf numFmtId="0" fontId="6" fillId="2" borderId="11" xfId="0" applyFont="1" applyFill="1" applyBorder="1" applyAlignment="1">
      <alignment horizontal="center" vertical="center"/>
    </xf>
    <xf numFmtId="9" fontId="6" fillId="2" borderId="12" xfId="0" applyNumberFormat="1" applyFont="1" applyFill="1" applyBorder="1" applyAlignment="1">
      <alignment horizontal="right" vertical="center"/>
    </xf>
    <xf numFmtId="0" fontId="6" fillId="2" borderId="0" xfId="0" applyFont="1" applyFill="1" applyAlignment="1">
      <alignment horizontal="center" vertical="center"/>
    </xf>
    <xf numFmtId="9" fontId="6" fillId="2" borderId="0" xfId="0" applyNumberFormat="1" applyFont="1" applyFill="1" applyAlignment="1">
      <alignment horizontal="right" vertical="center"/>
    </xf>
    <xf numFmtId="0" fontId="9" fillId="2" borderId="5" xfId="0" quotePrefix="1" applyFont="1" applyFill="1" applyBorder="1" applyAlignment="1">
      <alignment horizontal="left" vertical="center"/>
    </xf>
    <xf numFmtId="0" fontId="9" fillId="2" borderId="6" xfId="0" quotePrefix="1" applyFont="1" applyFill="1" applyBorder="1" applyAlignment="1">
      <alignment horizontal="right" vertical="center"/>
    </xf>
    <xf numFmtId="9" fontId="9" fillId="2" borderId="1" xfId="0" applyNumberFormat="1" applyFont="1" applyFill="1" applyBorder="1"/>
    <xf numFmtId="43" fontId="9" fillId="2" borderId="1" xfId="3" applyFont="1" applyFill="1" applyBorder="1"/>
    <xf numFmtId="43" fontId="9" fillId="2" borderId="1" xfId="3" applyFont="1" applyFill="1" applyBorder="1" applyAlignment="1">
      <alignment horizontal="right"/>
    </xf>
    <xf numFmtId="9" fontId="1" fillId="2" borderId="1" xfId="0" applyNumberFormat="1" applyFont="1" applyFill="1" applyBorder="1" applyAlignment="1">
      <alignment horizontal="center"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13" fontId="9" fillId="2" borderId="1" xfId="0" applyNumberFormat="1" applyFont="1" applyFill="1" applyBorder="1" applyAlignment="1">
      <alignment horizontal="center"/>
    </xf>
    <xf numFmtId="0" fontId="8" fillId="2" borderId="6" xfId="0" applyFont="1" applyFill="1" applyBorder="1" applyAlignment="1">
      <alignment horizontal="centerContinuous" wrapText="1"/>
    </xf>
    <xf numFmtId="0" fontId="9" fillId="2" borderId="0" xfId="0" quotePrefix="1" applyFont="1" applyFill="1" applyAlignment="1">
      <alignment wrapText="1"/>
    </xf>
    <xf numFmtId="0" fontId="9" fillId="2" borderId="1" xfId="0" applyFont="1" applyFill="1" applyBorder="1"/>
    <xf numFmtId="6" fontId="9" fillId="2" borderId="1" xfId="0" applyNumberFormat="1" applyFont="1" applyFill="1" applyBorder="1" applyAlignment="1">
      <alignment horizontal="center" wrapText="1"/>
    </xf>
    <xf numFmtId="8" fontId="9" fillId="2" borderId="1" xfId="0" applyNumberFormat="1" applyFont="1" applyFill="1" applyBorder="1" applyAlignment="1">
      <alignment horizontal="center" wrapText="1"/>
    </xf>
    <xf numFmtId="9" fontId="9" fillId="2" borderId="1" xfId="0" applyNumberFormat="1" applyFont="1" applyFill="1" applyBorder="1" applyAlignment="1">
      <alignment horizontal="center" wrapText="1"/>
    </xf>
    <xf numFmtId="0" fontId="9" fillId="2" borderId="0" xfId="0" applyFont="1" applyFill="1" applyAlignment="1">
      <alignment wrapText="1"/>
    </xf>
    <xf numFmtId="0" fontId="8" fillId="2" borderId="4" xfId="0" applyFont="1" applyFill="1" applyBorder="1" applyAlignment="1">
      <alignment horizontal="centerContinuous" wrapText="1"/>
    </xf>
    <xf numFmtId="0" fontId="8" fillId="2" borderId="6" xfId="0" quotePrefix="1" applyFont="1" applyFill="1" applyBorder="1" applyAlignment="1">
      <alignment horizontal="centerContinuous" wrapText="1"/>
    </xf>
    <xf numFmtId="6" fontId="9" fillId="2" borderId="1" xfId="0" applyNumberFormat="1" applyFont="1" applyFill="1" applyBorder="1" applyAlignment="1">
      <alignment horizontal="center" vertical="center" wrapText="1"/>
    </xf>
    <xf numFmtId="165" fontId="9" fillId="2" borderId="1" xfId="2" applyNumberFormat="1" applyFont="1" applyFill="1" applyBorder="1" applyAlignment="1">
      <alignment horizontal="center"/>
    </xf>
    <xf numFmtId="0" fontId="9" fillId="2" borderId="5" xfId="0" applyFont="1" applyFill="1" applyBorder="1" applyAlignment="1">
      <alignment horizontal="centerContinuous"/>
    </xf>
    <xf numFmtId="0" fontId="9" fillId="2" borderId="6" xfId="0" applyFont="1" applyFill="1" applyBorder="1" applyAlignment="1">
      <alignment horizontal="centerContinuous"/>
    </xf>
    <xf numFmtId="0" fontId="8" fillId="2" borderId="1" xfId="0" quotePrefix="1" applyFont="1" applyFill="1" applyBorder="1" applyAlignment="1">
      <alignment horizontal="left" vertical="top"/>
    </xf>
    <xf numFmtId="0" fontId="8" fillId="2" borderId="1" xfId="0" applyFont="1" applyFill="1" applyBorder="1" applyAlignment="1">
      <alignment horizontal="centerContinuous" vertical="top" wrapText="1"/>
    </xf>
    <xf numFmtId="0" fontId="9" fillId="2" borderId="1" xfId="0" quotePrefix="1" applyFont="1" applyFill="1" applyBorder="1" applyAlignment="1">
      <alignment horizontal="center" vertical="center"/>
    </xf>
    <xf numFmtId="0" fontId="9" fillId="2" borderId="1" xfId="0" quotePrefix="1" applyFont="1" applyFill="1" applyBorder="1" applyAlignment="1">
      <alignment horizontal="left" vertical="top"/>
    </xf>
    <xf numFmtId="165" fontId="9" fillId="2" borderId="1" xfId="2" applyNumberFormat="1" applyFont="1" applyFill="1" applyBorder="1" applyAlignment="1">
      <alignment horizontal="center" vertical="top" wrapText="1"/>
    </xf>
    <xf numFmtId="9" fontId="9" fillId="2" borderId="1" xfId="4" applyFont="1" applyFill="1" applyBorder="1" applyAlignment="1">
      <alignment horizontal="center" vertical="top" wrapText="1"/>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 fillId="4" borderId="0" xfId="0" applyFont="1" applyFill="1"/>
    <xf numFmtId="0" fontId="2" fillId="4" borderId="0" xfId="0" applyFont="1" applyFill="1" applyAlignment="1">
      <alignment horizontal="left" indent="3"/>
    </xf>
    <xf numFmtId="0" fontId="9" fillId="0" borderId="0" xfId="0" applyFont="1"/>
    <xf numFmtId="0" fontId="9" fillId="0" borderId="0" xfId="0" applyFont="1" applyAlignment="1">
      <alignment horizontal="left"/>
    </xf>
    <xf numFmtId="0" fontId="9" fillId="0" borderId="1" xfId="0" applyFont="1" applyBorder="1" applyAlignment="1">
      <alignment horizontal="center"/>
    </xf>
    <xf numFmtId="0" fontId="11" fillId="0" borderId="1" xfId="0" applyFont="1" applyBorder="1" applyAlignment="1">
      <alignment horizontal="center" wrapText="1"/>
    </xf>
    <xf numFmtId="0" fontId="11" fillId="0" borderId="1" xfId="0" quotePrefix="1" applyFont="1" applyBorder="1" applyAlignment="1">
      <alignment horizontal="center"/>
    </xf>
    <xf numFmtId="0" fontId="9" fillId="0" borderId="1" xfId="0" applyFont="1" applyBorder="1" applyAlignment="1">
      <alignment horizontal="center" vertical="center" wrapText="1"/>
    </xf>
    <xf numFmtId="0" fontId="11" fillId="0" borderId="1" xfId="0" applyFont="1" applyBorder="1" applyAlignment="1">
      <alignment wrapText="1"/>
    </xf>
    <xf numFmtId="0" fontId="9" fillId="0" borderId="0" xfId="0" applyFont="1" applyAlignment="1">
      <alignment horizontal="center"/>
    </xf>
    <xf numFmtId="164" fontId="9" fillId="0" borderId="0" xfId="4" applyNumberFormat="1" applyFont="1" applyBorder="1" applyAlignment="1">
      <alignment horizontal="center"/>
    </xf>
    <xf numFmtId="164" fontId="11" fillId="0" borderId="0" xfId="4" applyNumberFormat="1" applyFont="1" applyBorder="1"/>
    <xf numFmtId="166" fontId="11" fillId="0" borderId="0" xfId="4" applyNumberFormat="1" applyFont="1" applyBorder="1"/>
    <xf numFmtId="8" fontId="11" fillId="0" borderId="0" xfId="0" applyNumberFormat="1" applyFont="1" applyAlignment="1">
      <alignment horizontal="center"/>
    </xf>
    <xf numFmtId="8" fontId="12" fillId="0" borderId="0" xfId="0" applyNumberFormat="1" applyFont="1" applyAlignment="1">
      <alignment horizontal="center"/>
    </xf>
    <xf numFmtId="164" fontId="9" fillId="0" borderId="0" xfId="4" applyNumberFormat="1" applyFont="1" applyBorder="1"/>
    <xf numFmtId="9" fontId="11" fillId="0" borderId="0" xfId="4" applyFont="1" applyBorder="1" applyAlignment="1">
      <alignment horizontal="right"/>
    </xf>
    <xf numFmtId="0" fontId="11" fillId="0" borderId="1" xfId="0" quotePrefix="1" applyFont="1" applyBorder="1" applyAlignment="1">
      <alignment horizontal="center" wrapText="1"/>
    </xf>
    <xf numFmtId="10" fontId="11" fillId="0" borderId="0" xfId="0" applyNumberFormat="1" applyFont="1" applyAlignment="1">
      <alignment horizontal="center"/>
    </xf>
    <xf numFmtId="8" fontId="9" fillId="0" borderId="0" xfId="0" applyNumberFormat="1" applyFont="1" applyAlignment="1">
      <alignment horizontal="center"/>
    </xf>
    <xf numFmtId="0" fontId="11" fillId="0" borderId="0" xfId="0" applyFont="1"/>
    <xf numFmtId="0" fontId="11" fillId="0" borderId="0" xfId="0" quotePrefix="1" applyFont="1"/>
    <xf numFmtId="164" fontId="11" fillId="0" borderId="0" xfId="0" applyNumberFormat="1" applyFont="1" applyAlignment="1">
      <alignment horizontal="right"/>
    </xf>
    <xf numFmtId="164" fontId="11" fillId="0" borderId="0" xfId="0" applyNumberFormat="1" applyFont="1"/>
    <xf numFmtId="0" fontId="9" fillId="0" borderId="0" xfId="5" applyFont="1" applyAlignment="1">
      <alignment horizontal="center" wrapText="1"/>
    </xf>
    <xf numFmtId="0" fontId="9" fillId="0" borderId="0" xfId="5" quotePrefix="1" applyFont="1" applyAlignment="1">
      <alignment horizontal="center" wrapText="1"/>
    </xf>
    <xf numFmtId="0" fontId="9" fillId="0" borderId="0" xfId="5" applyFont="1"/>
    <xf numFmtId="43" fontId="9" fillId="0" borderId="0" xfId="5" applyNumberFormat="1" applyFont="1"/>
    <xf numFmtId="6" fontId="9" fillId="0" borderId="0" xfId="5" applyNumberFormat="1" applyFont="1"/>
    <xf numFmtId="164" fontId="9" fillId="0" borderId="0" xfId="5" applyNumberFormat="1" applyFont="1"/>
    <xf numFmtId="9" fontId="9" fillId="0" borderId="0" xfId="5" applyNumberFormat="1" applyFont="1"/>
    <xf numFmtId="8" fontId="9" fillId="0" borderId="0" xfId="5" applyNumberFormat="1" applyFont="1"/>
    <xf numFmtId="0" fontId="9" fillId="0" borderId="0" xfId="5" applyFont="1" applyAlignment="1">
      <alignment horizontal="left" wrapText="1"/>
    </xf>
    <xf numFmtId="0" fontId="9" fillId="0" borderId="0" xfId="0" applyFont="1" applyAlignment="1">
      <alignment wrapText="1"/>
    </xf>
    <xf numFmtId="164" fontId="9" fillId="0" borderId="0" xfId="0" applyNumberFormat="1" applyFont="1"/>
    <xf numFmtId="9" fontId="9" fillId="0" borderId="0" xfId="0" applyNumberFormat="1" applyFont="1"/>
    <xf numFmtId="43" fontId="9" fillId="0" borderId="0" xfId="0" applyNumberFormat="1" applyFont="1"/>
    <xf numFmtId="44" fontId="9" fillId="0" borderId="0" xfId="2" applyFont="1"/>
    <xf numFmtId="0" fontId="9" fillId="0" borderId="16" xfId="0" applyFont="1" applyBorder="1"/>
    <xf numFmtId="44" fontId="9" fillId="0" borderId="14" xfId="2" applyFont="1" applyBorder="1"/>
    <xf numFmtId="0" fontId="3" fillId="0" borderId="0" xfId="0" applyFont="1"/>
    <xf numFmtId="0" fontId="3" fillId="0" borderId="1" xfId="0" applyFont="1" applyBorder="1"/>
    <xf numFmtId="0" fontId="13" fillId="0" borderId="1" xfId="0" applyFont="1" applyBorder="1"/>
    <xf numFmtId="0" fontId="13" fillId="3" borderId="1" xfId="0" applyFont="1" applyFill="1" applyBorder="1"/>
    <xf numFmtId="6" fontId="3" fillId="0" borderId="1" xfId="0" quotePrefix="1" applyNumberFormat="1" applyFont="1" applyBorder="1"/>
    <xf numFmtId="164" fontId="13" fillId="0" borderId="1" xfId="0" quotePrefix="1" applyNumberFormat="1" applyFont="1" applyBorder="1"/>
    <xf numFmtId="3" fontId="3" fillId="0" borderId="1" xfId="0" quotePrefix="1" applyNumberFormat="1" applyFont="1" applyBorder="1"/>
    <xf numFmtId="164" fontId="3" fillId="0" borderId="1" xfId="0" quotePrefix="1" applyNumberFormat="1" applyFont="1" applyBorder="1"/>
    <xf numFmtId="164" fontId="13" fillId="3" borderId="1" xfId="0" quotePrefix="1" applyNumberFormat="1" applyFont="1" applyFill="1" applyBorder="1"/>
    <xf numFmtId="6" fontId="3" fillId="0" borderId="1" xfId="0" applyNumberFormat="1" applyFont="1" applyBorder="1"/>
    <xf numFmtId="164" fontId="13" fillId="0" borderId="1" xfId="0" applyNumberFormat="1" applyFont="1" applyBorder="1"/>
    <xf numFmtId="0" fontId="13" fillId="0" borderId="0" xfId="0" applyFont="1"/>
    <xf numFmtId="0" fontId="4" fillId="0" borderId="0" xfId="0" applyFont="1"/>
    <xf numFmtId="0" fontId="13" fillId="2" borderId="1" xfId="0" applyFont="1" applyFill="1" applyBorder="1" applyAlignment="1">
      <alignment horizontal="centerContinuous"/>
    </xf>
    <xf numFmtId="0" fontId="3" fillId="2" borderId="1" xfId="0" applyFont="1" applyFill="1" applyBorder="1" applyAlignment="1">
      <alignment horizontal="center"/>
    </xf>
    <xf numFmtId="6" fontId="13" fillId="0" borderId="1" xfId="0" applyNumberFormat="1" applyFont="1" applyBorder="1"/>
    <xf numFmtId="164" fontId="3" fillId="0" borderId="1" xfId="0" applyNumberFormat="1" applyFont="1" applyBorder="1"/>
    <xf numFmtId="0" fontId="3" fillId="2" borderId="1" xfId="0" applyFont="1" applyFill="1" applyBorder="1"/>
    <xf numFmtId="6" fontId="13" fillId="0" borderId="0" xfId="0" applyNumberFormat="1" applyFont="1"/>
    <xf numFmtId="164" fontId="13" fillId="0" borderId="0" xfId="0" applyNumberFormat="1" applyFont="1"/>
    <xf numFmtId="164" fontId="3" fillId="0" borderId="1" xfId="4" applyNumberFormat="1" applyFont="1" applyBorder="1"/>
    <xf numFmtId="164" fontId="13" fillId="3" borderId="1" xfId="0" applyNumberFormat="1" applyFont="1" applyFill="1" applyBorder="1"/>
    <xf numFmtId="0" fontId="13" fillId="2" borderId="5" xfId="0" applyFont="1" applyFill="1" applyBorder="1" applyAlignment="1">
      <alignment horizontal="centerContinuous"/>
    </xf>
    <xf numFmtId="0" fontId="13" fillId="2" borderId="4" xfId="0" applyFont="1" applyFill="1" applyBorder="1" applyAlignment="1">
      <alignment horizontal="centerContinuous"/>
    </xf>
    <xf numFmtId="0" fontId="13" fillId="2" borderId="6" xfId="0" applyFont="1" applyFill="1" applyBorder="1" applyAlignment="1">
      <alignment horizontal="centerContinuous"/>
    </xf>
    <xf numFmtId="0" fontId="3" fillId="2" borderId="3" xfId="0" applyFont="1" applyFill="1" applyBorder="1" applyAlignment="1">
      <alignment horizontal="center"/>
    </xf>
    <xf numFmtId="6" fontId="3" fillId="2" borderId="1" xfId="0" quotePrefix="1" applyNumberFormat="1" applyFont="1" applyFill="1" applyBorder="1" applyAlignment="1">
      <alignment horizontal="center"/>
    </xf>
    <xf numFmtId="6" fontId="3" fillId="2" borderId="1" xfId="0" applyNumberFormat="1" applyFont="1" applyFill="1" applyBorder="1" applyAlignment="1">
      <alignment horizontal="center"/>
    </xf>
    <xf numFmtId="3" fontId="3" fillId="0" borderId="0" xfId="0" applyNumberFormat="1" applyFont="1"/>
    <xf numFmtId="0" fontId="3" fillId="2" borderId="11" xfId="0" applyFont="1" applyFill="1" applyBorder="1" applyAlignment="1">
      <alignment horizontal="center"/>
    </xf>
    <xf numFmtId="6" fontId="3" fillId="2" borderId="0" xfId="0" quotePrefix="1" applyNumberFormat="1" applyFont="1" applyFill="1"/>
    <xf numFmtId="6" fontId="13" fillId="2" borderId="4" xfId="0" quotePrefix="1" applyNumberFormat="1" applyFont="1" applyFill="1" applyBorder="1" applyAlignment="1">
      <alignment horizontal="centerContinuous"/>
    </xf>
    <xf numFmtId="3" fontId="3" fillId="2" borderId="3" xfId="0" applyNumberFormat="1" applyFont="1" applyFill="1" applyBorder="1" applyAlignment="1">
      <alignment horizontal="center"/>
    </xf>
    <xf numFmtId="0" fontId="14" fillId="0" borderId="0" xfId="0" applyFont="1"/>
    <xf numFmtId="164" fontId="3" fillId="2" borderId="1" xfId="0" applyNumberFormat="1" applyFont="1" applyFill="1" applyBorder="1" applyAlignment="1">
      <alignment horizontal="center"/>
    </xf>
    <xf numFmtId="0" fontId="9" fillId="2" borderId="1" xfId="6" applyFont="1" applyFill="1" applyBorder="1" applyAlignment="1">
      <alignment vertical="center" wrapText="1"/>
    </xf>
    <xf numFmtId="0" fontId="9" fillId="2" borderId="1" xfId="6" applyFont="1" applyFill="1" applyBorder="1" applyAlignment="1">
      <alignment horizontal="center" vertical="center" wrapText="1"/>
    </xf>
    <xf numFmtId="0" fontId="9" fillId="2" borderId="1" xfId="6" applyFont="1" applyFill="1" applyBorder="1" applyAlignment="1">
      <alignment horizontal="left" vertical="center" wrapText="1" indent="3"/>
    </xf>
    <xf numFmtId="9" fontId="9" fillId="2" borderId="1" xfId="6" applyNumberFormat="1" applyFont="1" applyFill="1" applyBorder="1" applyAlignment="1">
      <alignment horizontal="center" vertical="center" wrapText="1"/>
    </xf>
    <xf numFmtId="0" fontId="9" fillId="0" borderId="0" xfId="0" applyFont="1" applyAlignment="1">
      <alignment vertical="center"/>
    </xf>
    <xf numFmtId="6" fontId="9" fillId="0" borderId="0" xfId="0" applyNumberFormat="1" applyFont="1" applyAlignment="1">
      <alignment horizontal="center" vertical="center"/>
    </xf>
    <xf numFmtId="0" fontId="9" fillId="0" borderId="0" xfId="0" applyFont="1" applyAlignment="1">
      <alignment horizontal="center" vertical="center"/>
    </xf>
    <xf numFmtId="0" fontId="8" fillId="0" borderId="5" xfId="0" applyFont="1" applyBorder="1" applyAlignment="1">
      <alignment horizontal="centerContinuous"/>
    </xf>
    <xf numFmtId="0" fontId="8" fillId="0" borderId="4" xfId="0" applyFont="1" applyBorder="1" applyAlignment="1">
      <alignment horizontal="centerContinuous"/>
    </xf>
    <xf numFmtId="0" fontId="8" fillId="0" borderId="6" xfId="0" quotePrefix="1" applyFont="1" applyBorder="1" applyAlignment="1">
      <alignment horizontal="centerContinuous"/>
    </xf>
    <xf numFmtId="0" fontId="9" fillId="2" borderId="1" xfId="0" applyFont="1" applyFill="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9" fillId="3" borderId="1" xfId="0" applyFont="1" applyFill="1" applyBorder="1" applyAlignment="1">
      <alignment horizontal="center" vertical="center"/>
    </xf>
    <xf numFmtId="9" fontId="9" fillId="0" borderId="1" xfId="0" applyNumberFormat="1" applyFont="1" applyBorder="1" applyAlignment="1">
      <alignment horizontal="center" vertical="center"/>
    </xf>
    <xf numFmtId="6" fontId="9" fillId="0" borderId="1" xfId="0" applyNumberFormat="1" applyFont="1" applyBorder="1" applyAlignment="1">
      <alignment horizontal="center" vertical="center"/>
    </xf>
    <xf numFmtId="172" fontId="9" fillId="3" borderId="1" xfId="0" applyNumberFormat="1" applyFont="1" applyFill="1" applyBorder="1" applyAlignment="1">
      <alignment horizontal="center" vertical="center"/>
    </xf>
    <xf numFmtId="170" fontId="9" fillId="3" borderId="1" xfId="0" applyNumberFormat="1" applyFont="1" applyFill="1" applyBorder="1" applyAlignment="1">
      <alignment horizontal="center" vertical="center"/>
    </xf>
    <xf numFmtId="0" fontId="9" fillId="2" borderId="21" xfId="0" quotePrefix="1" applyFont="1" applyFill="1" applyBorder="1" applyAlignment="1">
      <alignment horizontal="center" vertical="center"/>
    </xf>
    <xf numFmtId="0" fontId="9" fillId="2" borderId="21" xfId="0" quotePrefix="1" applyFont="1" applyFill="1" applyBorder="1" applyAlignment="1">
      <alignment horizontal="left" vertical="top"/>
    </xf>
    <xf numFmtId="0" fontId="9" fillId="2" borderId="26" xfId="0" quotePrefix="1" applyFont="1" applyFill="1" applyBorder="1" applyAlignment="1">
      <alignment horizontal="center" vertical="center"/>
    </xf>
    <xf numFmtId="0" fontId="8" fillId="2" borderId="0" xfId="0" applyFont="1" applyFill="1"/>
    <xf numFmtId="0" fontId="9" fillId="4" borderId="0" xfId="0" applyFont="1" applyFill="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6" fontId="9" fillId="0" borderId="0" xfId="0" applyNumberFormat="1" applyFont="1"/>
    <xf numFmtId="165" fontId="11"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5" fontId="8" fillId="3"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9" fillId="2" borderId="1" xfId="0" applyFont="1" applyFill="1" applyBorder="1" applyAlignment="1">
      <alignment horizontal="right" vertical="center" wrapText="1"/>
    </xf>
    <xf numFmtId="165" fontId="15"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0" fontId="9" fillId="2" borderId="0" xfId="0" applyFont="1" applyFill="1" applyAlignment="1">
      <alignment horizontal="left" indent="2"/>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6" fillId="2" borderId="0" xfId="0" applyFont="1" applyFill="1"/>
    <xf numFmtId="0" fontId="8" fillId="2" borderId="0" xfId="0" applyFont="1" applyFill="1" applyAlignment="1">
      <alignment horizontal="left" indent="3"/>
    </xf>
    <xf numFmtId="0" fontId="8" fillId="4" borderId="0" xfId="0" applyFont="1" applyFill="1" applyAlignment="1">
      <alignment horizontal="left" indent="3"/>
    </xf>
    <xf numFmtId="0" fontId="11" fillId="2" borderId="0" xfId="0" applyFont="1" applyFill="1" applyAlignment="1">
      <alignment vertical="center"/>
    </xf>
    <xf numFmtId="0" fontId="9" fillId="2" borderId="0" xfId="0" applyFont="1" applyFill="1" applyAlignment="1">
      <alignment vertical="center"/>
    </xf>
    <xf numFmtId="0" fontId="9" fillId="2" borderId="0" xfId="0" quotePrefix="1" applyFont="1" applyFill="1"/>
    <xf numFmtId="0" fontId="9" fillId="2" borderId="8" xfId="0" applyFont="1" applyFill="1" applyBorder="1"/>
    <xf numFmtId="0" fontId="9" fillId="2" borderId="2" xfId="0" applyFont="1" applyFill="1" applyBorder="1" applyAlignment="1">
      <alignment horizontal="center"/>
    </xf>
    <xf numFmtId="0" fontId="9" fillId="2" borderId="11" xfId="0" applyFont="1" applyFill="1" applyBorder="1"/>
    <xf numFmtId="0" fontId="9" fillId="2" borderId="3" xfId="0" applyFont="1" applyFill="1" applyBorder="1" applyAlignment="1">
      <alignment horizontal="center"/>
    </xf>
    <xf numFmtId="9" fontId="9" fillId="2" borderId="1" xfId="4" applyFont="1" applyFill="1" applyBorder="1"/>
    <xf numFmtId="0" fontId="9" fillId="2" borderId="1" xfId="0" applyFont="1" applyFill="1" applyBorder="1" applyAlignment="1">
      <alignment horizontal="left" wrapText="1"/>
    </xf>
    <xf numFmtId="164" fontId="9" fillId="2" borderId="1" xfId="4" applyNumberFormat="1" applyFont="1" applyFill="1" applyBorder="1"/>
    <xf numFmtId="0" fontId="9" fillId="2" borderId="1" xfId="0" applyFont="1" applyFill="1" applyBorder="1" applyAlignment="1">
      <alignment horizontal="left" vertical="center" wrapText="1"/>
    </xf>
    <xf numFmtId="164" fontId="9" fillId="2" borderId="1" xfId="4" applyNumberFormat="1" applyFont="1" applyFill="1" applyBorder="1" applyAlignment="1">
      <alignment vertical="center" wrapText="1"/>
    </xf>
    <xf numFmtId="0" fontId="9" fillId="2" borderId="0" xfId="0" applyFont="1" applyFill="1" applyAlignment="1">
      <alignment vertical="center" wrapText="1"/>
    </xf>
    <xf numFmtId="9" fontId="9" fillId="2" borderId="0" xfId="0" applyNumberFormat="1" applyFont="1" applyFill="1" applyAlignment="1">
      <alignment vertical="center" wrapText="1"/>
    </xf>
    <xf numFmtId="0" fontId="9" fillId="2" borderId="0" xfId="0" applyFont="1" applyFill="1" applyAlignment="1">
      <alignment horizontal="left"/>
    </xf>
    <xf numFmtId="8" fontId="9" fillId="0" borderId="0" xfId="0" applyNumberFormat="1" applyFont="1"/>
    <xf numFmtId="43" fontId="9" fillId="0" borderId="0" xfId="9" applyFont="1"/>
    <xf numFmtId="44" fontId="9" fillId="0" borderId="0" xfId="10" quotePrefix="1" applyFont="1"/>
    <xf numFmtId="3" fontId="9" fillId="0" borderId="0" xfId="0" applyNumberFormat="1" applyFont="1"/>
    <xf numFmtId="0" fontId="9" fillId="0" borderId="0" xfId="0" quotePrefix="1" applyFont="1"/>
    <xf numFmtId="13" fontId="9" fillId="0" borderId="0" xfId="0" applyNumberFormat="1" applyFont="1"/>
    <xf numFmtId="12" fontId="9" fillId="0" borderId="0" xfId="0" applyNumberFormat="1" applyFont="1"/>
    <xf numFmtId="0" fontId="8" fillId="0" borderId="0" xfId="0" applyFont="1"/>
    <xf numFmtId="0" fontId="8" fillId="0" borderId="0" xfId="0" applyFont="1" applyAlignment="1">
      <alignment wrapText="1"/>
    </xf>
    <xf numFmtId="0" fontId="8" fillId="0" borderId="17" xfId="0" applyFont="1" applyBorder="1" applyAlignment="1">
      <alignment wrapText="1"/>
    </xf>
    <xf numFmtId="0" fontId="9" fillId="0" borderId="17" xfId="0" applyFont="1" applyBorder="1"/>
    <xf numFmtId="3" fontId="8" fillId="0" borderId="17" xfId="0" applyNumberFormat="1" applyFont="1" applyBorder="1"/>
    <xf numFmtId="3" fontId="9" fillId="0" borderId="17" xfId="0" applyNumberFormat="1" applyFont="1" applyBorder="1"/>
    <xf numFmtId="1" fontId="9" fillId="0" borderId="0" xfId="0" applyNumberFormat="1" applyFont="1"/>
    <xf numFmtId="1" fontId="9" fillId="0" borderId="17" xfId="0" applyNumberFormat="1" applyFont="1" applyBorder="1"/>
    <xf numFmtId="3" fontId="8" fillId="0" borderId="0" xfId="0" applyNumberFormat="1" applyFont="1"/>
    <xf numFmtId="3" fontId="8" fillId="0" borderId="27" xfId="0" applyNumberFormat="1" applyFont="1" applyBorder="1"/>
    <xf numFmtId="3" fontId="9" fillId="0" borderId="28" xfId="0" applyNumberFormat="1" applyFont="1" applyBorder="1"/>
    <xf numFmtId="0" fontId="9" fillId="0" borderId="29" xfId="0" applyFont="1" applyBorder="1"/>
    <xf numFmtId="10" fontId="9" fillId="0" borderId="30" xfId="0" applyNumberFormat="1" applyFont="1" applyBorder="1"/>
    <xf numFmtId="173" fontId="9" fillId="0" borderId="0" xfId="0" applyNumberFormat="1" applyFont="1"/>
    <xf numFmtId="173" fontId="9" fillId="0" borderId="17" xfId="0" applyNumberFormat="1" applyFont="1" applyBorder="1"/>
    <xf numFmtId="0" fontId="8" fillId="0" borderId="17" xfId="0" applyFont="1" applyBorder="1"/>
    <xf numFmtId="10" fontId="9" fillId="0" borderId="0" xfId="0" applyNumberFormat="1" applyFont="1"/>
    <xf numFmtId="43" fontId="9" fillId="0" borderId="27" xfId="0" applyNumberFormat="1" applyFont="1" applyBorder="1"/>
    <xf numFmtId="2" fontId="9" fillId="0" borderId="17" xfId="0" applyNumberFormat="1" applyFont="1" applyBorder="1"/>
    <xf numFmtId="0" fontId="9" fillId="0" borderId="17" xfId="0" applyFont="1" applyBorder="1" applyAlignment="1">
      <alignment horizontal="center"/>
    </xf>
    <xf numFmtId="0" fontId="11" fillId="0" borderId="5" xfId="0" applyFont="1" applyBorder="1"/>
    <xf numFmtId="0" fontId="11" fillId="0" borderId="4" xfId="0" applyFont="1" applyBorder="1"/>
    <xf numFmtId="44" fontId="11" fillId="0" borderId="4" xfId="2" applyFont="1" applyBorder="1" applyAlignment="1"/>
    <xf numFmtId="44" fontId="11" fillId="0" borderId="6" xfId="2" applyFont="1" applyBorder="1" applyAlignment="1"/>
    <xf numFmtId="0" fontId="16" fillId="0" borderId="0" xfId="0" applyFont="1"/>
    <xf numFmtId="0" fontId="16" fillId="0" borderId="0" xfId="0" applyFont="1" applyAlignment="1">
      <alignment horizontal="left"/>
    </xf>
    <xf numFmtId="0" fontId="8" fillId="0" borderId="6" xfId="0" applyFont="1" applyBorder="1" applyAlignment="1">
      <alignment horizontal="centerContinuous"/>
    </xf>
    <xf numFmtId="0" fontId="8" fillId="0" borderId="1" xfId="0" applyFont="1" applyBorder="1" applyAlignment="1">
      <alignment horizontal="center"/>
    </xf>
    <xf numFmtId="0" fontId="8" fillId="0" borderId="10" xfId="0" applyFont="1" applyBorder="1" applyAlignment="1">
      <alignment horizontal="center"/>
    </xf>
    <xf numFmtId="165" fontId="9" fillId="0" borderId="1" xfId="2" applyNumberFormat="1" applyFont="1" applyBorder="1" applyAlignment="1">
      <alignment horizontal="center"/>
    </xf>
    <xf numFmtId="164" fontId="9" fillId="0" borderId="1" xfId="4" applyNumberFormat="1" applyFont="1" applyBorder="1" applyAlignment="1">
      <alignment horizontal="center"/>
    </xf>
    <xf numFmtId="0" fontId="9" fillId="0" borderId="0" xfId="0" applyFont="1" applyAlignment="1">
      <alignment horizontal="right"/>
    </xf>
    <xf numFmtId="169" fontId="8" fillId="0" borderId="1" xfId="2" applyNumberFormat="1" applyFont="1" applyFill="1" applyBorder="1" applyAlignment="1">
      <alignment horizontal="center"/>
    </xf>
    <xf numFmtId="169" fontId="8" fillId="0" borderId="0" xfId="2" applyNumberFormat="1" applyFont="1" applyFill="1" applyBorder="1" applyAlignment="1">
      <alignment horizontal="center"/>
    </xf>
    <xf numFmtId="0" fontId="17" fillId="0" borderId="0" xfId="0" applyFont="1"/>
    <xf numFmtId="0" fontId="17" fillId="0" borderId="0" xfId="0" applyFont="1" applyAlignment="1">
      <alignment horizontal="center"/>
    </xf>
    <xf numFmtId="0" fontId="18" fillId="0" borderId="0" xfId="0" applyFont="1"/>
    <xf numFmtId="170" fontId="8" fillId="0" borderId="0" xfId="0" applyNumberFormat="1" applyFont="1" applyAlignment="1">
      <alignment horizontal="left"/>
    </xf>
    <xf numFmtId="170" fontId="9" fillId="0" borderId="0" xfId="0" applyNumberFormat="1" applyFont="1"/>
    <xf numFmtId="171" fontId="8" fillId="0" borderId="0" xfId="0" applyNumberFormat="1" applyFont="1"/>
    <xf numFmtId="0" fontId="11" fillId="0" borderId="10" xfId="0" applyFont="1" applyBorder="1"/>
    <xf numFmtId="0" fontId="9" fillId="0" borderId="10" xfId="0" applyFont="1" applyBorder="1"/>
    <xf numFmtId="0" fontId="17" fillId="0" borderId="0" xfId="0" applyFont="1" applyAlignment="1">
      <alignment horizontal="right"/>
    </xf>
    <xf numFmtId="169" fontId="19" fillId="0" borderId="0" xfId="2" applyNumberFormat="1" applyFont="1" applyFill="1" applyBorder="1" applyAlignment="1">
      <alignment horizontal="center"/>
    </xf>
    <xf numFmtId="0" fontId="9" fillId="2" borderId="10" xfId="0" applyFont="1" applyFill="1" applyBorder="1"/>
    <xf numFmtId="0" fontId="9" fillId="2" borderId="0" xfId="0" applyFont="1" applyFill="1" applyAlignment="1">
      <alignment horizontal="left" vertical="center" indent="9"/>
    </xf>
    <xf numFmtId="0" fontId="9" fillId="2" borderId="0" xfId="0" applyFont="1" applyFill="1" applyAlignment="1">
      <alignment horizontal="left" indent="6"/>
    </xf>
    <xf numFmtId="0" fontId="8" fillId="2" borderId="10" xfId="0" applyFont="1" applyFill="1" applyBorder="1" applyAlignment="1">
      <alignment horizontal="left" indent="3"/>
    </xf>
    <xf numFmtId="0" fontId="8" fillId="2" borderId="0" xfId="0" applyFont="1" applyFill="1" applyAlignment="1">
      <alignment horizontal="left"/>
    </xf>
    <xf numFmtId="0" fontId="9" fillId="5" borderId="0" xfId="0" applyFont="1" applyFill="1"/>
    <xf numFmtId="44" fontId="9" fillId="0" borderId="0" xfId="0" applyNumberFormat="1" applyFont="1"/>
    <xf numFmtId="44" fontId="8" fillId="0" borderId="0" xfId="0" applyNumberFormat="1" applyFont="1"/>
    <xf numFmtId="164" fontId="8" fillId="0" borderId="0" xfId="4" applyNumberFormat="1" applyFont="1"/>
    <xf numFmtId="0" fontId="9" fillId="0" borderId="18" xfId="0" applyFont="1" applyBorder="1"/>
    <xf numFmtId="0" fontId="9" fillId="0" borderId="19" xfId="0" applyFont="1" applyBorder="1"/>
    <xf numFmtId="0" fontId="9" fillId="0" borderId="20" xfId="0" applyFont="1" applyBorder="1"/>
    <xf numFmtId="0" fontId="9" fillId="0" borderId="22" xfId="0" applyFont="1" applyBorder="1"/>
    <xf numFmtId="9" fontId="9" fillId="0" borderId="22" xfId="4" applyFont="1" applyBorder="1"/>
    <xf numFmtId="0" fontId="9" fillId="0" borderId="23" xfId="0" applyFont="1" applyBorder="1"/>
    <xf numFmtId="0" fontId="9" fillId="0" borderId="24" xfId="0" applyFont="1" applyBorder="1"/>
    <xf numFmtId="0" fontId="9" fillId="0" borderId="25" xfId="0" applyFont="1" applyBorder="1"/>
    <xf numFmtId="0" fontId="9" fillId="0" borderId="15" xfId="0" applyFont="1" applyBorder="1"/>
    <xf numFmtId="44" fontId="9" fillId="0" borderId="25" xfId="0" applyNumberFormat="1" applyFont="1" applyBorder="1"/>
    <xf numFmtId="44" fontId="9" fillId="5" borderId="0" xfId="0" applyNumberFormat="1" applyFont="1" applyFill="1"/>
    <xf numFmtId="0" fontId="8" fillId="5" borderId="0" xfId="0" applyFont="1" applyFill="1" applyAlignment="1">
      <alignment horizontal="left" indent="3"/>
    </xf>
    <xf numFmtId="0" fontId="6" fillId="0" borderId="1" xfId="0" applyFont="1" applyBorder="1" applyAlignment="1">
      <alignment horizontal="center" vertical="center" wrapText="1"/>
    </xf>
    <xf numFmtId="0" fontId="6" fillId="0" borderId="0" xfId="0" applyFont="1" applyAlignment="1">
      <alignment vertical="center"/>
    </xf>
    <xf numFmtId="3" fontId="6" fillId="0" borderId="0" xfId="0" applyNumberFormat="1" applyFont="1" applyAlignment="1">
      <alignment horizontal="center" vertical="center"/>
    </xf>
    <xf numFmtId="6" fontId="6" fillId="0" borderId="0" xfId="0" applyNumberFormat="1" applyFont="1" applyAlignment="1">
      <alignment horizontal="center" vertical="center"/>
    </xf>
    <xf numFmtId="0" fontId="6" fillId="0" borderId="17" xfId="0" applyFont="1" applyBorder="1" applyAlignment="1">
      <alignment vertical="center"/>
    </xf>
    <xf numFmtId="3" fontId="6" fillId="0" borderId="17" xfId="0" applyNumberFormat="1" applyFont="1" applyBorder="1" applyAlignment="1">
      <alignment horizontal="center" vertical="center"/>
    </xf>
    <xf numFmtId="6" fontId="6" fillId="0" borderId="17" xfId="0" applyNumberFormat="1" applyFont="1" applyBorder="1" applyAlignment="1">
      <alignment horizontal="center" vertical="center"/>
    </xf>
    <xf numFmtId="164" fontId="11" fillId="3" borderId="0" xfId="4" applyNumberFormat="1" applyFont="1" applyFill="1" applyBorder="1" applyAlignment="1">
      <alignment horizontal="center"/>
    </xf>
    <xf numFmtId="164" fontId="11" fillId="3" borderId="17" xfId="4" applyNumberFormat="1" applyFont="1" applyFill="1" applyBorder="1" applyAlignment="1">
      <alignment horizontal="center"/>
    </xf>
    <xf numFmtId="0" fontId="6" fillId="2" borderId="1" xfId="0" applyFont="1" applyFill="1" applyBorder="1" applyAlignment="1">
      <alignment vertical="center"/>
    </xf>
    <xf numFmtId="3" fontId="6" fillId="2" borderId="1" xfId="0" applyNumberFormat="1" applyFont="1" applyFill="1" applyBorder="1" applyAlignment="1">
      <alignment horizontal="center" vertical="center"/>
    </xf>
    <xf numFmtId="6" fontId="6" fillId="2" borderId="1" xfId="0" applyNumberFormat="1" applyFont="1" applyFill="1" applyBorder="1" applyAlignment="1">
      <alignment horizontal="center" vertical="center"/>
    </xf>
    <xf numFmtId="0" fontId="9" fillId="0" borderId="1" xfId="0" applyFont="1" applyBorder="1"/>
    <xf numFmtId="0" fontId="1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5"/>
    </xf>
    <xf numFmtId="0" fontId="21" fillId="0" borderId="0" xfId="0" applyFont="1" applyAlignment="1">
      <alignment horizontal="left" vertical="center" indent="5"/>
    </xf>
    <xf numFmtId="0" fontId="9" fillId="0" borderId="0" xfId="6" applyFont="1"/>
    <xf numFmtId="0" fontId="8" fillId="2" borderId="5" xfId="6" applyFont="1" applyFill="1" applyBorder="1"/>
    <xf numFmtId="0" fontId="9" fillId="2" borderId="6" xfId="6" applyFont="1" applyFill="1" applyBorder="1"/>
    <xf numFmtId="0" fontId="9" fillId="2" borderId="0" xfId="6" applyFont="1" applyFill="1"/>
    <xf numFmtId="0" fontId="9" fillId="2" borderId="1" xfId="6" applyFont="1" applyFill="1" applyBorder="1"/>
    <xf numFmtId="9" fontId="9" fillId="2" borderId="1" xfId="6" applyNumberFormat="1" applyFont="1" applyFill="1" applyBorder="1"/>
    <xf numFmtId="43" fontId="9" fillId="2" borderId="1" xfId="7" applyFont="1" applyFill="1" applyBorder="1"/>
    <xf numFmtId="0" fontId="9" fillId="2" borderId="1" xfId="6" quotePrefix="1" applyFont="1" applyFill="1" applyBorder="1"/>
    <xf numFmtId="0" fontId="9" fillId="2" borderId="3" xfId="6" applyFont="1" applyFill="1" applyBorder="1"/>
    <xf numFmtId="9" fontId="9" fillId="2" borderId="3" xfId="6" applyNumberFormat="1" applyFont="1" applyFill="1" applyBorder="1"/>
    <xf numFmtId="0" fontId="9" fillId="2" borderId="1" xfId="6" applyFont="1" applyFill="1" applyBorder="1" applyAlignment="1">
      <alignment horizontal="center"/>
    </xf>
    <xf numFmtId="0" fontId="9" fillId="2" borderId="0" xfId="6" quotePrefix="1" applyFont="1" applyFill="1"/>
    <xf numFmtId="0" fontId="9" fillId="2" borderId="4" xfId="6" applyFont="1" applyFill="1" applyBorder="1"/>
    <xf numFmtId="43" fontId="9" fillId="2" borderId="3" xfId="7" applyFont="1" applyFill="1" applyBorder="1"/>
    <xf numFmtId="0" fontId="8" fillId="2" borderId="0" xfId="0" quotePrefix="1" applyFont="1" applyFill="1"/>
    <xf numFmtId="3" fontId="9" fillId="2" borderId="1" xfId="6" applyNumberFormat="1" applyFont="1" applyFill="1" applyBorder="1"/>
    <xf numFmtId="43" fontId="9" fillId="2" borderId="0" xfId="7" applyFont="1" applyFill="1" applyBorder="1"/>
    <xf numFmtId="3" fontId="9" fillId="2" borderId="0" xfId="6" applyNumberFormat="1" applyFont="1" applyFill="1"/>
    <xf numFmtId="0" fontId="15" fillId="2" borderId="0" xfId="0" applyFont="1" applyFill="1"/>
    <xf numFmtId="0" fontId="11" fillId="2" borderId="0" xfId="0" applyFont="1" applyFill="1" applyAlignment="1">
      <alignment horizontal="left" vertical="center" indent="7"/>
    </xf>
    <xf numFmtId="0" fontId="11" fillId="2" borderId="0" xfId="0" applyFont="1" applyFill="1"/>
    <xf numFmtId="6" fontId="9" fillId="0" borderId="0" xfId="6" applyNumberFormat="1" applyFont="1"/>
    <xf numFmtId="3" fontId="9" fillId="0" borderId="0" xfId="6" applyNumberFormat="1" applyFont="1"/>
    <xf numFmtId="0" fontId="8" fillId="0" borderId="1" xfId="0" applyFont="1" applyBorder="1"/>
    <xf numFmtId="164" fontId="9" fillId="0" borderId="1" xfId="4" applyNumberFormat="1" applyFont="1" applyBorder="1"/>
    <xf numFmtId="9" fontId="9" fillId="0" borderId="1" xfId="0" applyNumberFormat="1" applyFont="1" applyBorder="1"/>
    <xf numFmtId="0" fontId="8" fillId="0" borderId="0" xfId="6" applyFont="1"/>
    <xf numFmtId="6" fontId="9" fillId="3" borderId="0" xfId="6" applyNumberFormat="1" applyFont="1" applyFill="1"/>
    <xf numFmtId="164" fontId="9" fillId="0" borderId="1" xfId="0" applyNumberFormat="1" applyFont="1" applyBorder="1"/>
    <xf numFmtId="0" fontId="8" fillId="0" borderId="0" xfId="6" applyFont="1" applyAlignment="1">
      <alignment horizontal="center"/>
    </xf>
    <xf numFmtId="167" fontId="9" fillId="0" borderId="2" xfId="7" applyNumberFormat="1" applyFont="1" applyBorder="1"/>
    <xf numFmtId="0" fontId="9" fillId="0" borderId="1" xfId="6" applyFont="1" applyBorder="1"/>
    <xf numFmtId="164" fontId="9" fillId="3" borderId="1" xfId="8" applyNumberFormat="1" applyFont="1" applyFill="1" applyBorder="1"/>
    <xf numFmtId="164" fontId="9" fillId="3" borderId="1" xfId="6" applyNumberFormat="1" applyFont="1" applyFill="1" applyBorder="1"/>
    <xf numFmtId="3" fontId="9" fillId="0" borderId="1" xfId="0" applyNumberFormat="1" applyFont="1" applyBorder="1"/>
    <xf numFmtId="167" fontId="9" fillId="3" borderId="1" xfId="7" applyNumberFormat="1" applyFont="1" applyFill="1" applyBorder="1"/>
    <xf numFmtId="0" fontId="22" fillId="0" borderId="0" xfId="6" applyFont="1"/>
    <xf numFmtId="0" fontId="23" fillId="0" borderId="0" xfId="6" applyFont="1"/>
    <xf numFmtId="3" fontId="9" fillId="3" borderId="1" xfId="6" applyNumberFormat="1" applyFont="1" applyFill="1" applyBorder="1"/>
    <xf numFmtId="167" fontId="9" fillId="0" borderId="0" xfId="7" applyNumberFormat="1" applyFont="1"/>
    <xf numFmtId="9" fontId="9" fillId="2" borderId="0" xfId="0" applyNumberFormat="1" applyFont="1" applyFill="1"/>
    <xf numFmtId="0" fontId="8" fillId="2" borderId="1" xfId="0" applyFont="1" applyFill="1" applyBorder="1" applyAlignment="1">
      <alignment horizontal="center" wrapText="1"/>
    </xf>
    <xf numFmtId="0" fontId="8" fillId="2" borderId="6" xfId="0" applyFont="1" applyFill="1" applyBorder="1" applyAlignment="1">
      <alignment horizontal="center" wrapText="1"/>
    </xf>
    <xf numFmtId="9" fontId="9" fillId="2" borderId="1" xfId="8" applyFont="1" applyFill="1" applyBorder="1" applyAlignment="1">
      <alignment horizontal="center"/>
    </xf>
    <xf numFmtId="9" fontId="9" fillId="2" borderId="0" xfId="4" applyFont="1" applyFill="1" applyBorder="1" applyAlignment="1">
      <alignment horizontal="center"/>
    </xf>
    <xf numFmtId="0" fontId="9" fillId="0" borderId="0" xfId="6" applyFont="1" applyAlignment="1">
      <alignment horizontal="left"/>
    </xf>
    <xf numFmtId="168" fontId="9" fillId="0" borderId="0" xfId="7" applyNumberFormat="1" applyFont="1"/>
    <xf numFmtId="0" fontId="9" fillId="0" borderId="1" xfId="6" quotePrefix="1" applyFont="1" applyBorder="1"/>
    <xf numFmtId="0" fontId="9" fillId="0" borderId="1" xfId="6" applyFont="1" applyBorder="1" applyAlignment="1">
      <alignment horizontal="center"/>
    </xf>
    <xf numFmtId="164" fontId="8" fillId="0" borderId="0" xfId="6" applyNumberFormat="1" applyFont="1"/>
    <xf numFmtId="43" fontId="9" fillId="0" borderId="1" xfId="7" applyFont="1" applyFill="1" applyBorder="1"/>
    <xf numFmtId="43" fontId="9" fillId="0" borderId="1" xfId="7" applyFont="1" applyBorder="1"/>
    <xf numFmtId="164" fontId="9" fillId="0" borderId="0" xfId="6" applyNumberFormat="1" applyFont="1"/>
    <xf numFmtId="9" fontId="9" fillId="0" borderId="0" xfId="6" applyNumberFormat="1" applyFont="1"/>
    <xf numFmtId="43" fontId="9" fillId="0" borderId="0" xfId="7" applyFont="1"/>
    <xf numFmtId="164" fontId="9" fillId="3" borderId="0" xfId="8" applyNumberFormat="1" applyFont="1" applyFill="1"/>
    <xf numFmtId="168" fontId="9" fillId="0" borderId="1" xfId="7" applyNumberFormat="1" applyFont="1" applyFill="1" applyBorder="1"/>
    <xf numFmtId="168" fontId="9" fillId="0" borderId="1" xfId="6" applyNumberFormat="1" applyFont="1" applyBorder="1"/>
    <xf numFmtId="0" fontId="24" fillId="2" borderId="0" xfId="0" applyFont="1" applyFill="1"/>
    <xf numFmtId="3" fontId="9" fillId="2" borderId="1" xfId="0" applyNumberFormat="1" applyFont="1" applyFill="1" applyBorder="1" applyAlignment="1">
      <alignment horizontal="center" vertical="center" wrapText="1"/>
    </xf>
    <xf numFmtId="10" fontId="9" fillId="2" borderId="1" xfId="0" applyNumberFormat="1" applyFont="1" applyFill="1" applyBorder="1" applyAlignment="1">
      <alignment horizontal="center" vertical="center" wrapText="1"/>
    </xf>
    <xf numFmtId="8" fontId="9" fillId="2" borderId="1" xfId="0" applyNumberFormat="1" applyFont="1" applyFill="1" applyBorder="1" applyAlignment="1">
      <alignment horizontal="center" vertical="center" wrapText="1"/>
    </xf>
    <xf numFmtId="10" fontId="9" fillId="0" borderId="17" xfId="0" applyNumberFormat="1" applyFont="1" applyBorder="1"/>
    <xf numFmtId="6" fontId="9" fillId="0" borderId="17" xfId="0" applyNumberFormat="1" applyFont="1" applyBorder="1"/>
    <xf numFmtId="167" fontId="9" fillId="0" borderId="0" xfId="9" applyNumberFormat="1" applyFont="1"/>
    <xf numFmtId="167" fontId="9" fillId="0" borderId="0" xfId="0" applyNumberFormat="1" applyFont="1"/>
    <xf numFmtId="16" fontId="9" fillId="0" borderId="0" xfId="0" applyNumberFormat="1" applyFont="1"/>
    <xf numFmtId="0" fontId="9" fillId="0" borderId="5" xfId="0" applyFont="1" applyBorder="1" applyAlignment="1">
      <alignment horizontal="center"/>
    </xf>
    <xf numFmtId="0" fontId="9" fillId="0" borderId="4" xfId="0" applyFont="1" applyBorder="1" applyAlignment="1">
      <alignment horizontal="center"/>
    </xf>
    <xf numFmtId="0" fontId="9" fillId="0" borderId="6" xfId="0" applyFont="1" applyBorder="1" applyAlignment="1">
      <alignment horizontal="center"/>
    </xf>
    <xf numFmtId="0" fontId="9" fillId="0" borderId="1" xfId="0" applyFont="1" applyBorder="1" applyAlignment="1">
      <alignment horizontal="center" vertical="center" wrapText="1"/>
    </xf>
    <xf numFmtId="6" fontId="9" fillId="2" borderId="5" xfId="0" applyNumberFormat="1" applyFont="1" applyFill="1" applyBorder="1" applyAlignment="1">
      <alignment horizontal="center" vertical="center" wrapText="1"/>
    </xf>
    <xf numFmtId="6" fontId="9" fillId="2" borderId="6" xfId="0" applyNumberFormat="1" applyFont="1" applyFill="1" applyBorder="1" applyAlignment="1">
      <alignment horizontal="center" vertical="center" wrapText="1"/>
    </xf>
    <xf numFmtId="9" fontId="9" fillId="2" borderId="5"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0" fontId="8" fillId="2" borderId="5" xfId="0" applyFont="1" applyFill="1" applyBorder="1" applyAlignment="1">
      <alignment horizontal="center"/>
    </xf>
    <xf numFmtId="0" fontId="8" fillId="2" borderId="4" xfId="0" applyFont="1" applyFill="1" applyBorder="1" applyAlignment="1">
      <alignment horizontal="center"/>
    </xf>
    <xf numFmtId="0" fontId="8" fillId="2" borderId="6" xfId="0" applyFont="1" applyFill="1" applyBorder="1" applyAlignment="1">
      <alignment horizont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8" fillId="2" borderId="5" xfId="0" quotePrefix="1" applyFont="1" applyFill="1" applyBorder="1" applyAlignment="1">
      <alignment horizontal="center"/>
    </xf>
    <xf numFmtId="0" fontId="8" fillId="2" borderId="4" xfId="0" quotePrefix="1" applyFont="1" applyFill="1" applyBorder="1" applyAlignment="1">
      <alignment horizontal="center"/>
    </xf>
    <xf numFmtId="0" fontId="8" fillId="2" borderId="6" xfId="0" quotePrefix="1" applyFont="1" applyFill="1" applyBorder="1" applyAlignment="1">
      <alignment horizontal="center"/>
    </xf>
    <xf numFmtId="0" fontId="9" fillId="3" borderId="1" xfId="6" applyFont="1" applyFill="1" applyBorder="1" applyAlignment="1">
      <alignment horizontal="left" wrapText="1"/>
    </xf>
    <xf numFmtId="0" fontId="8" fillId="2" borderId="5" xfId="6" applyFont="1" applyFill="1" applyBorder="1" applyAlignment="1">
      <alignment horizontal="center" vertical="center" wrapText="1"/>
    </xf>
    <xf numFmtId="0" fontId="8" fillId="2" borderId="6" xfId="6" applyFont="1" applyFill="1" applyBorder="1" applyAlignment="1">
      <alignment horizontal="center" vertical="center" wrapText="1"/>
    </xf>
    <xf numFmtId="0" fontId="9" fillId="0" borderId="0" xfId="0" applyFont="1" applyAlignment="1">
      <alignment horizontal="center"/>
    </xf>
    <xf numFmtId="0" fontId="9" fillId="0" borderId="9" xfId="0" applyFont="1" applyBorder="1" applyAlignment="1">
      <alignment horizontal="center"/>
    </xf>
    <xf numFmtId="0" fontId="8" fillId="2" borderId="1" xfId="0" applyFont="1" applyFill="1" applyBorder="1" applyAlignment="1">
      <alignment horizontal="center" vertical="center"/>
    </xf>
  </cellXfs>
  <cellStyles count="11">
    <cellStyle name="Comma" xfId="3" builtinId="3"/>
    <cellStyle name="Comma 2" xfId="9" xr:uid="{D18AA6D7-8689-184A-A728-9EA9ADD12809}"/>
    <cellStyle name="Comma 4" xfId="7" xr:uid="{7CD2823B-FCE4-A74B-BFEF-654A7E224D61}"/>
    <cellStyle name="Currency" xfId="2" builtinId="4"/>
    <cellStyle name="Currency 2" xfId="10" xr:uid="{CFD183F1-C066-E14B-BC58-52B674BA4CD7}"/>
    <cellStyle name="Normal" xfId="0" builtinId="0"/>
    <cellStyle name="Normal 2" xfId="1" xr:uid="{CA9855CC-A0D3-4173-B72D-E517C123FA64}"/>
    <cellStyle name="Normal 8" xfId="6" xr:uid="{A5EE7578-92AA-604A-B9A5-1CE81B718B14}"/>
    <cellStyle name="Normal 9" xfId="5" xr:uid="{C0D28B8E-7F47-8148-9EF0-FE4BBBD03B2F}"/>
    <cellStyle name="Percent" xfId="4" builtinId="5"/>
    <cellStyle name="Percent 6" xfId="8" xr:uid="{344CDBC3-8E10-714F-8321-EE6323F5E7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DC8F-A4A8-482A-9A5B-A25AA6C9209D}">
  <dimension ref="A1:AG100"/>
  <sheetViews>
    <sheetView workbookViewId="0"/>
  </sheetViews>
  <sheetFormatPr defaultColWidth="9.109375" defaultRowHeight="13.8" x14ac:dyDescent="0.25"/>
  <cols>
    <col min="1" max="1" width="20.33203125" style="70" customWidth="1"/>
    <col min="2" max="9" width="12.6640625" style="70" customWidth="1"/>
    <col min="10" max="10" width="9.109375" style="70"/>
    <col min="11" max="11" width="2.33203125" style="165" customWidth="1"/>
    <col min="12" max="12" width="3.33203125" style="70" customWidth="1"/>
    <col min="13" max="13" width="15.44140625" style="70" customWidth="1"/>
    <col min="14" max="21" width="12.33203125" style="70" customWidth="1"/>
    <col min="22" max="22" width="3" style="70" customWidth="1"/>
    <col min="23" max="23" width="2.33203125" style="165" customWidth="1"/>
    <col min="24" max="24" width="2.109375" style="70" customWidth="1"/>
    <col min="25" max="32" width="12.33203125" style="70" customWidth="1"/>
    <col min="33" max="33" width="6.44140625" style="70" customWidth="1"/>
    <col min="34" max="16384" width="9.109375" style="70"/>
  </cols>
  <sheetData>
    <row r="1" spans="1:33" x14ac:dyDescent="0.25">
      <c r="A1" s="164" t="s">
        <v>1</v>
      </c>
      <c r="B1" s="12"/>
      <c r="C1" s="12"/>
      <c r="D1" s="12"/>
      <c r="E1" s="12"/>
      <c r="F1" s="12"/>
      <c r="G1" s="12"/>
      <c r="H1" s="12"/>
      <c r="I1" s="12"/>
      <c r="J1" s="12"/>
      <c r="L1" s="70" t="s">
        <v>0</v>
      </c>
    </row>
    <row r="2" spans="1:33" x14ac:dyDescent="0.25">
      <c r="A2" s="12" t="s">
        <v>22</v>
      </c>
      <c r="B2" s="12"/>
      <c r="C2" s="12"/>
      <c r="D2" s="12"/>
      <c r="E2" s="12"/>
      <c r="F2" s="12"/>
      <c r="G2" s="12"/>
      <c r="H2" s="12"/>
      <c r="I2" s="12"/>
      <c r="J2" s="12"/>
    </row>
    <row r="3" spans="1:33" x14ac:dyDescent="0.25">
      <c r="M3" s="70" t="s">
        <v>523</v>
      </c>
      <c r="Y3" s="70" t="s">
        <v>524</v>
      </c>
    </row>
    <row r="4" spans="1:33" x14ac:dyDescent="0.25">
      <c r="A4" s="12" t="s">
        <v>33</v>
      </c>
      <c r="B4" s="12"/>
      <c r="C4" s="12"/>
      <c r="D4" s="12"/>
      <c r="E4" s="12"/>
      <c r="F4" s="12"/>
      <c r="G4" s="12"/>
      <c r="H4" s="12"/>
      <c r="I4" s="12"/>
      <c r="J4" s="12"/>
    </row>
    <row r="5" spans="1:33" x14ac:dyDescent="0.25">
      <c r="A5" s="12" t="s">
        <v>15</v>
      </c>
      <c r="B5" s="12"/>
      <c r="C5" s="12"/>
      <c r="D5" s="12"/>
      <c r="E5" s="12"/>
      <c r="F5" s="12"/>
      <c r="G5" s="12"/>
      <c r="H5" s="12"/>
      <c r="I5" s="12"/>
      <c r="J5" s="12"/>
      <c r="O5" s="354" t="s">
        <v>350</v>
      </c>
      <c r="P5" s="355"/>
      <c r="Q5" s="355"/>
      <c r="R5" s="356"/>
      <c r="S5" s="354" t="s">
        <v>351</v>
      </c>
      <c r="T5" s="355"/>
      <c r="U5" s="356"/>
    </row>
    <row r="6" spans="1:33" x14ac:dyDescent="0.25">
      <c r="A6" s="12"/>
      <c r="B6" s="12"/>
      <c r="C6" s="12"/>
      <c r="D6" s="12"/>
      <c r="E6" s="12"/>
      <c r="F6" s="12"/>
      <c r="G6" s="12"/>
      <c r="H6" s="12"/>
      <c r="I6" s="12"/>
      <c r="J6" s="12"/>
      <c r="M6" s="166"/>
      <c r="N6" s="167"/>
      <c r="O6" s="357">
        <v>2023</v>
      </c>
      <c r="P6" s="357"/>
      <c r="Q6" s="357"/>
      <c r="R6" s="357"/>
      <c r="S6" s="357">
        <v>2025</v>
      </c>
      <c r="T6" s="357"/>
      <c r="U6" s="357"/>
      <c r="AB6" s="72" t="s">
        <v>350</v>
      </c>
      <c r="AC6" s="72" t="s">
        <v>352</v>
      </c>
      <c r="AD6" s="72" t="s">
        <v>353</v>
      </c>
      <c r="AE6" s="72" t="s">
        <v>351</v>
      </c>
    </row>
    <row r="7" spans="1:33" ht="27.6" x14ac:dyDescent="0.25">
      <c r="A7" s="362" t="s">
        <v>34</v>
      </c>
      <c r="B7" s="363"/>
      <c r="C7" s="363"/>
      <c r="D7" s="363"/>
      <c r="E7" s="364"/>
      <c r="F7" s="12"/>
      <c r="G7" s="12"/>
      <c r="H7" s="12"/>
      <c r="I7" s="12"/>
      <c r="J7" s="12"/>
      <c r="M7" s="166" t="s">
        <v>45</v>
      </c>
      <c r="N7" s="167" t="s">
        <v>46</v>
      </c>
      <c r="O7" s="75" t="s">
        <v>525</v>
      </c>
      <c r="P7" s="75" t="s">
        <v>526</v>
      </c>
      <c r="Q7" s="75" t="s">
        <v>527</v>
      </c>
      <c r="R7" s="75" t="s">
        <v>528</v>
      </c>
      <c r="S7" s="75" t="s">
        <v>525</v>
      </c>
      <c r="T7" s="75" t="s">
        <v>527</v>
      </c>
      <c r="U7" s="75" t="s">
        <v>528</v>
      </c>
      <c r="Y7" s="168" t="s">
        <v>57</v>
      </c>
      <c r="Z7" s="75" t="s">
        <v>58</v>
      </c>
      <c r="AA7" s="75" t="s">
        <v>59</v>
      </c>
      <c r="AB7" s="75" t="s">
        <v>525</v>
      </c>
      <c r="AC7" s="75" t="s">
        <v>526</v>
      </c>
      <c r="AD7" s="75" t="s">
        <v>44</v>
      </c>
      <c r="AE7" s="75" t="s">
        <v>529</v>
      </c>
      <c r="AF7" s="75" t="s">
        <v>530</v>
      </c>
      <c r="AG7" s="169" t="s">
        <v>531</v>
      </c>
    </row>
    <row r="8" spans="1:33" x14ac:dyDescent="0.25">
      <c r="A8" s="43"/>
      <c r="B8" s="365">
        <v>2023</v>
      </c>
      <c r="C8" s="366"/>
      <c r="D8" s="365">
        <v>2025</v>
      </c>
      <c r="E8" s="366"/>
      <c r="F8" s="12"/>
      <c r="G8" s="12"/>
      <c r="H8" s="12"/>
      <c r="I8" s="12"/>
      <c r="J8" s="12"/>
      <c r="M8" s="168" t="s">
        <v>30</v>
      </c>
      <c r="N8" s="170">
        <f>B28</f>
        <v>505</v>
      </c>
      <c r="O8" s="171">
        <f>N8</f>
        <v>505</v>
      </c>
      <c r="P8" s="171">
        <v>0</v>
      </c>
      <c r="Q8" s="171">
        <f>SUM(O8:P8)</f>
        <v>505</v>
      </c>
      <c r="R8" s="171">
        <f>Q8</f>
        <v>505</v>
      </c>
      <c r="S8" s="171">
        <f>$N$8</f>
        <v>505</v>
      </c>
      <c r="T8" s="171">
        <f>S8</f>
        <v>505</v>
      </c>
      <c r="U8" s="171">
        <f>T8</f>
        <v>505</v>
      </c>
      <c r="Y8" s="168" t="s">
        <v>60</v>
      </c>
      <c r="Z8" s="171">
        <f t="shared" ref="Z8:AA19" si="0">B58</f>
        <v>405</v>
      </c>
      <c r="AA8" s="171">
        <f t="shared" si="0"/>
        <v>100</v>
      </c>
      <c r="AB8" s="171">
        <f t="shared" ref="AB8:AB19" si="1">IF($AG8="ded",MIN(SUM(Z8:AA8),$D$9),IF($AG8="ICL",$D$13*SUM(Z8:AA8),0))</f>
        <v>505</v>
      </c>
      <c r="AC8" s="171">
        <f t="shared" ref="AC8:AC19" si="2">IF($AG8="ded",0,IF($AG8="ICL",$D$14*Z8,$D$24*Z8))</f>
        <v>0</v>
      </c>
      <c r="AD8" s="171">
        <f>IF(AG8="Cat",$D$23*Z8+$E$23*AA8,0)</f>
        <v>0</v>
      </c>
      <c r="AE8" s="171">
        <f t="shared" ref="AE8:AE19" si="3">IF($AG8="ded",0,IF($AG8="ICL",$D$12*Z8+$E$12*AA8,$D$22*Z8+$E$22*AA8))</f>
        <v>0</v>
      </c>
      <c r="AF8" s="171">
        <f>AB8</f>
        <v>505</v>
      </c>
      <c r="AG8" s="169" t="s">
        <v>532</v>
      </c>
    </row>
    <row r="9" spans="1:33" ht="27.6" x14ac:dyDescent="0.25">
      <c r="A9" s="43" t="s">
        <v>30</v>
      </c>
      <c r="B9" s="358">
        <v>505</v>
      </c>
      <c r="C9" s="359"/>
      <c r="D9" s="358">
        <v>505</v>
      </c>
      <c r="E9" s="359"/>
      <c r="F9" s="12"/>
      <c r="G9" s="12"/>
      <c r="H9" s="12"/>
      <c r="I9" s="12"/>
      <c r="J9" s="12"/>
      <c r="M9" s="168" t="s">
        <v>47</v>
      </c>
      <c r="N9" s="170">
        <f>B29</f>
        <v>4155</v>
      </c>
      <c r="O9" s="171">
        <f>N9*$B$13</f>
        <v>1038.75</v>
      </c>
      <c r="P9" s="171">
        <v>0</v>
      </c>
      <c r="Q9" s="171">
        <f t="shared" ref="Q9:Q11" si="4">SUM(O9:P9)</f>
        <v>1038.75</v>
      </c>
      <c r="R9" s="171">
        <f>MIN(R8+Q9,$C$20)</f>
        <v>1543.75</v>
      </c>
      <c r="S9" s="171">
        <f>$D$13*N9</f>
        <v>1038.75</v>
      </c>
      <c r="T9" s="171">
        <f>S9</f>
        <v>1038.75</v>
      </c>
      <c r="U9" s="171">
        <f>MIN(U8+T9,2000)</f>
        <v>1543.75</v>
      </c>
      <c r="Y9" s="168" t="s">
        <v>61</v>
      </c>
      <c r="Z9" s="171">
        <f t="shared" si="0"/>
        <v>1207</v>
      </c>
      <c r="AA9" s="171">
        <f t="shared" si="0"/>
        <v>100</v>
      </c>
      <c r="AB9" s="171">
        <f t="shared" si="1"/>
        <v>326.75</v>
      </c>
      <c r="AC9" s="171">
        <f t="shared" si="2"/>
        <v>120.7</v>
      </c>
      <c r="AD9" s="171">
        <f t="shared" ref="AD9:AD19" si="5">IF(AG9="Cat",$D$23*Z9+$E$23*AA9,0)</f>
        <v>0</v>
      </c>
      <c r="AE9" s="171">
        <f t="shared" si="3"/>
        <v>859.55000000000007</v>
      </c>
      <c r="AF9" s="171">
        <f>MIN(2000,AF8+AB9)</f>
        <v>831.75</v>
      </c>
      <c r="AG9" s="169" t="s">
        <v>533</v>
      </c>
    </row>
    <row r="10" spans="1:33" ht="27.6" x14ac:dyDescent="0.25">
      <c r="A10" s="43"/>
      <c r="B10" s="44" t="s">
        <v>35</v>
      </c>
      <c r="C10" s="44" t="s">
        <v>36</v>
      </c>
      <c r="D10" s="44" t="s">
        <v>35</v>
      </c>
      <c r="E10" s="44" t="s">
        <v>36</v>
      </c>
      <c r="F10" s="12"/>
      <c r="G10" s="12"/>
      <c r="H10" s="12"/>
      <c r="I10" s="12"/>
      <c r="J10" s="12"/>
      <c r="M10" s="168" t="s">
        <v>48</v>
      </c>
      <c r="N10" s="170">
        <f>B30</f>
        <v>5768</v>
      </c>
      <c r="O10" s="171">
        <f>$B$17*N10</f>
        <v>1442</v>
      </c>
      <c r="P10" s="171">
        <f>$B$18*N10</f>
        <v>4037.6</v>
      </c>
      <c r="Q10" s="171">
        <f>SUM(O10:P10)</f>
        <v>5479.6</v>
      </c>
      <c r="R10" s="171">
        <f>MIN(R9+Q10,$C$20)</f>
        <v>7023.35</v>
      </c>
      <c r="S10" s="171">
        <f>MIN(2000-U9,N10*D13)</f>
        <v>456.25</v>
      </c>
      <c r="T10" s="171">
        <f>S10</f>
        <v>456.25</v>
      </c>
      <c r="U10" s="171">
        <f>MIN(U9+T10,2000)</f>
        <v>2000</v>
      </c>
      <c r="Y10" s="168" t="s">
        <v>62</v>
      </c>
      <c r="Z10" s="171">
        <f t="shared" si="0"/>
        <v>1207</v>
      </c>
      <c r="AA10" s="171">
        <f t="shared" si="0"/>
        <v>100</v>
      </c>
      <c r="AB10" s="171">
        <f t="shared" si="1"/>
        <v>326.75</v>
      </c>
      <c r="AC10" s="171">
        <f t="shared" si="2"/>
        <v>120.7</v>
      </c>
      <c r="AD10" s="171">
        <f t="shared" si="5"/>
        <v>0</v>
      </c>
      <c r="AE10" s="171">
        <f t="shared" si="3"/>
        <v>859.55000000000007</v>
      </c>
      <c r="AF10" s="171">
        <f t="shared" ref="AF10:AF19" si="6">MIN(2000,AF9+AB10)</f>
        <v>1158.5</v>
      </c>
      <c r="AG10" s="169" t="s">
        <v>533</v>
      </c>
    </row>
    <row r="11" spans="1:33" ht="27.6" x14ac:dyDescent="0.25">
      <c r="A11" s="43" t="s">
        <v>37</v>
      </c>
      <c r="B11" s="358">
        <v>4660</v>
      </c>
      <c r="C11" s="359"/>
      <c r="D11" s="360" t="s">
        <v>19</v>
      </c>
      <c r="E11" s="361"/>
      <c r="F11" s="12"/>
      <c r="G11" s="12"/>
      <c r="H11" s="12"/>
      <c r="I11" s="12"/>
      <c r="J11" s="12"/>
      <c r="M11" s="168" t="s">
        <v>49</v>
      </c>
      <c r="N11" s="170">
        <f>B31</f>
        <v>1506.6</v>
      </c>
      <c r="O11" s="171">
        <f>$C$17*N11</f>
        <v>376.65</v>
      </c>
      <c r="P11" s="171">
        <v>0</v>
      </c>
      <c r="Q11" s="171">
        <f t="shared" si="4"/>
        <v>376.65</v>
      </c>
      <c r="R11" s="171">
        <f>MIN(R10+Q11,$C$20)</f>
        <v>7400</v>
      </c>
      <c r="S11" s="171">
        <f>MIN(2000-U10,N11*D13)</f>
        <v>0</v>
      </c>
      <c r="T11" s="171">
        <v>0</v>
      </c>
      <c r="U11" s="171">
        <v>0</v>
      </c>
      <c r="Y11" s="168" t="s">
        <v>63</v>
      </c>
      <c r="Z11" s="171">
        <f t="shared" si="0"/>
        <v>1207</v>
      </c>
      <c r="AA11" s="171">
        <f t="shared" si="0"/>
        <v>100</v>
      </c>
      <c r="AB11" s="171">
        <f t="shared" si="1"/>
        <v>326.75</v>
      </c>
      <c r="AC11" s="171">
        <f t="shared" si="2"/>
        <v>120.7</v>
      </c>
      <c r="AD11" s="171">
        <f t="shared" si="5"/>
        <v>0</v>
      </c>
      <c r="AE11" s="171">
        <f t="shared" si="3"/>
        <v>859.55000000000007</v>
      </c>
      <c r="AF11" s="171">
        <f t="shared" si="6"/>
        <v>1485.25</v>
      </c>
      <c r="AG11" s="169" t="s">
        <v>533</v>
      </c>
    </row>
    <row r="12" spans="1:33" x14ac:dyDescent="0.25">
      <c r="A12" s="43" t="s">
        <v>38</v>
      </c>
      <c r="B12" s="360">
        <v>0.75</v>
      </c>
      <c r="C12" s="361"/>
      <c r="D12" s="45">
        <v>0.65</v>
      </c>
      <c r="E12" s="45">
        <v>0.75</v>
      </c>
      <c r="F12" s="12"/>
      <c r="G12" s="12"/>
      <c r="H12" s="12"/>
      <c r="I12" s="12"/>
      <c r="J12" s="12"/>
      <c r="M12" s="168" t="s">
        <v>50</v>
      </c>
      <c r="N12" s="170">
        <f>B32</f>
        <v>500</v>
      </c>
      <c r="O12" s="171">
        <f>$B$21*N12</f>
        <v>25</v>
      </c>
      <c r="P12" s="171">
        <v>0</v>
      </c>
      <c r="Q12" s="171">
        <v>0</v>
      </c>
      <c r="R12" s="171">
        <f>MIN(R11+Q12,$C$20)</f>
        <v>7400</v>
      </c>
      <c r="S12" s="171">
        <f>N12*D21</f>
        <v>0</v>
      </c>
      <c r="T12" s="171">
        <f>S12</f>
        <v>0</v>
      </c>
      <c r="U12" s="171">
        <f>T12</f>
        <v>0</v>
      </c>
      <c r="Y12" s="168" t="s">
        <v>64</v>
      </c>
      <c r="Z12" s="171">
        <f t="shared" si="0"/>
        <v>1207</v>
      </c>
      <c r="AA12" s="171">
        <f t="shared" si="0"/>
        <v>100</v>
      </c>
      <c r="AB12" s="171">
        <f t="shared" si="1"/>
        <v>326.75</v>
      </c>
      <c r="AC12" s="171">
        <f t="shared" si="2"/>
        <v>120.7</v>
      </c>
      <c r="AD12" s="171">
        <f t="shared" si="5"/>
        <v>0</v>
      </c>
      <c r="AE12" s="171">
        <f t="shared" si="3"/>
        <v>859.55000000000007</v>
      </c>
      <c r="AF12" s="171">
        <f t="shared" si="6"/>
        <v>1812</v>
      </c>
      <c r="AG12" s="169" t="s">
        <v>533</v>
      </c>
    </row>
    <row r="13" spans="1:33" x14ac:dyDescent="0.25">
      <c r="A13" s="43" t="s">
        <v>39</v>
      </c>
      <c r="B13" s="360">
        <v>0.25</v>
      </c>
      <c r="C13" s="361"/>
      <c r="D13" s="360">
        <v>0.25</v>
      </c>
      <c r="E13" s="361"/>
      <c r="F13" s="12"/>
      <c r="G13" s="12"/>
      <c r="H13" s="12"/>
      <c r="I13" s="12"/>
      <c r="J13" s="12"/>
      <c r="M13" s="168" t="s">
        <v>51</v>
      </c>
      <c r="N13" s="170">
        <f>SUM(N8:N12)</f>
        <v>12434.6</v>
      </c>
      <c r="O13" s="172">
        <f>SUM(O8:O12)</f>
        <v>3387.4</v>
      </c>
      <c r="P13" s="171">
        <f>SUM(P8:P12)</f>
        <v>4037.6</v>
      </c>
      <c r="Q13" s="172">
        <f>MIN(SUM(Q8:Q11),$C$20)</f>
        <v>7400</v>
      </c>
      <c r="R13" s="171"/>
      <c r="S13" s="172">
        <f>SUM(S8:S11)</f>
        <v>2000</v>
      </c>
      <c r="T13" s="173">
        <f>SUM(T8:T12)</f>
        <v>2000</v>
      </c>
      <c r="U13" s="172">
        <f>U10</f>
        <v>2000</v>
      </c>
      <c r="Y13" s="168" t="s">
        <v>65</v>
      </c>
      <c r="Z13" s="171">
        <f t="shared" si="0"/>
        <v>500</v>
      </c>
      <c r="AA13" s="171">
        <f t="shared" si="0"/>
        <v>250</v>
      </c>
      <c r="AB13" s="171">
        <f t="shared" si="1"/>
        <v>187.5</v>
      </c>
      <c r="AC13" s="171">
        <f t="shared" si="2"/>
        <v>50</v>
      </c>
      <c r="AD13" s="171">
        <f t="shared" si="5"/>
        <v>0</v>
      </c>
      <c r="AE13" s="171">
        <f t="shared" si="3"/>
        <v>512.5</v>
      </c>
      <c r="AF13" s="171">
        <f t="shared" si="6"/>
        <v>1999.5</v>
      </c>
      <c r="AG13" s="169" t="s">
        <v>533</v>
      </c>
    </row>
    <row r="14" spans="1:33" x14ac:dyDescent="0.25">
      <c r="A14" s="43" t="s">
        <v>40</v>
      </c>
      <c r="B14" s="360" t="s">
        <v>19</v>
      </c>
      <c r="C14" s="361"/>
      <c r="D14" s="45">
        <v>0.1</v>
      </c>
      <c r="E14" s="45">
        <v>0</v>
      </c>
      <c r="F14" s="12"/>
      <c r="G14" s="12"/>
      <c r="H14" s="12"/>
      <c r="I14" s="12"/>
      <c r="J14" s="12"/>
      <c r="Y14" s="168" t="s">
        <v>66</v>
      </c>
      <c r="Z14" s="171">
        <f t="shared" si="0"/>
        <v>500</v>
      </c>
      <c r="AA14" s="171">
        <f t="shared" si="0"/>
        <v>250</v>
      </c>
      <c r="AB14" s="171">
        <f t="shared" si="1"/>
        <v>0</v>
      </c>
      <c r="AC14" s="171">
        <f t="shared" si="2"/>
        <v>100</v>
      </c>
      <c r="AD14" s="171">
        <f t="shared" si="5"/>
        <v>200</v>
      </c>
      <c r="AE14" s="171">
        <f t="shared" si="3"/>
        <v>450</v>
      </c>
      <c r="AF14" s="171">
        <f t="shared" si="6"/>
        <v>1999.5</v>
      </c>
      <c r="AG14" s="169" t="s">
        <v>534</v>
      </c>
    </row>
    <row r="15" spans="1:33" x14ac:dyDescent="0.25">
      <c r="A15" s="43" t="s">
        <v>41</v>
      </c>
      <c r="B15" s="174"/>
      <c r="C15" s="43"/>
      <c r="D15" s="43"/>
      <c r="E15" s="43"/>
      <c r="F15" s="12"/>
      <c r="G15" s="12"/>
      <c r="H15" s="12"/>
      <c r="I15" s="12"/>
      <c r="J15" s="12"/>
      <c r="Y15" s="168" t="s">
        <v>67</v>
      </c>
      <c r="Z15" s="171">
        <f t="shared" si="0"/>
        <v>500</v>
      </c>
      <c r="AA15" s="171">
        <f t="shared" si="0"/>
        <v>250</v>
      </c>
      <c r="AB15" s="171">
        <f t="shared" si="1"/>
        <v>0</v>
      </c>
      <c r="AC15" s="171">
        <f t="shared" si="2"/>
        <v>100</v>
      </c>
      <c r="AD15" s="171">
        <f t="shared" si="5"/>
        <v>200</v>
      </c>
      <c r="AE15" s="171">
        <f t="shared" si="3"/>
        <v>450</v>
      </c>
      <c r="AF15" s="171">
        <f t="shared" si="6"/>
        <v>1999.5</v>
      </c>
      <c r="AG15" s="169" t="s">
        <v>535</v>
      </c>
    </row>
    <row r="16" spans="1:33" x14ac:dyDescent="0.25">
      <c r="A16" s="43" t="s">
        <v>38</v>
      </c>
      <c r="B16" s="45">
        <v>0.05</v>
      </c>
      <c r="C16" s="45">
        <v>0.75</v>
      </c>
      <c r="D16" s="43"/>
      <c r="E16" s="43"/>
      <c r="F16" s="12"/>
      <c r="G16" s="12"/>
      <c r="H16" s="12"/>
      <c r="I16" s="12"/>
      <c r="J16" s="12"/>
      <c r="Y16" s="168" t="s">
        <v>68</v>
      </c>
      <c r="Z16" s="171">
        <f t="shared" si="0"/>
        <v>500</v>
      </c>
      <c r="AA16" s="171">
        <f t="shared" si="0"/>
        <v>250</v>
      </c>
      <c r="AB16" s="171">
        <f t="shared" si="1"/>
        <v>0</v>
      </c>
      <c r="AC16" s="171">
        <f t="shared" si="2"/>
        <v>100</v>
      </c>
      <c r="AD16" s="171">
        <f t="shared" si="5"/>
        <v>200</v>
      </c>
      <c r="AE16" s="171">
        <f t="shared" si="3"/>
        <v>450</v>
      </c>
      <c r="AF16" s="171">
        <f t="shared" si="6"/>
        <v>1999.5</v>
      </c>
      <c r="AG16" s="169" t="s">
        <v>535</v>
      </c>
    </row>
    <row r="17" spans="1:33" x14ac:dyDescent="0.25">
      <c r="A17" s="43" t="s">
        <v>39</v>
      </c>
      <c r="B17" s="45">
        <v>0.25</v>
      </c>
      <c r="C17" s="45">
        <v>0.25</v>
      </c>
      <c r="D17" s="43"/>
      <c r="E17" s="43"/>
      <c r="F17" s="12"/>
      <c r="G17" s="12"/>
      <c r="H17" s="12"/>
      <c r="I17" s="12"/>
      <c r="J17" s="12"/>
      <c r="Y17" s="168" t="s">
        <v>69</v>
      </c>
      <c r="Z17" s="171">
        <f t="shared" si="0"/>
        <v>500</v>
      </c>
      <c r="AA17" s="171">
        <f t="shared" si="0"/>
        <v>250</v>
      </c>
      <c r="AB17" s="171">
        <f t="shared" si="1"/>
        <v>0</v>
      </c>
      <c r="AC17" s="171">
        <f t="shared" si="2"/>
        <v>100</v>
      </c>
      <c r="AD17" s="171">
        <f t="shared" si="5"/>
        <v>200</v>
      </c>
      <c r="AE17" s="171">
        <f t="shared" si="3"/>
        <v>450</v>
      </c>
      <c r="AF17" s="171">
        <f t="shared" si="6"/>
        <v>1999.5</v>
      </c>
      <c r="AG17" s="169" t="s">
        <v>535</v>
      </c>
    </row>
    <row r="18" spans="1:33" x14ac:dyDescent="0.25">
      <c r="A18" s="43" t="s">
        <v>40</v>
      </c>
      <c r="B18" s="45">
        <v>0.7</v>
      </c>
      <c r="C18" s="44" t="s">
        <v>19</v>
      </c>
      <c r="D18" s="43"/>
      <c r="E18" s="43"/>
      <c r="F18" s="12"/>
      <c r="G18" s="12"/>
      <c r="H18" s="12"/>
      <c r="I18" s="12"/>
      <c r="J18" s="12"/>
      <c r="Y18" s="168" t="s">
        <v>70</v>
      </c>
      <c r="Z18" s="171">
        <f t="shared" si="0"/>
        <v>500</v>
      </c>
      <c r="AA18" s="171">
        <f t="shared" si="0"/>
        <v>250</v>
      </c>
      <c r="AB18" s="171">
        <f t="shared" si="1"/>
        <v>0</v>
      </c>
      <c r="AC18" s="171">
        <f t="shared" si="2"/>
        <v>100</v>
      </c>
      <c r="AD18" s="171">
        <f t="shared" si="5"/>
        <v>200</v>
      </c>
      <c r="AE18" s="171">
        <f t="shared" si="3"/>
        <v>450</v>
      </c>
      <c r="AF18" s="171">
        <f t="shared" si="6"/>
        <v>1999.5</v>
      </c>
      <c r="AG18" s="169" t="s">
        <v>535</v>
      </c>
    </row>
    <row r="19" spans="1:33" x14ac:dyDescent="0.25">
      <c r="A19" s="43" t="s">
        <v>42</v>
      </c>
      <c r="B19" s="358">
        <v>7400</v>
      </c>
      <c r="C19" s="359"/>
      <c r="D19" s="43"/>
      <c r="E19" s="43"/>
      <c r="F19" s="12"/>
      <c r="G19" s="12"/>
      <c r="H19" s="12"/>
      <c r="I19" s="12"/>
      <c r="J19" s="12"/>
      <c r="Y19" s="168" t="s">
        <v>71</v>
      </c>
      <c r="Z19" s="171">
        <f t="shared" si="0"/>
        <v>500</v>
      </c>
      <c r="AA19" s="171">
        <f t="shared" si="0"/>
        <v>250</v>
      </c>
      <c r="AB19" s="171">
        <f t="shared" si="1"/>
        <v>0</v>
      </c>
      <c r="AC19" s="171">
        <f t="shared" si="2"/>
        <v>100</v>
      </c>
      <c r="AD19" s="171">
        <f t="shared" si="5"/>
        <v>200</v>
      </c>
      <c r="AE19" s="171">
        <f t="shared" si="3"/>
        <v>450</v>
      </c>
      <c r="AF19" s="171">
        <f t="shared" si="6"/>
        <v>1999.5</v>
      </c>
      <c r="AG19" s="169" t="s">
        <v>535</v>
      </c>
    </row>
    <row r="20" spans="1:33" x14ac:dyDescent="0.25">
      <c r="A20" s="43" t="s">
        <v>43</v>
      </c>
      <c r="B20" s="44" t="s">
        <v>35</v>
      </c>
      <c r="C20" s="44" t="s">
        <v>36</v>
      </c>
      <c r="D20" s="44" t="s">
        <v>35</v>
      </c>
      <c r="E20" s="44" t="s">
        <v>36</v>
      </c>
      <c r="F20" s="12"/>
      <c r="G20" s="12"/>
      <c r="H20" s="12"/>
      <c r="I20" s="12"/>
      <c r="J20" s="12"/>
      <c r="Y20" s="168" t="s">
        <v>51</v>
      </c>
      <c r="Z20" s="171"/>
      <c r="AA20" s="171"/>
      <c r="AB20" s="172">
        <f>SUM(AB8:AB19)</f>
        <v>1999.5</v>
      </c>
      <c r="AC20" s="172">
        <f>SUM(AC8:AC19)</f>
        <v>1132.8</v>
      </c>
      <c r="AD20" s="172">
        <f>SUM(AD8:AD19)</f>
        <v>1200</v>
      </c>
      <c r="AE20" s="172">
        <f>SUM(AE8:AE19)</f>
        <v>6650.7000000000007</v>
      </c>
      <c r="AF20" s="175"/>
    </row>
    <row r="21" spans="1:33" x14ac:dyDescent="0.25">
      <c r="A21" s="43" t="s">
        <v>39</v>
      </c>
      <c r="B21" s="360">
        <v>0.05</v>
      </c>
      <c r="C21" s="361"/>
      <c r="D21" s="45">
        <v>0</v>
      </c>
      <c r="E21" s="45">
        <v>0</v>
      </c>
      <c r="F21" s="12"/>
      <c r="G21" s="12"/>
      <c r="H21" s="12"/>
      <c r="I21" s="12"/>
      <c r="J21" s="12"/>
    </row>
    <row r="22" spans="1:33" x14ac:dyDescent="0.25">
      <c r="A22" s="43" t="s">
        <v>38</v>
      </c>
      <c r="B22" s="360">
        <v>0.15</v>
      </c>
      <c r="C22" s="361"/>
      <c r="D22" s="45">
        <v>0.6</v>
      </c>
      <c r="E22" s="45">
        <v>0.6</v>
      </c>
      <c r="F22" s="12"/>
      <c r="G22" s="12"/>
      <c r="H22" s="12"/>
      <c r="I22" s="12"/>
      <c r="J22" s="12"/>
    </row>
    <row r="23" spans="1:33" x14ac:dyDescent="0.25">
      <c r="A23" s="43" t="s">
        <v>44</v>
      </c>
      <c r="B23" s="360">
        <v>0.8</v>
      </c>
      <c r="C23" s="361"/>
      <c r="D23" s="45">
        <v>0.2</v>
      </c>
      <c r="E23" s="45">
        <v>0.4</v>
      </c>
      <c r="F23" s="12"/>
      <c r="G23" s="12"/>
      <c r="H23" s="12"/>
      <c r="I23" s="12"/>
      <c r="J23" s="12"/>
    </row>
    <row r="24" spans="1:33" x14ac:dyDescent="0.25">
      <c r="A24" s="43" t="s">
        <v>40</v>
      </c>
      <c r="B24" s="360" t="s">
        <v>19</v>
      </c>
      <c r="C24" s="361"/>
      <c r="D24" s="45">
        <v>0.2</v>
      </c>
      <c r="E24" s="45">
        <v>0</v>
      </c>
      <c r="F24" s="12"/>
      <c r="G24" s="12"/>
      <c r="H24" s="12"/>
      <c r="I24" s="12"/>
      <c r="J24" s="12"/>
    </row>
    <row r="25" spans="1:33" x14ac:dyDescent="0.25">
      <c r="A25" s="12"/>
      <c r="B25" s="12"/>
      <c r="C25" s="12"/>
      <c r="D25" s="12"/>
      <c r="E25" s="12"/>
      <c r="F25" s="12"/>
      <c r="G25" s="12"/>
      <c r="H25" s="12"/>
      <c r="I25" s="12"/>
      <c r="J25" s="12"/>
    </row>
    <row r="26" spans="1:33" ht="28.05" customHeight="1" x14ac:dyDescent="0.25">
      <c r="A26" s="367" t="s">
        <v>77</v>
      </c>
      <c r="B26" s="368"/>
      <c r="C26" s="12"/>
      <c r="D26" s="12"/>
      <c r="E26" s="12"/>
      <c r="F26" s="12"/>
      <c r="G26" s="12"/>
      <c r="H26" s="12"/>
      <c r="I26" s="12"/>
      <c r="J26" s="12"/>
    </row>
    <row r="27" spans="1:33" x14ac:dyDescent="0.25">
      <c r="A27" s="43" t="s">
        <v>45</v>
      </c>
      <c r="B27" s="44" t="s">
        <v>46</v>
      </c>
      <c r="C27" s="12"/>
      <c r="D27" s="12"/>
      <c r="E27" s="12"/>
      <c r="F27" s="12"/>
      <c r="G27" s="12"/>
      <c r="H27" s="12"/>
      <c r="I27" s="12"/>
      <c r="J27" s="12"/>
    </row>
    <row r="28" spans="1:33" x14ac:dyDescent="0.25">
      <c r="A28" s="43" t="s">
        <v>30</v>
      </c>
      <c r="B28" s="176">
        <v>505</v>
      </c>
      <c r="C28" s="12"/>
      <c r="D28" s="12"/>
      <c r="E28" s="12"/>
      <c r="F28" s="12"/>
      <c r="G28" s="12"/>
      <c r="H28" s="12"/>
      <c r="I28" s="12"/>
      <c r="J28" s="12"/>
    </row>
    <row r="29" spans="1:33" x14ac:dyDescent="0.25">
      <c r="A29" s="43" t="s">
        <v>47</v>
      </c>
      <c r="B29" s="176">
        <v>4155</v>
      </c>
      <c r="C29" s="12"/>
      <c r="D29" s="12"/>
      <c r="E29" s="12"/>
      <c r="F29" s="12"/>
      <c r="G29" s="12"/>
      <c r="H29" s="12"/>
      <c r="I29" s="12"/>
      <c r="J29" s="12"/>
    </row>
    <row r="30" spans="1:33" x14ac:dyDescent="0.25">
      <c r="A30" s="43" t="s">
        <v>48</v>
      </c>
      <c r="B30" s="176">
        <v>5768</v>
      </c>
      <c r="C30" s="12"/>
      <c r="D30" s="12"/>
      <c r="E30" s="12"/>
      <c r="F30" s="12"/>
      <c r="G30" s="12"/>
      <c r="H30" s="12"/>
      <c r="I30" s="12"/>
      <c r="J30" s="12"/>
    </row>
    <row r="31" spans="1:33" x14ac:dyDescent="0.25">
      <c r="A31" s="43" t="s">
        <v>49</v>
      </c>
      <c r="B31" s="176">
        <v>1506.6</v>
      </c>
      <c r="C31" s="12"/>
      <c r="D31" s="12"/>
      <c r="E31" s="12"/>
      <c r="F31" s="12"/>
      <c r="G31" s="12"/>
      <c r="H31" s="12"/>
      <c r="I31" s="12"/>
      <c r="J31" s="12"/>
    </row>
    <row r="32" spans="1:33" x14ac:dyDescent="0.25">
      <c r="A32" s="43" t="s">
        <v>50</v>
      </c>
      <c r="B32" s="176">
        <v>500</v>
      </c>
      <c r="C32" s="12"/>
      <c r="D32" s="12"/>
      <c r="E32" s="12"/>
      <c r="F32" s="12"/>
      <c r="G32" s="12"/>
      <c r="H32" s="12"/>
      <c r="I32" s="12"/>
      <c r="J32" s="12"/>
    </row>
    <row r="33" spans="1:10" x14ac:dyDescent="0.25">
      <c r="A33" s="43" t="s">
        <v>51</v>
      </c>
      <c r="B33" s="176">
        <f>SUM(B28:B32)</f>
        <v>12434.6</v>
      </c>
      <c r="C33" s="12"/>
      <c r="D33" s="12"/>
      <c r="E33" s="12"/>
      <c r="F33" s="12"/>
      <c r="G33" s="12"/>
      <c r="H33" s="12"/>
      <c r="I33" s="12"/>
      <c r="J33" s="12"/>
    </row>
    <row r="34" spans="1:10" x14ac:dyDescent="0.25">
      <c r="A34" s="12"/>
      <c r="B34" s="12"/>
      <c r="C34" s="12"/>
      <c r="D34" s="12"/>
      <c r="E34" s="12"/>
      <c r="F34" s="12"/>
      <c r="G34" s="12"/>
      <c r="H34" s="12"/>
      <c r="I34" s="12"/>
      <c r="J34" s="12"/>
    </row>
    <row r="35" spans="1:10" x14ac:dyDescent="0.25">
      <c r="A35" s="12" t="s">
        <v>55</v>
      </c>
      <c r="B35" s="12"/>
      <c r="C35" s="12"/>
      <c r="D35" s="12"/>
      <c r="E35" s="12"/>
      <c r="F35" s="12"/>
      <c r="G35" s="12"/>
      <c r="H35" s="12"/>
      <c r="I35" s="12"/>
      <c r="J35" s="12"/>
    </row>
    <row r="36" spans="1:10" x14ac:dyDescent="0.25">
      <c r="A36" s="12"/>
      <c r="B36" s="12" t="s">
        <v>52</v>
      </c>
      <c r="C36" s="12"/>
      <c r="D36" s="12"/>
      <c r="E36" s="12"/>
      <c r="F36" s="12"/>
      <c r="G36" s="12"/>
      <c r="H36" s="12"/>
      <c r="I36" s="12"/>
      <c r="J36" s="12"/>
    </row>
    <row r="37" spans="1:10" x14ac:dyDescent="0.25">
      <c r="A37" s="12"/>
      <c r="B37" s="177" t="s">
        <v>53</v>
      </c>
      <c r="C37" s="12"/>
      <c r="D37" s="12"/>
      <c r="E37" s="12"/>
      <c r="F37" s="12"/>
      <c r="G37" s="12"/>
      <c r="H37" s="12"/>
      <c r="I37" s="12"/>
      <c r="J37" s="12"/>
    </row>
    <row r="38" spans="1:10" x14ac:dyDescent="0.25">
      <c r="A38" s="12"/>
      <c r="B38" s="177" t="s">
        <v>54</v>
      </c>
      <c r="C38" s="12"/>
      <c r="D38" s="12"/>
      <c r="E38" s="12"/>
      <c r="F38" s="12"/>
      <c r="G38" s="12"/>
      <c r="H38" s="12"/>
      <c r="I38" s="12"/>
      <c r="J38" s="12"/>
    </row>
    <row r="39" spans="1:10" x14ac:dyDescent="0.25">
      <c r="A39" s="12"/>
      <c r="B39" s="12" t="s">
        <v>17</v>
      </c>
      <c r="C39" s="12"/>
      <c r="D39" s="12"/>
      <c r="E39" s="12"/>
      <c r="F39" s="12"/>
      <c r="G39" s="12"/>
      <c r="H39" s="12"/>
      <c r="I39" s="12"/>
      <c r="J39" s="12"/>
    </row>
    <row r="40" spans="1:10" x14ac:dyDescent="0.25">
      <c r="A40" s="12"/>
      <c r="B40" s="12"/>
      <c r="C40" s="12"/>
      <c r="D40" s="12"/>
      <c r="E40" s="12"/>
      <c r="F40" s="12"/>
      <c r="G40" s="12"/>
      <c r="H40" s="12"/>
      <c r="I40" s="12"/>
      <c r="J40" s="12"/>
    </row>
    <row r="42" spans="1:10" x14ac:dyDescent="0.25">
      <c r="A42" s="70" t="s">
        <v>0</v>
      </c>
    </row>
    <row r="43" spans="1:10" x14ac:dyDescent="0.25">
      <c r="A43" s="70" t="s">
        <v>350</v>
      </c>
    </row>
    <row r="47" spans="1:10" x14ac:dyDescent="0.25">
      <c r="A47" s="70" t="s">
        <v>351</v>
      </c>
    </row>
    <row r="53" spans="1:10" x14ac:dyDescent="0.25">
      <c r="A53" s="12" t="s">
        <v>56</v>
      </c>
      <c r="B53" s="12"/>
      <c r="C53" s="12"/>
      <c r="D53" s="12"/>
      <c r="E53" s="12"/>
      <c r="F53" s="12"/>
      <c r="G53" s="12"/>
      <c r="H53" s="12"/>
      <c r="I53" s="12"/>
      <c r="J53" s="12"/>
    </row>
    <row r="54" spans="1:10" x14ac:dyDescent="0.25">
      <c r="A54" s="12" t="s">
        <v>349</v>
      </c>
      <c r="B54" s="12"/>
      <c r="C54" s="12"/>
      <c r="D54" s="12"/>
      <c r="E54" s="12"/>
      <c r="F54" s="12"/>
      <c r="G54" s="12"/>
      <c r="H54" s="12"/>
      <c r="I54" s="12"/>
      <c r="J54" s="12"/>
    </row>
    <row r="55" spans="1:10" x14ac:dyDescent="0.25">
      <c r="A55" s="12"/>
      <c r="B55" s="12"/>
      <c r="C55" s="12"/>
      <c r="D55" s="12"/>
      <c r="E55" s="12"/>
      <c r="F55" s="12"/>
      <c r="G55" s="12"/>
      <c r="H55" s="12"/>
      <c r="I55" s="12"/>
      <c r="J55" s="12"/>
    </row>
    <row r="56" spans="1:10" x14ac:dyDescent="0.25">
      <c r="A56" s="13" t="s">
        <v>78</v>
      </c>
      <c r="B56" s="14"/>
      <c r="C56" s="13"/>
      <c r="D56" s="12"/>
      <c r="E56" s="12"/>
      <c r="F56" s="12"/>
      <c r="G56" s="12"/>
      <c r="H56" s="12"/>
      <c r="I56" s="12"/>
      <c r="J56" s="12"/>
    </row>
    <row r="57" spans="1:10" ht="27.6" x14ac:dyDescent="0.25">
      <c r="A57" s="178" t="s">
        <v>57</v>
      </c>
      <c r="B57" s="179" t="s">
        <v>58</v>
      </c>
      <c r="C57" s="179" t="s">
        <v>59</v>
      </c>
      <c r="D57" s="12"/>
      <c r="E57" s="12"/>
      <c r="F57" s="12"/>
      <c r="G57" s="12"/>
      <c r="H57" s="12"/>
      <c r="I57" s="12"/>
      <c r="J57" s="12"/>
    </row>
    <row r="58" spans="1:10" x14ac:dyDescent="0.25">
      <c r="A58" s="44" t="s">
        <v>60</v>
      </c>
      <c r="B58" s="176">
        <v>405</v>
      </c>
      <c r="C58" s="176">
        <v>100</v>
      </c>
      <c r="D58" s="12"/>
      <c r="E58" s="12"/>
      <c r="F58" s="12"/>
      <c r="G58" s="12"/>
      <c r="H58" s="12"/>
      <c r="I58" s="12"/>
      <c r="J58" s="12"/>
    </row>
    <row r="59" spans="1:10" x14ac:dyDescent="0.25">
      <c r="A59" s="44" t="s">
        <v>61</v>
      </c>
      <c r="B59" s="176">
        <v>1207</v>
      </c>
      <c r="C59" s="176">
        <v>100</v>
      </c>
      <c r="D59" s="12"/>
      <c r="E59" s="12"/>
      <c r="F59" s="12"/>
      <c r="G59" s="12"/>
      <c r="H59" s="12"/>
      <c r="I59" s="12"/>
      <c r="J59" s="12"/>
    </row>
    <row r="60" spans="1:10" x14ac:dyDescent="0.25">
      <c r="A60" s="44" t="s">
        <v>62</v>
      </c>
      <c r="B60" s="176">
        <v>1207</v>
      </c>
      <c r="C60" s="176">
        <v>100</v>
      </c>
      <c r="D60" s="12"/>
      <c r="E60" s="12"/>
      <c r="F60" s="12"/>
      <c r="G60" s="12"/>
      <c r="H60" s="12"/>
      <c r="I60" s="12"/>
      <c r="J60" s="12"/>
    </row>
    <row r="61" spans="1:10" x14ac:dyDescent="0.25">
      <c r="A61" s="44" t="s">
        <v>63</v>
      </c>
      <c r="B61" s="176">
        <v>1207</v>
      </c>
      <c r="C61" s="176">
        <v>100</v>
      </c>
      <c r="D61" s="12"/>
      <c r="E61" s="12"/>
      <c r="F61" s="12"/>
      <c r="G61" s="12"/>
      <c r="H61" s="12"/>
      <c r="I61" s="12"/>
      <c r="J61" s="12"/>
    </row>
    <row r="62" spans="1:10" x14ac:dyDescent="0.25">
      <c r="A62" s="44" t="s">
        <v>64</v>
      </c>
      <c r="B62" s="176">
        <v>1207</v>
      </c>
      <c r="C62" s="176">
        <v>100</v>
      </c>
      <c r="D62" s="12"/>
      <c r="E62" s="12"/>
      <c r="F62" s="12"/>
      <c r="G62" s="12"/>
      <c r="H62" s="12"/>
      <c r="I62" s="12"/>
      <c r="J62" s="12"/>
    </row>
    <row r="63" spans="1:10" x14ac:dyDescent="0.25">
      <c r="A63" s="44" t="s">
        <v>65</v>
      </c>
      <c r="B63" s="176">
        <v>500</v>
      </c>
      <c r="C63" s="176">
        <v>250</v>
      </c>
      <c r="D63" s="12"/>
      <c r="E63" s="12"/>
      <c r="F63" s="12"/>
      <c r="G63" s="12"/>
      <c r="H63" s="12"/>
      <c r="I63" s="12"/>
      <c r="J63" s="12"/>
    </row>
    <row r="64" spans="1:10" x14ac:dyDescent="0.25">
      <c r="A64" s="44" t="s">
        <v>66</v>
      </c>
      <c r="B64" s="176">
        <v>500</v>
      </c>
      <c r="C64" s="176">
        <v>250</v>
      </c>
      <c r="D64" s="12"/>
      <c r="E64" s="12"/>
      <c r="F64" s="12"/>
      <c r="G64" s="12"/>
      <c r="H64" s="12"/>
      <c r="I64" s="12"/>
      <c r="J64" s="12"/>
    </row>
    <row r="65" spans="1:13" x14ac:dyDescent="0.25">
      <c r="A65" s="44" t="s">
        <v>67</v>
      </c>
      <c r="B65" s="176">
        <v>500</v>
      </c>
      <c r="C65" s="176">
        <v>250</v>
      </c>
      <c r="D65" s="12"/>
      <c r="E65" s="12"/>
      <c r="F65" s="12"/>
      <c r="G65" s="12"/>
      <c r="H65" s="12"/>
      <c r="I65" s="12"/>
      <c r="J65" s="12"/>
    </row>
    <row r="66" spans="1:13" x14ac:dyDescent="0.25">
      <c r="A66" s="44" t="s">
        <v>68</v>
      </c>
      <c r="B66" s="176">
        <v>500</v>
      </c>
      <c r="C66" s="176">
        <v>250</v>
      </c>
      <c r="D66" s="12"/>
      <c r="E66" s="12"/>
      <c r="F66" s="12"/>
      <c r="G66" s="12"/>
      <c r="H66" s="12"/>
      <c r="I66" s="12"/>
      <c r="J66" s="12"/>
    </row>
    <row r="67" spans="1:13" x14ac:dyDescent="0.25">
      <c r="A67" s="44" t="s">
        <v>69</v>
      </c>
      <c r="B67" s="176">
        <v>500</v>
      </c>
      <c r="C67" s="176">
        <v>250</v>
      </c>
      <c r="D67" s="12"/>
      <c r="E67" s="12"/>
      <c r="F67" s="12"/>
      <c r="G67" s="12"/>
      <c r="H67" s="12"/>
      <c r="I67" s="12"/>
      <c r="J67" s="12"/>
    </row>
    <row r="68" spans="1:13" x14ac:dyDescent="0.25">
      <c r="A68" s="44" t="s">
        <v>70</v>
      </c>
      <c r="B68" s="176">
        <v>500</v>
      </c>
      <c r="C68" s="176">
        <v>250</v>
      </c>
      <c r="D68" s="12"/>
      <c r="E68" s="12"/>
      <c r="F68" s="12"/>
      <c r="G68" s="12"/>
      <c r="H68" s="12"/>
      <c r="I68" s="12"/>
      <c r="J68" s="12"/>
    </row>
    <row r="69" spans="1:13" x14ac:dyDescent="0.25">
      <c r="A69" s="44" t="s">
        <v>71</v>
      </c>
      <c r="B69" s="176">
        <v>500</v>
      </c>
      <c r="C69" s="176">
        <v>250</v>
      </c>
      <c r="D69" s="12"/>
      <c r="E69" s="12"/>
      <c r="F69" s="12"/>
      <c r="G69" s="12"/>
      <c r="H69" s="12"/>
      <c r="I69" s="12"/>
      <c r="J69" s="12"/>
    </row>
    <row r="70" spans="1:13" x14ac:dyDescent="0.25">
      <c r="A70" s="12"/>
      <c r="B70" s="12"/>
      <c r="C70" s="12"/>
      <c r="D70" s="12"/>
      <c r="E70" s="12"/>
      <c r="F70" s="12"/>
      <c r="G70" s="12"/>
      <c r="H70" s="12"/>
      <c r="I70" s="12"/>
      <c r="J70" s="12"/>
    </row>
    <row r="71" spans="1:13" x14ac:dyDescent="0.25">
      <c r="A71" s="12" t="s">
        <v>76</v>
      </c>
      <c r="B71" s="12"/>
      <c r="C71" s="12"/>
      <c r="D71" s="12"/>
      <c r="E71" s="12"/>
      <c r="F71" s="12"/>
      <c r="G71" s="12"/>
      <c r="H71" s="12"/>
      <c r="I71" s="12"/>
      <c r="J71" s="12"/>
    </row>
    <row r="72" spans="1:13" x14ac:dyDescent="0.25">
      <c r="A72" s="12"/>
      <c r="B72" s="12" t="s">
        <v>79</v>
      </c>
      <c r="C72" s="12"/>
      <c r="D72" s="12"/>
      <c r="E72" s="12"/>
      <c r="F72" s="12"/>
      <c r="G72" s="12"/>
      <c r="H72" s="12"/>
      <c r="I72" s="12"/>
      <c r="J72" s="12"/>
    </row>
    <row r="73" spans="1:13" x14ac:dyDescent="0.25">
      <c r="A73" s="12"/>
      <c r="B73" s="177" t="s">
        <v>72</v>
      </c>
      <c r="C73" s="12"/>
      <c r="D73" s="12"/>
      <c r="E73" s="12"/>
      <c r="F73" s="12"/>
      <c r="G73" s="12"/>
      <c r="H73" s="12"/>
      <c r="I73" s="12"/>
      <c r="J73" s="12"/>
    </row>
    <row r="74" spans="1:13" x14ac:dyDescent="0.25">
      <c r="A74" s="12"/>
      <c r="B74" s="177" t="s">
        <v>73</v>
      </c>
      <c r="C74" s="12"/>
      <c r="D74" s="12"/>
      <c r="E74" s="12"/>
      <c r="F74" s="12"/>
      <c r="G74" s="12"/>
      <c r="H74" s="12"/>
      <c r="I74" s="12"/>
      <c r="J74" s="12"/>
    </row>
    <row r="75" spans="1:13" x14ac:dyDescent="0.25">
      <c r="A75" s="12"/>
      <c r="B75" s="177" t="s">
        <v>74</v>
      </c>
      <c r="C75" s="12"/>
      <c r="D75" s="12"/>
      <c r="E75" s="12"/>
      <c r="F75" s="12"/>
      <c r="G75" s="12"/>
      <c r="H75" s="12"/>
      <c r="I75" s="12"/>
      <c r="J75" s="12"/>
    </row>
    <row r="76" spans="1:13" x14ac:dyDescent="0.25">
      <c r="A76" s="12"/>
      <c r="B76" s="177" t="s">
        <v>75</v>
      </c>
      <c r="C76" s="12"/>
      <c r="D76" s="12"/>
      <c r="E76" s="12"/>
      <c r="F76" s="12"/>
      <c r="G76" s="12"/>
      <c r="H76" s="12"/>
      <c r="I76" s="12"/>
      <c r="J76" s="12"/>
    </row>
    <row r="77" spans="1:13" x14ac:dyDescent="0.25">
      <c r="A77" s="12"/>
      <c r="B77" s="12" t="s">
        <v>17</v>
      </c>
      <c r="C77" s="12"/>
      <c r="D77" s="12"/>
      <c r="E77" s="12"/>
      <c r="F77" s="12"/>
      <c r="G77" s="12"/>
      <c r="H77" s="12"/>
      <c r="I77" s="12"/>
      <c r="J77" s="12"/>
    </row>
    <row r="78" spans="1:13" x14ac:dyDescent="0.25">
      <c r="A78" s="12"/>
      <c r="B78" s="12"/>
      <c r="C78" s="12"/>
      <c r="D78" s="12"/>
      <c r="E78" s="12"/>
      <c r="F78" s="12"/>
      <c r="G78" s="12"/>
      <c r="H78" s="12"/>
      <c r="I78" s="12"/>
      <c r="J78" s="12"/>
    </row>
    <row r="80" spans="1:13" x14ac:dyDescent="0.25">
      <c r="A80" s="70" t="s">
        <v>0</v>
      </c>
      <c r="M80" s="70" t="s">
        <v>637</v>
      </c>
    </row>
    <row r="81" spans="1:1" x14ac:dyDescent="0.25">
      <c r="A81" s="70" t="s">
        <v>350</v>
      </c>
    </row>
    <row r="85" spans="1:1" x14ac:dyDescent="0.25">
      <c r="A85" s="70" t="s">
        <v>351</v>
      </c>
    </row>
    <row r="89" spans="1:1" x14ac:dyDescent="0.25">
      <c r="A89" s="70" t="s">
        <v>352</v>
      </c>
    </row>
    <row r="93" spans="1:1" x14ac:dyDescent="0.25">
      <c r="A93" s="70" t="s">
        <v>353</v>
      </c>
    </row>
    <row r="98" spans="1:23" x14ac:dyDescent="0.25">
      <c r="A98" s="180" t="s">
        <v>23</v>
      </c>
      <c r="B98" s="12"/>
      <c r="C98" s="12"/>
      <c r="D98" s="12"/>
      <c r="E98" s="12"/>
      <c r="F98" s="12"/>
      <c r="G98" s="12"/>
      <c r="H98" s="12"/>
      <c r="I98" s="12"/>
      <c r="J98" s="12"/>
    </row>
    <row r="100" spans="1:23" s="181" customFormat="1" x14ac:dyDescent="0.25">
      <c r="A100" s="181" t="s">
        <v>2</v>
      </c>
      <c r="K100" s="182"/>
      <c r="W100" s="182"/>
    </row>
  </sheetData>
  <mergeCells count="21">
    <mergeCell ref="A26:B26"/>
    <mergeCell ref="B14:C14"/>
    <mergeCell ref="B24:C24"/>
    <mergeCell ref="D13:E13"/>
    <mergeCell ref="B12:C12"/>
    <mergeCell ref="B13:C13"/>
    <mergeCell ref="B19:C19"/>
    <mergeCell ref="B21:C21"/>
    <mergeCell ref="B22:C22"/>
    <mergeCell ref="B23:C23"/>
    <mergeCell ref="O5:R5"/>
    <mergeCell ref="S5:U5"/>
    <mergeCell ref="O6:R6"/>
    <mergeCell ref="S6:U6"/>
    <mergeCell ref="B11:C11"/>
    <mergeCell ref="D11:E11"/>
    <mergeCell ref="A7:E7"/>
    <mergeCell ref="B8:C8"/>
    <mergeCell ref="D8:E8"/>
    <mergeCell ref="B9:C9"/>
    <mergeCell ref="D9:E9"/>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C509-2259-479F-BA6A-D1596B92CA78}">
  <dimension ref="A1:AD100"/>
  <sheetViews>
    <sheetView workbookViewId="0"/>
  </sheetViews>
  <sheetFormatPr defaultColWidth="9.109375" defaultRowHeight="14.4" x14ac:dyDescent="0.3"/>
  <cols>
    <col min="1" max="1" width="25" style="70" customWidth="1"/>
    <col min="2" max="2" width="14" style="70" customWidth="1"/>
    <col min="3" max="3" width="11.44140625" style="70" customWidth="1"/>
    <col min="4" max="10" width="11.33203125" style="70" customWidth="1"/>
    <col min="11" max="11" width="2.33203125" style="165" customWidth="1"/>
    <col min="12" max="12" width="8.77734375" style="77"/>
    <col min="13" max="13" width="10.109375" style="70" bestFit="1" customWidth="1"/>
    <col min="14" max="20" width="11" style="70" customWidth="1"/>
    <col min="21" max="24" width="10.109375" style="70" bestFit="1" customWidth="1"/>
    <col min="25" max="29" width="9.109375" style="70"/>
    <col min="31" max="16384" width="9.109375" style="70"/>
  </cols>
  <sheetData>
    <row r="1" spans="1:18" x14ac:dyDescent="0.3">
      <c r="A1" s="164" t="s">
        <v>4</v>
      </c>
      <c r="B1" s="12"/>
      <c r="C1" s="12"/>
      <c r="D1" s="12"/>
      <c r="E1" s="12"/>
      <c r="F1" s="12"/>
      <c r="G1" s="12"/>
      <c r="H1" s="12"/>
      <c r="I1" s="12"/>
      <c r="J1" s="12"/>
      <c r="L1" s="77" t="s">
        <v>0</v>
      </c>
    </row>
    <row r="2" spans="1:18" x14ac:dyDescent="0.3">
      <c r="A2" s="12" t="s">
        <v>22</v>
      </c>
      <c r="B2" s="12"/>
      <c r="C2" s="12"/>
      <c r="D2" s="12"/>
      <c r="E2" s="12"/>
      <c r="F2" s="12"/>
      <c r="G2" s="12"/>
      <c r="H2" s="12"/>
      <c r="I2" s="12"/>
      <c r="J2" s="12"/>
      <c r="L2" s="77" t="s">
        <v>365</v>
      </c>
    </row>
    <row r="3" spans="1:18" x14ac:dyDescent="0.3">
      <c r="L3" s="77" t="s">
        <v>366</v>
      </c>
    </row>
    <row r="4" spans="1:18" ht="55.8" x14ac:dyDescent="0.3">
      <c r="A4" s="12" t="s">
        <v>80</v>
      </c>
      <c r="B4" s="12"/>
      <c r="C4" s="12"/>
      <c r="D4" s="12"/>
      <c r="E4" s="12"/>
      <c r="F4" s="12"/>
      <c r="G4" s="12"/>
      <c r="H4" s="12"/>
      <c r="I4" s="12"/>
      <c r="J4" s="12"/>
      <c r="M4" s="71"/>
      <c r="N4" s="72" t="s">
        <v>365</v>
      </c>
      <c r="O4" s="72" t="s">
        <v>367</v>
      </c>
      <c r="P4" s="73" t="s">
        <v>368</v>
      </c>
      <c r="Q4" s="73" t="s">
        <v>369</v>
      </c>
      <c r="R4" s="74" t="s">
        <v>370</v>
      </c>
    </row>
    <row r="5" spans="1:18" ht="42" x14ac:dyDescent="0.3">
      <c r="A5" s="12" t="s">
        <v>81</v>
      </c>
      <c r="B5" s="12"/>
      <c r="C5" s="12"/>
      <c r="D5" s="12"/>
      <c r="E5" s="12"/>
      <c r="F5" s="12"/>
      <c r="G5" s="12"/>
      <c r="H5" s="12"/>
      <c r="I5" s="12"/>
      <c r="J5" s="12"/>
      <c r="M5" s="75" t="s">
        <v>83</v>
      </c>
      <c r="N5" s="75" t="s">
        <v>84</v>
      </c>
      <c r="O5" s="75" t="s">
        <v>85</v>
      </c>
      <c r="P5" s="76" t="s">
        <v>371</v>
      </c>
      <c r="Q5" s="73" t="s">
        <v>372</v>
      </c>
      <c r="R5" s="73" t="s">
        <v>373</v>
      </c>
    </row>
    <row r="6" spans="1:18" x14ac:dyDescent="0.3">
      <c r="A6" s="12"/>
      <c r="B6" s="12"/>
      <c r="C6" s="12"/>
      <c r="D6" s="12"/>
      <c r="E6" s="12"/>
      <c r="F6" s="12"/>
      <c r="G6" s="12"/>
      <c r="H6" s="12"/>
      <c r="I6" s="12"/>
      <c r="J6" s="12"/>
      <c r="M6" s="77">
        <v>40</v>
      </c>
      <c r="N6" s="77">
        <v>3.6869000000000001</v>
      </c>
      <c r="O6" s="78">
        <v>0.3</v>
      </c>
      <c r="P6" s="79">
        <f>1-O6</f>
        <v>0.7</v>
      </c>
      <c r="Q6" s="80">
        <f>(1/1.04)^(M6-$M$6+1)</f>
        <v>0.96153846153846145</v>
      </c>
      <c r="R6" s="81">
        <f>N6*P6*Q6</f>
        <v>2.4815673076923073</v>
      </c>
    </row>
    <row r="7" spans="1:18" x14ac:dyDescent="0.3">
      <c r="A7" s="49" t="s">
        <v>360</v>
      </c>
      <c r="B7" s="20">
        <v>0.04</v>
      </c>
      <c r="C7" s="12"/>
      <c r="D7" s="12"/>
      <c r="E7" s="12"/>
      <c r="F7" s="12"/>
      <c r="G7" s="12"/>
      <c r="H7" s="12"/>
      <c r="I7" s="12"/>
      <c r="J7" s="12"/>
      <c r="M7" s="77">
        <f>M6+1</f>
        <v>41</v>
      </c>
      <c r="N7" s="77">
        <v>4.1143999999999998</v>
      </c>
      <c r="O7" s="78">
        <v>0.2</v>
      </c>
      <c r="P7" s="79">
        <f>P6*(1-O7)</f>
        <v>0.55999999999999994</v>
      </c>
      <c r="Q7" s="80">
        <f t="shared" ref="Q7:Q16" si="0">(1/1.04)^(M7-$M$6+1)</f>
        <v>0.92455621301775126</v>
      </c>
      <c r="R7" s="81">
        <f t="shared" ref="R7:R16" si="1">N7*P7*Q7</f>
        <v>2.130236686390532</v>
      </c>
    </row>
    <row r="8" spans="1:18" x14ac:dyDescent="0.3">
      <c r="A8" s="12"/>
      <c r="B8" s="12"/>
      <c r="C8" s="12"/>
      <c r="D8" s="12"/>
      <c r="E8" s="12"/>
      <c r="F8" s="12"/>
      <c r="G8" s="12"/>
      <c r="H8" s="12"/>
      <c r="I8" s="12"/>
      <c r="J8" s="12"/>
      <c r="M8" s="77">
        <f t="shared" ref="M8:M16" si="2">M7+1</f>
        <v>42</v>
      </c>
      <c r="N8" s="77">
        <v>4.6026999999999996</v>
      </c>
      <c r="O8" s="78">
        <v>0.1</v>
      </c>
      <c r="P8" s="79">
        <f>P7*(1-O8)</f>
        <v>0.504</v>
      </c>
      <c r="Q8" s="80">
        <f t="shared" si="0"/>
        <v>0.88899635867091464</v>
      </c>
      <c r="R8" s="81">
        <f t="shared" si="1"/>
        <v>2.0622589041875274</v>
      </c>
    </row>
    <row r="9" spans="1:18" x14ac:dyDescent="0.3">
      <c r="A9" s="15" t="s">
        <v>82</v>
      </c>
      <c r="B9" s="16"/>
      <c r="C9" s="17"/>
      <c r="D9" s="12"/>
      <c r="E9" s="12"/>
      <c r="F9" s="12"/>
      <c r="G9" s="12"/>
      <c r="H9" s="12"/>
      <c r="I9" s="12"/>
      <c r="J9" s="12"/>
      <c r="M9" s="77">
        <f t="shared" si="2"/>
        <v>43</v>
      </c>
      <c r="N9" s="77">
        <v>5.1402000000000001</v>
      </c>
      <c r="O9" s="78">
        <v>0.1</v>
      </c>
      <c r="P9" s="79">
        <f t="shared" ref="P9:P16" si="3">P8*(1-O9)</f>
        <v>0.4536</v>
      </c>
      <c r="Q9" s="80">
        <f t="shared" si="0"/>
        <v>0.85480419102972549</v>
      </c>
      <c r="R9" s="81">
        <f t="shared" si="1"/>
        <v>1.9930569384387793</v>
      </c>
    </row>
    <row r="10" spans="1:18" ht="27.6" x14ac:dyDescent="0.3">
      <c r="A10" s="66" t="s">
        <v>83</v>
      </c>
      <c r="B10" s="44" t="s">
        <v>84</v>
      </c>
      <c r="C10" s="66" t="s">
        <v>85</v>
      </c>
      <c r="D10" s="12"/>
      <c r="E10" s="12"/>
      <c r="F10" s="12"/>
      <c r="G10" s="12"/>
      <c r="H10" s="12"/>
      <c r="I10" s="12"/>
      <c r="J10" s="12"/>
      <c r="M10" s="77">
        <f t="shared" si="2"/>
        <v>44</v>
      </c>
      <c r="N10" s="77">
        <v>5.6783999999999999</v>
      </c>
      <c r="O10" s="78">
        <v>0.1</v>
      </c>
      <c r="P10" s="79">
        <f t="shared" si="3"/>
        <v>0.40823999999999999</v>
      </c>
      <c r="Q10" s="80">
        <f t="shared" si="0"/>
        <v>0.82192710675935132</v>
      </c>
      <c r="R10" s="81">
        <f t="shared" si="1"/>
        <v>1.9053503356850237</v>
      </c>
    </row>
    <row r="11" spans="1:18" ht="16.05" customHeight="1" x14ac:dyDescent="0.3">
      <c r="A11" s="18">
        <v>40</v>
      </c>
      <c r="B11" s="18">
        <v>3.6869000000000001</v>
      </c>
      <c r="C11" s="19">
        <v>0.3</v>
      </c>
      <c r="D11" s="12"/>
      <c r="E11" s="12"/>
      <c r="F11" s="12"/>
      <c r="G11" s="12"/>
      <c r="H11" s="12"/>
      <c r="I11" s="12"/>
      <c r="J11" s="12"/>
      <c r="M11" s="77">
        <f t="shared" si="2"/>
        <v>45</v>
      </c>
      <c r="N11" s="77">
        <v>6.2865000000000002</v>
      </c>
      <c r="O11" s="78">
        <v>0.1</v>
      </c>
      <c r="P11" s="79">
        <f t="shared" si="3"/>
        <v>0.36741600000000002</v>
      </c>
      <c r="Q11" s="80">
        <f t="shared" si="0"/>
        <v>0.79031452573014538</v>
      </c>
      <c r="R11" s="81">
        <f t="shared" si="1"/>
        <v>1.8254374195255962</v>
      </c>
    </row>
    <row r="12" spans="1:18" ht="16.05" customHeight="1" x14ac:dyDescent="0.3">
      <c r="A12" s="18">
        <f>A11+1</f>
        <v>41</v>
      </c>
      <c r="B12" s="18">
        <v>4.1143999999999998</v>
      </c>
      <c r="C12" s="19">
        <v>0.2</v>
      </c>
      <c r="D12" s="12"/>
      <c r="E12" s="12"/>
      <c r="F12" s="12"/>
      <c r="G12" s="12"/>
      <c r="H12" s="12"/>
      <c r="I12" s="12"/>
      <c r="J12" s="12"/>
      <c r="M12" s="77">
        <f t="shared" si="2"/>
        <v>46</v>
      </c>
      <c r="N12" s="77">
        <v>6.9787999999999997</v>
      </c>
      <c r="O12" s="78">
        <v>0.1</v>
      </c>
      <c r="P12" s="79">
        <f t="shared" si="3"/>
        <v>0.33067440000000003</v>
      </c>
      <c r="Q12" s="80">
        <f t="shared" si="0"/>
        <v>0.75991781320206286</v>
      </c>
      <c r="R12" s="81">
        <f t="shared" si="1"/>
        <v>1.7536703187304155</v>
      </c>
    </row>
    <row r="13" spans="1:18" ht="16.05" customHeight="1" x14ac:dyDescent="0.3">
      <c r="A13" s="18">
        <f t="shared" ref="A13:A21" si="4">A12+1</f>
        <v>42</v>
      </c>
      <c r="B13" s="18">
        <v>4.6026999999999996</v>
      </c>
      <c r="C13" s="19">
        <v>0.1</v>
      </c>
      <c r="D13" s="12"/>
      <c r="E13" s="12"/>
      <c r="F13" s="12"/>
      <c r="G13" s="12"/>
      <c r="H13" s="12"/>
      <c r="I13" s="12"/>
      <c r="J13" s="12"/>
      <c r="M13" s="77">
        <f t="shared" si="2"/>
        <v>47</v>
      </c>
      <c r="N13" s="77">
        <v>7.7689000000000004</v>
      </c>
      <c r="O13" s="78">
        <v>0.1</v>
      </c>
      <c r="P13" s="79">
        <f t="shared" si="3"/>
        <v>0.29760696000000003</v>
      </c>
      <c r="Q13" s="80">
        <f t="shared" si="0"/>
        <v>0.73069020500198345</v>
      </c>
      <c r="R13" s="81">
        <f t="shared" si="1"/>
        <v>1.6894132677188074</v>
      </c>
    </row>
    <row r="14" spans="1:18" ht="16.05" customHeight="1" x14ac:dyDescent="0.3">
      <c r="A14" s="18">
        <f t="shared" si="4"/>
        <v>43</v>
      </c>
      <c r="B14" s="18">
        <v>5.1402000000000001</v>
      </c>
      <c r="C14" s="19">
        <v>0.1</v>
      </c>
      <c r="D14" s="12"/>
      <c r="E14" s="12"/>
      <c r="F14" s="12"/>
      <c r="G14" s="12"/>
      <c r="H14" s="12"/>
      <c r="I14" s="12"/>
      <c r="J14" s="12"/>
      <c r="M14" s="77">
        <f t="shared" si="2"/>
        <v>48</v>
      </c>
      <c r="N14" s="77">
        <v>8.7133000000000003</v>
      </c>
      <c r="O14" s="78">
        <v>0.1</v>
      </c>
      <c r="P14" s="79">
        <f t="shared" si="3"/>
        <v>0.26784626400000006</v>
      </c>
      <c r="Q14" s="80">
        <f t="shared" si="0"/>
        <v>0.70258673557883022</v>
      </c>
      <c r="R14" s="81">
        <f t="shared" si="1"/>
        <v>1.6397143842575546</v>
      </c>
    </row>
    <row r="15" spans="1:18" ht="16.05" customHeight="1" x14ac:dyDescent="0.3">
      <c r="A15" s="18">
        <f t="shared" si="4"/>
        <v>44</v>
      </c>
      <c r="B15" s="18">
        <v>5.6783999999999999</v>
      </c>
      <c r="C15" s="19">
        <v>0.1</v>
      </c>
      <c r="D15" s="12"/>
      <c r="E15" s="12"/>
      <c r="F15" s="12"/>
      <c r="G15" s="12"/>
      <c r="H15" s="12"/>
      <c r="I15" s="12"/>
      <c r="J15" s="12"/>
      <c r="M15" s="77">
        <f t="shared" si="2"/>
        <v>49</v>
      </c>
      <c r="N15" s="77">
        <v>9.7365999999999993</v>
      </c>
      <c r="O15" s="78">
        <v>0.1</v>
      </c>
      <c r="P15" s="79">
        <f t="shared" si="3"/>
        <v>0.24106163760000004</v>
      </c>
      <c r="Q15" s="80">
        <f t="shared" si="0"/>
        <v>0.67556416882579817</v>
      </c>
      <c r="R15" s="81">
        <f t="shared" si="1"/>
        <v>1.5856306722951707</v>
      </c>
    </row>
    <row r="16" spans="1:18" ht="16.05" customHeight="1" x14ac:dyDescent="0.3">
      <c r="A16" s="18">
        <f t="shared" si="4"/>
        <v>45</v>
      </c>
      <c r="B16" s="18">
        <v>6.2865000000000002</v>
      </c>
      <c r="C16" s="19">
        <v>0.1</v>
      </c>
      <c r="D16" s="12"/>
      <c r="E16" s="12"/>
      <c r="F16" s="12"/>
      <c r="G16" s="12"/>
      <c r="H16" s="12"/>
      <c r="I16" s="12"/>
      <c r="J16" s="12"/>
      <c r="M16" s="77">
        <f t="shared" si="2"/>
        <v>50</v>
      </c>
      <c r="N16" s="77">
        <v>10.931900000000001</v>
      </c>
      <c r="O16" s="78">
        <v>0.1</v>
      </c>
      <c r="P16" s="79">
        <f t="shared" si="3"/>
        <v>0.21695547384000005</v>
      </c>
      <c r="Q16" s="80">
        <f t="shared" si="0"/>
        <v>0.64958093156326746</v>
      </c>
      <c r="R16" s="82">
        <f t="shared" si="1"/>
        <v>1.5406341843995079</v>
      </c>
    </row>
    <row r="17" spans="1:19" ht="16.05" customHeight="1" x14ac:dyDescent="0.3">
      <c r="A17" s="18">
        <f t="shared" si="4"/>
        <v>46</v>
      </c>
      <c r="B17" s="18">
        <v>6.9787999999999997</v>
      </c>
      <c r="C17" s="19">
        <v>0.1</v>
      </c>
      <c r="D17" s="12"/>
      <c r="E17" s="12"/>
      <c r="F17" s="12"/>
      <c r="G17" s="12"/>
      <c r="H17" s="12"/>
      <c r="I17" s="12"/>
      <c r="J17" s="12"/>
      <c r="O17" s="83"/>
      <c r="P17" s="79"/>
      <c r="Q17" s="84" t="s">
        <v>374</v>
      </c>
      <c r="R17" s="81">
        <f>SUM(R6:R16)</f>
        <v>20.606970419321222</v>
      </c>
    </row>
    <row r="18" spans="1:19" x14ac:dyDescent="0.3">
      <c r="A18" s="18">
        <f t="shared" si="4"/>
        <v>47</v>
      </c>
      <c r="B18" s="18">
        <v>7.7689000000000004</v>
      </c>
      <c r="C18" s="19">
        <v>0.1</v>
      </c>
      <c r="D18" s="12"/>
      <c r="E18" s="12"/>
      <c r="F18" s="12"/>
      <c r="G18" s="12"/>
      <c r="H18" s="12"/>
      <c r="I18" s="12"/>
      <c r="J18" s="12"/>
    </row>
    <row r="19" spans="1:19" ht="16.05" customHeight="1" x14ac:dyDescent="0.3">
      <c r="A19" s="18">
        <f t="shared" si="4"/>
        <v>48</v>
      </c>
      <c r="B19" s="18">
        <v>8.7133000000000003</v>
      </c>
      <c r="C19" s="19">
        <v>0.1</v>
      </c>
      <c r="D19" s="12"/>
      <c r="E19" s="12"/>
      <c r="F19" s="12"/>
      <c r="G19" s="12"/>
      <c r="H19" s="12"/>
      <c r="I19" s="12"/>
      <c r="J19" s="12"/>
      <c r="L19" s="77" t="s">
        <v>375</v>
      </c>
    </row>
    <row r="20" spans="1:19" ht="16.05" customHeight="1" x14ac:dyDescent="0.3">
      <c r="A20" s="18">
        <f t="shared" si="4"/>
        <v>49</v>
      </c>
      <c r="B20" s="18">
        <v>9.7365999999999993</v>
      </c>
      <c r="C20" s="19">
        <v>0.1</v>
      </c>
      <c r="D20" s="12"/>
      <c r="E20" s="12"/>
      <c r="F20" s="12"/>
      <c r="G20" s="12"/>
      <c r="H20" s="12"/>
      <c r="I20" s="12"/>
      <c r="J20" s="12"/>
      <c r="N20" s="72" t="s">
        <v>376</v>
      </c>
      <c r="O20" s="73" t="s">
        <v>377</v>
      </c>
      <c r="P20" s="72" t="s">
        <v>378</v>
      </c>
      <c r="Q20" s="72" t="s">
        <v>379</v>
      </c>
      <c r="R20" s="73" t="s">
        <v>380</v>
      </c>
      <c r="S20" s="72" t="s">
        <v>381</v>
      </c>
    </row>
    <row r="21" spans="1:19" ht="16.05" customHeight="1" x14ac:dyDescent="0.3">
      <c r="A21" s="18">
        <f t="shared" si="4"/>
        <v>50</v>
      </c>
      <c r="B21" s="18">
        <v>10.931900000000001</v>
      </c>
      <c r="C21" s="19">
        <v>0.1</v>
      </c>
      <c r="D21" s="12"/>
      <c r="E21" s="12"/>
      <c r="F21" s="12"/>
      <c r="G21" s="12"/>
      <c r="H21" s="12"/>
      <c r="I21" s="12"/>
      <c r="J21" s="12"/>
      <c r="M21" s="75" t="s">
        <v>83</v>
      </c>
      <c r="N21" s="85" t="s">
        <v>382</v>
      </c>
      <c r="O21" s="73" t="s">
        <v>383</v>
      </c>
      <c r="P21" s="73" t="s">
        <v>373</v>
      </c>
      <c r="Q21" s="85" t="s">
        <v>384</v>
      </c>
      <c r="R21" s="73" t="s">
        <v>383</v>
      </c>
      <c r="S21" s="73" t="s">
        <v>373</v>
      </c>
    </row>
    <row r="22" spans="1:19" ht="16.05" customHeight="1" x14ac:dyDescent="0.3">
      <c r="A22" s="12"/>
      <c r="B22" s="12"/>
      <c r="C22" s="12"/>
      <c r="D22" s="12"/>
      <c r="E22" s="12"/>
      <c r="F22" s="12"/>
      <c r="G22" s="12"/>
      <c r="H22" s="12"/>
      <c r="I22" s="12"/>
      <c r="J22" s="12"/>
      <c r="M22" s="77">
        <v>40</v>
      </c>
      <c r="N22" s="86">
        <f t="shared" ref="N22:N32" si="5">O6+0.02</f>
        <v>0.32</v>
      </c>
      <c r="O22" s="86">
        <f>1-N22</f>
        <v>0.67999999999999994</v>
      </c>
      <c r="P22" s="81">
        <f t="shared" ref="P22:P32" si="6">N6*Q6*O22</f>
        <v>2.4106653846153843</v>
      </c>
      <c r="Q22" s="86">
        <f t="shared" ref="Q22:Q32" si="7">O6-0.02</f>
        <v>0.27999999999999997</v>
      </c>
      <c r="R22" s="86">
        <f>1-Q22</f>
        <v>0.72</v>
      </c>
      <c r="S22" s="81">
        <f t="shared" ref="S22:S32" si="8">N6*Q6*R22</f>
        <v>2.5524692307692307</v>
      </c>
    </row>
    <row r="23" spans="1:19" x14ac:dyDescent="0.3">
      <c r="A23" s="12" t="s">
        <v>86</v>
      </c>
      <c r="B23" s="12"/>
      <c r="C23" s="12"/>
      <c r="D23" s="12"/>
      <c r="E23" s="12"/>
      <c r="F23" s="12"/>
      <c r="G23" s="12"/>
      <c r="H23" s="12"/>
      <c r="I23" s="12"/>
      <c r="J23" s="12"/>
      <c r="M23" s="77">
        <f>M22+1</f>
        <v>41</v>
      </c>
      <c r="N23" s="86">
        <f t="shared" si="5"/>
        <v>0.22</v>
      </c>
      <c r="O23" s="86">
        <f>O22*(1-N23)</f>
        <v>0.53039999999999998</v>
      </c>
      <c r="P23" s="81">
        <f t="shared" si="6"/>
        <v>2.0176384615384606</v>
      </c>
      <c r="Q23" s="86">
        <f t="shared" si="7"/>
        <v>0.18000000000000002</v>
      </c>
      <c r="R23" s="86">
        <f>R22*(1-Q23)</f>
        <v>0.59039999999999992</v>
      </c>
      <c r="S23" s="81">
        <f t="shared" si="8"/>
        <v>2.2458781065088749</v>
      </c>
    </row>
    <row r="24" spans="1:19" x14ac:dyDescent="0.3">
      <c r="A24" s="12"/>
      <c r="B24" s="177" t="s">
        <v>87</v>
      </c>
      <c r="C24" s="12"/>
      <c r="D24" s="12"/>
      <c r="E24" s="12"/>
      <c r="F24" s="12"/>
      <c r="G24" s="12"/>
      <c r="H24" s="12"/>
      <c r="I24" s="12"/>
      <c r="J24" s="12"/>
      <c r="M24" s="77">
        <f t="shared" ref="M24:M32" si="9">M23+1</f>
        <v>42</v>
      </c>
      <c r="N24" s="86">
        <f t="shared" si="5"/>
        <v>0.12000000000000001</v>
      </c>
      <c r="O24" s="86">
        <f t="shared" ref="O24:O32" si="10">O23*(1-N24)</f>
        <v>0.466752</v>
      </c>
      <c r="P24" s="81">
        <f t="shared" si="6"/>
        <v>1.9098481508875733</v>
      </c>
      <c r="Q24" s="86">
        <f t="shared" si="7"/>
        <v>0.08</v>
      </c>
      <c r="R24" s="86">
        <f t="shared" ref="R24:R32" si="11">R23*(1-Q24)</f>
        <v>0.54316799999999998</v>
      </c>
      <c r="S24" s="81">
        <f t="shared" si="8"/>
        <v>2.2225258818843869</v>
      </c>
    </row>
    <row r="25" spans="1:19" x14ac:dyDescent="0.3">
      <c r="A25" s="12"/>
      <c r="B25" s="177" t="s">
        <v>89</v>
      </c>
      <c r="C25" s="12"/>
      <c r="D25" s="12"/>
      <c r="E25" s="12"/>
      <c r="F25" s="12"/>
      <c r="G25" s="12"/>
      <c r="H25" s="12"/>
      <c r="I25" s="12"/>
      <c r="J25" s="12"/>
      <c r="M25" s="77">
        <f t="shared" si="9"/>
        <v>43</v>
      </c>
      <c r="N25" s="86">
        <f t="shared" si="5"/>
        <v>0.12000000000000001</v>
      </c>
      <c r="O25" s="86">
        <f t="shared" si="10"/>
        <v>0.41074176000000001</v>
      </c>
      <c r="P25" s="81">
        <f t="shared" si="6"/>
        <v>1.8047436390532539</v>
      </c>
      <c r="Q25" s="86">
        <f t="shared" si="7"/>
        <v>0.08</v>
      </c>
      <c r="R25" s="86">
        <f t="shared" si="11"/>
        <v>0.49971456000000003</v>
      </c>
      <c r="S25" s="81">
        <f t="shared" si="8"/>
        <v>2.1956780666818383</v>
      </c>
    </row>
    <row r="26" spans="1:19" x14ac:dyDescent="0.3">
      <c r="A26" s="12"/>
      <c r="B26" s="177" t="s">
        <v>90</v>
      </c>
      <c r="C26" s="12"/>
      <c r="D26" s="12"/>
      <c r="E26" s="12"/>
      <c r="F26" s="12"/>
      <c r="G26" s="12"/>
      <c r="H26" s="12"/>
      <c r="I26" s="12"/>
      <c r="J26" s="12"/>
      <c r="M26" s="77">
        <f t="shared" si="9"/>
        <v>44</v>
      </c>
      <c r="N26" s="86">
        <f t="shared" si="5"/>
        <v>0.12000000000000001</v>
      </c>
      <c r="O26" s="86">
        <f t="shared" si="10"/>
        <v>0.3614527488</v>
      </c>
      <c r="P26" s="81">
        <f t="shared" si="6"/>
        <v>1.6869834319526618</v>
      </c>
      <c r="Q26" s="86">
        <f t="shared" si="7"/>
        <v>0.08</v>
      </c>
      <c r="R26" s="86">
        <f t="shared" si="11"/>
        <v>0.45973739520000007</v>
      </c>
      <c r="S26" s="81">
        <f t="shared" si="8"/>
        <v>2.1457005689576687</v>
      </c>
    </row>
    <row r="27" spans="1:19" x14ac:dyDescent="0.3">
      <c r="A27" s="12"/>
      <c r="B27" s="177" t="s">
        <v>88</v>
      </c>
      <c r="C27" s="12"/>
      <c r="D27" s="12"/>
      <c r="E27" s="12"/>
      <c r="F27" s="12"/>
      <c r="G27" s="12"/>
      <c r="H27" s="12"/>
      <c r="I27" s="12"/>
      <c r="J27" s="12"/>
      <c r="M27" s="77">
        <f t="shared" si="9"/>
        <v>45</v>
      </c>
      <c r="N27" s="86">
        <f t="shared" si="5"/>
        <v>0.12000000000000001</v>
      </c>
      <c r="O27" s="86">
        <f t="shared" si="10"/>
        <v>0.31807841894400002</v>
      </c>
      <c r="P27" s="81">
        <f t="shared" si="6"/>
        <v>1.5803129103901759</v>
      </c>
      <c r="Q27" s="86">
        <f t="shared" si="7"/>
        <v>0.08</v>
      </c>
      <c r="R27" s="86">
        <f t="shared" si="11"/>
        <v>0.42295840358400005</v>
      </c>
      <c r="S27" s="81">
        <f t="shared" si="8"/>
        <v>2.101389424535248</v>
      </c>
    </row>
    <row r="28" spans="1:19" x14ac:dyDescent="0.3">
      <c r="A28" s="12"/>
      <c r="B28" s="12"/>
      <c r="C28" s="12"/>
      <c r="D28" s="12"/>
      <c r="E28" s="12"/>
      <c r="F28" s="12"/>
      <c r="G28" s="12"/>
      <c r="H28" s="12"/>
      <c r="I28" s="12"/>
      <c r="J28" s="12"/>
      <c r="M28" s="77">
        <f t="shared" si="9"/>
        <v>46</v>
      </c>
      <c r="N28" s="86">
        <f t="shared" si="5"/>
        <v>0.12000000000000001</v>
      </c>
      <c r="O28" s="86">
        <f t="shared" si="10"/>
        <v>0.27990900867071999</v>
      </c>
      <c r="P28" s="81">
        <f t="shared" si="6"/>
        <v>1.4844454861068657</v>
      </c>
      <c r="Q28" s="86">
        <f t="shared" si="7"/>
        <v>0.08</v>
      </c>
      <c r="R28" s="86">
        <f t="shared" si="11"/>
        <v>0.38912173129728006</v>
      </c>
      <c r="S28" s="81">
        <f t="shared" si="8"/>
        <v>2.0636348944733314</v>
      </c>
    </row>
    <row r="29" spans="1:19" x14ac:dyDescent="0.3">
      <c r="M29" s="77">
        <f t="shared" si="9"/>
        <v>47</v>
      </c>
      <c r="N29" s="86">
        <f t="shared" si="5"/>
        <v>0.12000000000000001</v>
      </c>
      <c r="O29" s="86">
        <f t="shared" si="10"/>
        <v>0.24631992763023361</v>
      </c>
      <c r="P29" s="81">
        <f t="shared" si="6"/>
        <v>1.3982742669796873</v>
      </c>
      <c r="Q29" s="86">
        <f t="shared" si="7"/>
        <v>0.08</v>
      </c>
      <c r="R29" s="86">
        <f t="shared" si="11"/>
        <v>0.35799199279349769</v>
      </c>
      <c r="S29" s="81">
        <f t="shared" si="8"/>
        <v>2.0321985156611615</v>
      </c>
    </row>
    <row r="30" spans="1:19" x14ac:dyDescent="0.3">
      <c r="A30" s="70" t="s">
        <v>0</v>
      </c>
      <c r="M30" s="77">
        <f t="shared" si="9"/>
        <v>48</v>
      </c>
      <c r="N30" s="86">
        <f t="shared" si="5"/>
        <v>0.12000000000000001</v>
      </c>
      <c r="O30" s="86">
        <f t="shared" si="10"/>
        <v>0.21676153631460557</v>
      </c>
      <c r="P30" s="81">
        <f t="shared" si="6"/>
        <v>1.3269813950021156</v>
      </c>
      <c r="Q30" s="86">
        <f t="shared" si="7"/>
        <v>0.08</v>
      </c>
      <c r="R30" s="86">
        <f t="shared" si="11"/>
        <v>0.32935263337001791</v>
      </c>
      <c r="S30" s="81">
        <f t="shared" si="8"/>
        <v>2.0162470902708689</v>
      </c>
    </row>
    <row r="31" spans="1:19" x14ac:dyDescent="0.3">
      <c r="A31" s="70" t="s">
        <v>350</v>
      </c>
      <c r="M31" s="77">
        <f t="shared" si="9"/>
        <v>49</v>
      </c>
      <c r="N31" s="86">
        <f t="shared" si="5"/>
        <v>0.12000000000000001</v>
      </c>
      <c r="O31" s="86">
        <f t="shared" si="10"/>
        <v>0.19075015195685291</v>
      </c>
      <c r="P31" s="81">
        <f t="shared" si="6"/>
        <v>1.2546969094669032</v>
      </c>
      <c r="Q31" s="86">
        <f t="shared" si="7"/>
        <v>0.08</v>
      </c>
      <c r="R31" s="86">
        <f t="shared" si="11"/>
        <v>0.3030044227004165</v>
      </c>
      <c r="S31" s="81">
        <f t="shared" si="8"/>
        <v>1.993071611303413</v>
      </c>
    </row>
    <row r="32" spans="1:19" x14ac:dyDescent="0.3">
      <c r="M32" s="77">
        <f t="shared" si="9"/>
        <v>50</v>
      </c>
      <c r="N32" s="86">
        <f t="shared" si="5"/>
        <v>0.12000000000000001</v>
      </c>
      <c r="O32" s="86">
        <f t="shared" si="10"/>
        <v>0.16786013372203057</v>
      </c>
      <c r="P32" s="82">
        <f t="shared" si="6"/>
        <v>1.192000624057787</v>
      </c>
      <c r="Q32" s="86">
        <f t="shared" si="7"/>
        <v>0.08</v>
      </c>
      <c r="R32" s="86">
        <f t="shared" si="11"/>
        <v>0.27876406888438321</v>
      </c>
      <c r="S32" s="82">
        <f t="shared" si="8"/>
        <v>1.979546523091219</v>
      </c>
    </row>
    <row r="33" spans="1:19" x14ac:dyDescent="0.3">
      <c r="O33" s="84" t="s">
        <v>374</v>
      </c>
      <c r="P33" s="87">
        <f>SUM(P22:P32)</f>
        <v>18.066590660050871</v>
      </c>
      <c r="S33" s="87">
        <f>SUM(S22:S32)</f>
        <v>23.548339914137241</v>
      </c>
    </row>
    <row r="35" spans="1:19" x14ac:dyDescent="0.3">
      <c r="A35" s="70" t="s">
        <v>351</v>
      </c>
      <c r="L35" s="77" t="s">
        <v>385</v>
      </c>
      <c r="M35" s="70" t="s">
        <v>386</v>
      </c>
    </row>
    <row r="37" spans="1:19" x14ac:dyDescent="0.3">
      <c r="L37" s="77" t="s">
        <v>387</v>
      </c>
      <c r="M37" s="70" t="s">
        <v>388</v>
      </c>
    </row>
    <row r="38" spans="1:19" x14ac:dyDescent="0.3">
      <c r="M38" s="70" t="s">
        <v>389</v>
      </c>
    </row>
    <row r="39" spans="1:19" x14ac:dyDescent="0.3">
      <c r="A39" s="70" t="s">
        <v>352</v>
      </c>
    </row>
    <row r="43" spans="1:19" x14ac:dyDescent="0.3">
      <c r="A43" s="70" t="s">
        <v>353</v>
      </c>
    </row>
    <row r="48" spans="1:19" ht="16.05" customHeight="1" x14ac:dyDescent="0.3">
      <c r="A48" s="12" t="s">
        <v>91</v>
      </c>
      <c r="B48" s="12"/>
      <c r="C48" s="12"/>
      <c r="D48" s="12"/>
      <c r="E48" s="12"/>
      <c r="F48" s="12"/>
      <c r="G48" s="12"/>
      <c r="H48" s="12"/>
      <c r="I48" s="12"/>
      <c r="J48" s="12"/>
    </row>
    <row r="49" spans="1:14" ht="16.05" customHeight="1" x14ac:dyDescent="0.3">
      <c r="A49" s="12" t="s">
        <v>15</v>
      </c>
      <c r="B49" s="12"/>
      <c r="C49" s="12"/>
      <c r="D49" s="12"/>
      <c r="E49" s="12"/>
      <c r="F49" s="12"/>
      <c r="G49" s="12"/>
      <c r="H49" s="12"/>
      <c r="I49" s="12"/>
      <c r="J49" s="12"/>
    </row>
    <row r="50" spans="1:14" x14ac:dyDescent="0.3">
      <c r="A50" s="12"/>
      <c r="B50" s="12"/>
      <c r="C50" s="12"/>
      <c r="D50" s="12"/>
      <c r="E50" s="12"/>
      <c r="F50" s="12"/>
      <c r="G50" s="12"/>
      <c r="H50" s="12"/>
      <c r="I50" s="12"/>
      <c r="J50" s="12"/>
    </row>
    <row r="51" spans="1:14" x14ac:dyDescent="0.3">
      <c r="A51" s="21" t="s">
        <v>92</v>
      </c>
      <c r="B51" s="20">
        <v>0.35</v>
      </c>
      <c r="C51" s="12"/>
      <c r="D51" s="12"/>
      <c r="E51" s="12"/>
      <c r="F51" s="12"/>
      <c r="G51" s="12"/>
      <c r="H51" s="12"/>
      <c r="I51" s="12"/>
      <c r="J51" s="12"/>
    </row>
    <row r="52" spans="1:14" x14ac:dyDescent="0.3">
      <c r="A52" s="21" t="s">
        <v>93</v>
      </c>
      <c r="B52" s="20">
        <v>1.3</v>
      </c>
      <c r="C52" s="12"/>
      <c r="D52" s="12"/>
      <c r="E52" s="12"/>
      <c r="F52" s="12"/>
      <c r="G52" s="12"/>
      <c r="H52" s="12"/>
      <c r="I52" s="12"/>
      <c r="J52" s="12"/>
    </row>
    <row r="53" spans="1:14" x14ac:dyDescent="0.3">
      <c r="A53" s="12"/>
      <c r="B53" s="177"/>
      <c r="C53" s="12"/>
      <c r="D53" s="12"/>
      <c r="E53" s="12"/>
      <c r="F53" s="12"/>
      <c r="G53" s="12"/>
      <c r="H53" s="12"/>
      <c r="I53" s="12"/>
      <c r="J53" s="12"/>
    </row>
    <row r="54" spans="1:14" x14ac:dyDescent="0.3">
      <c r="A54" s="12" t="s">
        <v>94</v>
      </c>
      <c r="B54" s="12"/>
      <c r="C54" s="12"/>
      <c r="D54" s="12"/>
      <c r="E54" s="12"/>
      <c r="F54" s="12"/>
      <c r="G54" s="12"/>
      <c r="H54" s="12"/>
      <c r="I54" s="12"/>
      <c r="J54" s="12"/>
    </row>
    <row r="55" spans="1:14" x14ac:dyDescent="0.3">
      <c r="A55" s="12"/>
      <c r="B55" s="12" t="s">
        <v>359</v>
      </c>
      <c r="C55" s="12"/>
      <c r="D55" s="12"/>
      <c r="E55" s="12"/>
      <c r="F55" s="12"/>
      <c r="G55" s="12"/>
      <c r="H55" s="12"/>
      <c r="I55" s="12"/>
      <c r="J55" s="12"/>
    </row>
    <row r="56" spans="1:14" x14ac:dyDescent="0.3">
      <c r="A56" s="12"/>
      <c r="B56" s="12"/>
      <c r="C56" s="12"/>
      <c r="D56" s="12"/>
      <c r="E56" s="12"/>
      <c r="F56" s="12"/>
      <c r="G56" s="12"/>
      <c r="H56" s="12"/>
      <c r="I56" s="12"/>
      <c r="J56" s="12"/>
    </row>
    <row r="57" spans="1:14" x14ac:dyDescent="0.3">
      <c r="L57" s="77" t="s">
        <v>367</v>
      </c>
    </row>
    <row r="58" spans="1:14" x14ac:dyDescent="0.3">
      <c r="A58" s="70" t="s">
        <v>0</v>
      </c>
      <c r="M58" s="88" t="s">
        <v>390</v>
      </c>
    </row>
    <row r="59" spans="1:14" x14ac:dyDescent="0.3">
      <c r="M59" s="89" t="s">
        <v>391</v>
      </c>
    </row>
    <row r="60" spans="1:14" x14ac:dyDescent="0.3">
      <c r="M60" s="90">
        <f>35%*1.3+(1-35%)*1</f>
        <v>1.105</v>
      </c>
    </row>
    <row r="61" spans="1:14" x14ac:dyDescent="0.3">
      <c r="M61" s="91">
        <f>M60-1</f>
        <v>0.10499999999999998</v>
      </c>
      <c r="N61" s="70" t="s">
        <v>392</v>
      </c>
    </row>
    <row r="69" spans="1:30" x14ac:dyDescent="0.3">
      <c r="A69" s="180" t="s">
        <v>23</v>
      </c>
      <c r="B69" s="12"/>
      <c r="C69" s="12"/>
      <c r="D69" s="12"/>
      <c r="E69" s="12"/>
      <c r="F69" s="12"/>
      <c r="G69" s="12"/>
      <c r="H69" s="12"/>
      <c r="I69" s="12"/>
      <c r="J69" s="12"/>
    </row>
    <row r="71" spans="1:30" s="181" customFormat="1" x14ac:dyDescent="0.3">
      <c r="A71" s="181" t="s">
        <v>2</v>
      </c>
      <c r="K71" s="165"/>
      <c r="L71" s="77"/>
      <c r="M71" s="70"/>
      <c r="N71" s="70"/>
      <c r="O71" s="70"/>
      <c r="P71" s="70"/>
      <c r="Q71" s="70"/>
      <c r="R71" s="70"/>
      <c r="S71" s="70"/>
      <c r="T71" s="70"/>
      <c r="U71" s="70"/>
      <c r="V71" s="70"/>
      <c r="W71" s="70"/>
      <c r="X71" s="70"/>
      <c r="Y71" s="70"/>
      <c r="Z71" s="70"/>
      <c r="AA71" s="70"/>
      <c r="AB71" s="70"/>
      <c r="AC71" s="70"/>
      <c r="AD71"/>
    </row>
    <row r="100" spans="11:11" x14ac:dyDescent="0.3">
      <c r="K100" s="182"/>
    </row>
  </sheetData>
  <phoneticPr fontId="1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AE043-2E1A-4318-933C-3A7336112F1B}">
  <dimension ref="A1:U100"/>
  <sheetViews>
    <sheetView tabSelected="1" workbookViewId="0"/>
  </sheetViews>
  <sheetFormatPr defaultColWidth="9.109375" defaultRowHeight="13.8" x14ac:dyDescent="0.25"/>
  <cols>
    <col min="1" max="1" width="9.109375" style="70"/>
    <col min="2" max="2" width="34.33203125" style="70" customWidth="1"/>
    <col min="3" max="3" width="17.109375" style="70" customWidth="1"/>
    <col min="4" max="5" width="15.6640625" style="70" customWidth="1"/>
    <col min="6" max="7" width="9.109375" style="70"/>
    <col min="8" max="9" width="12.33203125" style="70" customWidth="1"/>
    <col min="10" max="10" width="11.33203125" style="70" customWidth="1"/>
    <col min="11" max="11" width="2.33203125" style="165" customWidth="1"/>
    <col min="12" max="16384" width="9.109375" style="70"/>
  </cols>
  <sheetData>
    <row r="1" spans="1:21" x14ac:dyDescent="0.25">
      <c r="A1" s="164" t="s">
        <v>5</v>
      </c>
      <c r="B1" s="12"/>
      <c r="C1" s="12"/>
      <c r="D1" s="12"/>
      <c r="E1" s="12"/>
      <c r="F1" s="12"/>
      <c r="G1" s="12"/>
      <c r="H1" s="12"/>
      <c r="I1" s="12"/>
      <c r="J1" s="12"/>
      <c r="L1" s="70" t="s">
        <v>0</v>
      </c>
    </row>
    <row r="2" spans="1:21" x14ac:dyDescent="0.25">
      <c r="A2" s="12" t="s">
        <v>22</v>
      </c>
      <c r="B2" s="12"/>
      <c r="C2" s="12"/>
      <c r="D2" s="12"/>
      <c r="E2" s="12"/>
      <c r="F2" s="12"/>
      <c r="G2" s="12"/>
      <c r="H2" s="12"/>
      <c r="I2" s="12"/>
      <c r="J2" s="12"/>
      <c r="L2" s="70" t="s">
        <v>350</v>
      </c>
    </row>
    <row r="3" spans="1:21" ht="41.4" x14ac:dyDescent="0.25">
      <c r="M3" s="92"/>
      <c r="N3" s="93" t="s">
        <v>402</v>
      </c>
      <c r="O3" s="93" t="s">
        <v>393</v>
      </c>
      <c r="P3" s="93" t="s">
        <v>394</v>
      </c>
      <c r="Q3" s="92" t="s">
        <v>395</v>
      </c>
      <c r="R3" s="92" t="s">
        <v>396</v>
      </c>
      <c r="S3" s="93" t="s">
        <v>397</v>
      </c>
      <c r="T3" s="92" t="s">
        <v>398</v>
      </c>
      <c r="U3" s="92" t="s">
        <v>399</v>
      </c>
    </row>
    <row r="4" spans="1:21" x14ac:dyDescent="0.25">
      <c r="A4" s="180" t="s">
        <v>14</v>
      </c>
      <c r="B4" s="12"/>
      <c r="C4" s="12"/>
      <c r="D4" s="12"/>
      <c r="E4" s="12"/>
      <c r="F4" s="12"/>
      <c r="G4" s="12"/>
      <c r="H4" s="12"/>
      <c r="I4" s="12"/>
      <c r="J4" s="12"/>
      <c r="M4" s="94" t="s">
        <v>100</v>
      </c>
      <c r="N4" s="95">
        <v>600</v>
      </c>
      <c r="O4" s="96">
        <v>125</v>
      </c>
      <c r="P4" s="97">
        <v>0.20833333333333334</v>
      </c>
      <c r="Q4" s="98">
        <v>0.7</v>
      </c>
      <c r="R4" s="98">
        <v>1.19</v>
      </c>
      <c r="S4" s="99">
        <f>R4*N4</f>
        <v>714</v>
      </c>
      <c r="T4" s="97">
        <f>T5</f>
        <v>1.0282978723404257</v>
      </c>
      <c r="U4" s="99">
        <f>T4*N4</f>
        <v>616.97872340425545</v>
      </c>
    </row>
    <row r="5" spans="1:21" x14ac:dyDescent="0.25">
      <c r="M5" s="94" t="s">
        <v>101</v>
      </c>
      <c r="N5" s="95">
        <v>480</v>
      </c>
      <c r="O5" s="96">
        <v>125</v>
      </c>
      <c r="P5" s="94"/>
      <c r="Q5" s="98">
        <v>0.30000000000000004</v>
      </c>
      <c r="R5" s="98">
        <v>0.55666666666666675</v>
      </c>
      <c r="S5" s="99">
        <f>R5*N5</f>
        <v>267.20000000000005</v>
      </c>
      <c r="T5" s="97">
        <f>T6</f>
        <v>1.0282978723404257</v>
      </c>
      <c r="U5" s="99">
        <f t="shared" ref="U5:U6" si="0">T5*N5</f>
        <v>493.58297872340432</v>
      </c>
    </row>
    <row r="6" spans="1:21" x14ac:dyDescent="0.25">
      <c r="A6" s="12" t="s">
        <v>363</v>
      </c>
      <c r="B6" s="12"/>
      <c r="C6" s="12"/>
      <c r="D6" s="12"/>
      <c r="E6" s="12"/>
      <c r="F6" s="12"/>
      <c r="G6" s="12"/>
      <c r="H6" s="12"/>
      <c r="I6" s="12"/>
      <c r="J6" s="12"/>
      <c r="M6" s="94" t="s">
        <v>400</v>
      </c>
      <c r="N6" s="99">
        <f>SUMPRODUCT(N4:N5,Q4:Q5)</f>
        <v>564</v>
      </c>
      <c r="O6" s="96">
        <f>SUMPRODUCT(O4:O5,Q4:Q5)</f>
        <v>125</v>
      </c>
      <c r="P6" s="94"/>
      <c r="Q6" s="94"/>
      <c r="R6" s="99"/>
      <c r="S6" s="99">
        <f>SUMPRODUCT(S4:S5,Q4:Q5)</f>
        <v>579.96</v>
      </c>
      <c r="T6" s="97">
        <f>S6/N6</f>
        <v>1.0282978723404257</v>
      </c>
      <c r="U6" s="99">
        <f t="shared" si="0"/>
        <v>579.96</v>
      </c>
    </row>
    <row r="7" spans="1:21" x14ac:dyDescent="0.25">
      <c r="A7" s="12" t="s">
        <v>95</v>
      </c>
      <c r="B7" s="183"/>
      <c r="C7" s="12"/>
      <c r="D7" s="12"/>
      <c r="E7" s="12"/>
      <c r="F7" s="12"/>
      <c r="G7" s="12"/>
      <c r="H7" s="12"/>
      <c r="I7" s="12"/>
      <c r="J7" s="12"/>
      <c r="M7" s="94"/>
      <c r="N7" s="94"/>
      <c r="O7" s="94"/>
      <c r="P7" s="94"/>
      <c r="Q7" s="94"/>
      <c r="R7" s="94"/>
      <c r="S7" s="94"/>
      <c r="T7" s="94"/>
      <c r="U7" s="94"/>
    </row>
    <row r="8" spans="1:21" x14ac:dyDescent="0.25">
      <c r="A8" s="12"/>
      <c r="B8" s="184"/>
      <c r="C8" s="12"/>
      <c r="D8" s="12"/>
      <c r="E8" s="12"/>
      <c r="F8" s="12"/>
      <c r="G8" s="12"/>
      <c r="H8" s="12"/>
      <c r="I8" s="12"/>
      <c r="J8" s="12"/>
      <c r="M8" s="94"/>
      <c r="N8" s="94"/>
      <c r="O8" s="94"/>
      <c r="P8" s="94"/>
      <c r="Q8" s="94"/>
      <c r="R8" s="94"/>
      <c r="S8" s="94"/>
      <c r="T8" s="94"/>
      <c r="U8" s="94"/>
    </row>
    <row r="9" spans="1:21" ht="41.4" x14ac:dyDescent="0.25">
      <c r="A9" s="12" t="s">
        <v>96</v>
      </c>
      <c r="B9" s="184"/>
      <c r="C9" s="12"/>
      <c r="D9" s="12"/>
      <c r="E9" s="12"/>
      <c r="F9" s="12"/>
      <c r="G9" s="12"/>
      <c r="H9" s="12"/>
      <c r="I9" s="12"/>
      <c r="J9" s="12"/>
      <c r="M9" s="92"/>
      <c r="N9" s="93" t="s">
        <v>403</v>
      </c>
      <c r="O9" s="93" t="s">
        <v>393</v>
      </c>
      <c r="P9" s="93" t="s">
        <v>394</v>
      </c>
      <c r="Q9" s="92" t="s">
        <v>395</v>
      </c>
      <c r="R9" s="92" t="s">
        <v>396</v>
      </c>
      <c r="S9" s="93" t="s">
        <v>397</v>
      </c>
      <c r="T9" s="92" t="s">
        <v>398</v>
      </c>
      <c r="U9" s="92" t="s">
        <v>399</v>
      </c>
    </row>
    <row r="10" spans="1:21" x14ac:dyDescent="0.25">
      <c r="A10" s="12"/>
      <c r="B10" s="184"/>
      <c r="C10" s="12"/>
      <c r="D10" s="12"/>
      <c r="E10" s="12"/>
      <c r="F10" s="12"/>
      <c r="G10" s="12"/>
      <c r="H10" s="12"/>
      <c r="I10" s="12"/>
      <c r="J10" s="12"/>
      <c r="M10" s="94" t="s">
        <v>100</v>
      </c>
      <c r="N10" s="99">
        <v>630</v>
      </c>
      <c r="O10" s="96">
        <v>125</v>
      </c>
      <c r="P10" s="97">
        <v>0.1984126984126984</v>
      </c>
      <c r="Q10" s="98">
        <v>0.55000000000000004</v>
      </c>
      <c r="R10" s="98">
        <v>1.27</v>
      </c>
      <c r="S10" s="99">
        <f>R10*N10</f>
        <v>800.1</v>
      </c>
      <c r="T10" s="97">
        <v>1.0326373626373626</v>
      </c>
      <c r="U10" s="99">
        <f>T10*N10</f>
        <v>650.56153846153848</v>
      </c>
    </row>
    <row r="11" spans="1:21" x14ac:dyDescent="0.25">
      <c r="A11" s="12"/>
      <c r="B11" s="30" t="s">
        <v>97</v>
      </c>
      <c r="C11" s="369" t="s">
        <v>98</v>
      </c>
      <c r="D11" s="370"/>
      <c r="E11" s="12"/>
      <c r="F11" s="12"/>
      <c r="G11" s="12"/>
      <c r="H11" s="12"/>
      <c r="I11" s="12"/>
      <c r="J11" s="12"/>
      <c r="M11" s="94" t="s">
        <v>101</v>
      </c>
      <c r="N11" s="99">
        <v>504</v>
      </c>
      <c r="O11" s="96">
        <v>125</v>
      </c>
      <c r="P11" s="94"/>
      <c r="Q11" s="98">
        <v>0.44999999999999996</v>
      </c>
      <c r="R11" s="98">
        <v>0.66999999999999982</v>
      </c>
      <c r="S11" s="99">
        <f>R11*N11</f>
        <v>337.67999999999989</v>
      </c>
      <c r="T11" s="97">
        <v>1.0326373626373626</v>
      </c>
      <c r="U11" s="99">
        <f t="shared" ref="U11" si="1">T11*N11</f>
        <v>520.44923076923078</v>
      </c>
    </row>
    <row r="12" spans="1:21" x14ac:dyDescent="0.25">
      <c r="A12" s="12"/>
      <c r="B12" s="24" t="s">
        <v>99</v>
      </c>
      <c r="C12" s="28" t="s">
        <v>100</v>
      </c>
      <c r="D12" s="29" t="s">
        <v>101</v>
      </c>
      <c r="E12" s="12"/>
      <c r="F12" s="12"/>
      <c r="G12" s="12"/>
      <c r="H12" s="12"/>
      <c r="I12" s="12"/>
      <c r="J12" s="12"/>
      <c r="M12" s="94" t="s">
        <v>400</v>
      </c>
      <c r="N12" s="99">
        <f>SUMPRODUCT(N10:N11,$F$56:$F$57)</f>
        <v>0</v>
      </c>
      <c r="O12" s="96">
        <f>SUMPRODUCT(O10:O11,$F$94:$F$95)</f>
        <v>0</v>
      </c>
      <c r="P12" s="94"/>
      <c r="Q12" s="94"/>
      <c r="R12" s="99"/>
      <c r="S12" s="99">
        <f>SUMPRODUCT(S10:S11,$F$56:$F$57)</f>
        <v>0</v>
      </c>
      <c r="T12" s="97">
        <v>1.0326373626373626</v>
      </c>
      <c r="U12" s="99">
        <f>SUMPRODUCT(U10:U11,$F$56:$F$57)</f>
        <v>0</v>
      </c>
    </row>
    <row r="13" spans="1:21" x14ac:dyDescent="0.25">
      <c r="A13" s="12"/>
      <c r="B13" s="22" t="s">
        <v>102</v>
      </c>
      <c r="C13" s="25">
        <v>0.7</v>
      </c>
      <c r="D13" s="25">
        <v>0.30000000000000004</v>
      </c>
      <c r="E13" s="12"/>
      <c r="F13" s="12"/>
      <c r="G13" s="12"/>
      <c r="H13" s="12"/>
      <c r="I13" s="12"/>
      <c r="J13" s="12"/>
      <c r="M13" s="94"/>
      <c r="N13" s="94"/>
      <c r="O13" s="94"/>
      <c r="P13" s="94"/>
      <c r="Q13" s="94"/>
      <c r="R13" s="94"/>
      <c r="S13" s="94"/>
      <c r="T13" s="94"/>
      <c r="U13" s="94"/>
    </row>
    <row r="14" spans="1:21" x14ac:dyDescent="0.25">
      <c r="A14" s="12"/>
      <c r="B14" s="23" t="s">
        <v>103</v>
      </c>
      <c r="C14" s="26">
        <v>0.55000000000000004</v>
      </c>
      <c r="D14" s="26">
        <v>0.44999999999999996</v>
      </c>
      <c r="E14" s="12"/>
      <c r="F14" s="12"/>
      <c r="G14" s="12"/>
      <c r="H14" s="12"/>
      <c r="I14" s="12"/>
      <c r="J14" s="12"/>
      <c r="M14" s="94"/>
      <c r="N14" s="94"/>
      <c r="O14" s="94"/>
      <c r="P14" s="94"/>
      <c r="Q14" s="94"/>
      <c r="R14" s="94"/>
      <c r="S14" s="94"/>
      <c r="T14" s="94"/>
      <c r="U14" s="94"/>
    </row>
    <row r="15" spans="1:21" x14ac:dyDescent="0.25">
      <c r="A15" s="12"/>
      <c r="B15" s="23" t="s">
        <v>104</v>
      </c>
      <c r="C15" s="26">
        <v>0.45</v>
      </c>
      <c r="D15" s="26">
        <v>0.55000000000000004</v>
      </c>
      <c r="E15" s="12"/>
      <c r="F15" s="12"/>
      <c r="G15" s="12"/>
      <c r="H15" s="12"/>
      <c r="I15" s="12"/>
      <c r="J15" s="12"/>
      <c r="M15" s="97" t="s">
        <v>401</v>
      </c>
      <c r="N15" s="97">
        <f>(U11/U5)-1</f>
        <v>5.4431074822136161E-2</v>
      </c>
      <c r="O15" s="94"/>
      <c r="P15" s="94"/>
      <c r="Q15" s="94"/>
      <c r="R15" s="94"/>
      <c r="S15" s="94"/>
      <c r="T15" s="94"/>
      <c r="U15" s="94"/>
    </row>
    <row r="16" spans="1:21" x14ac:dyDescent="0.25">
      <c r="A16" s="12"/>
      <c r="B16" s="24" t="s">
        <v>105</v>
      </c>
      <c r="C16" s="27">
        <v>0.3</v>
      </c>
      <c r="D16" s="27">
        <v>0.7</v>
      </c>
      <c r="E16" s="12"/>
      <c r="F16" s="12"/>
      <c r="G16" s="12"/>
      <c r="H16" s="12"/>
      <c r="I16" s="12"/>
      <c r="J16" s="12"/>
      <c r="L16" s="70" t="s">
        <v>351</v>
      </c>
      <c r="M16" s="97" t="s">
        <v>401</v>
      </c>
      <c r="N16" s="97">
        <f>(S11/S5)-1</f>
        <v>0.26377245508981972</v>
      </c>
    </row>
    <row r="17" spans="1:10" x14ac:dyDescent="0.25">
      <c r="A17" s="12"/>
      <c r="B17" s="184"/>
      <c r="C17" s="12"/>
      <c r="D17" s="12"/>
      <c r="E17" s="12"/>
      <c r="F17" s="12"/>
      <c r="G17" s="12"/>
      <c r="H17" s="12"/>
      <c r="I17" s="12"/>
      <c r="J17" s="12"/>
    </row>
    <row r="18" spans="1:10" x14ac:dyDescent="0.25">
      <c r="A18" s="12"/>
      <c r="B18" s="30" t="s">
        <v>100</v>
      </c>
      <c r="C18" s="371" t="s">
        <v>106</v>
      </c>
      <c r="D18" s="372"/>
      <c r="E18" s="12"/>
      <c r="F18" s="12"/>
      <c r="G18" s="12"/>
      <c r="H18" s="12"/>
      <c r="I18" s="12"/>
      <c r="J18" s="12"/>
    </row>
    <row r="19" spans="1:10" x14ac:dyDescent="0.25">
      <c r="A19" s="12"/>
      <c r="B19" s="24" t="s">
        <v>107</v>
      </c>
      <c r="C19" s="29" t="s">
        <v>108</v>
      </c>
      <c r="D19" s="29" t="s">
        <v>109</v>
      </c>
      <c r="E19" s="12"/>
      <c r="F19" s="12"/>
      <c r="G19" s="12"/>
      <c r="H19" s="12"/>
      <c r="I19" s="12"/>
      <c r="J19" s="12"/>
    </row>
    <row r="20" spans="1:10" x14ac:dyDescent="0.25">
      <c r="A20" s="12"/>
      <c r="B20" s="31" t="s">
        <v>110</v>
      </c>
      <c r="C20" s="25">
        <v>1.08</v>
      </c>
      <c r="D20" s="32">
        <v>0.23789473684210485</v>
      </c>
      <c r="E20" s="12"/>
      <c r="F20" s="12"/>
      <c r="G20" s="12"/>
      <c r="H20" s="12"/>
      <c r="I20" s="12"/>
      <c r="J20" s="12"/>
    </row>
    <row r="21" spans="1:10" x14ac:dyDescent="0.25">
      <c r="A21" s="12"/>
      <c r="B21" s="31" t="s">
        <v>111</v>
      </c>
      <c r="C21" s="26">
        <v>1.19</v>
      </c>
      <c r="D21" s="32">
        <v>0.55666666666666675</v>
      </c>
      <c r="E21" s="12"/>
      <c r="F21" s="12"/>
      <c r="G21" s="12"/>
      <c r="H21" s="12"/>
      <c r="I21" s="12"/>
      <c r="J21" s="12"/>
    </row>
    <row r="22" spans="1:10" x14ac:dyDescent="0.25">
      <c r="A22" s="12"/>
      <c r="B22" s="31" t="s">
        <v>112</v>
      </c>
      <c r="C22" s="26">
        <v>1.27</v>
      </c>
      <c r="D22" s="32">
        <v>0.66999999999999982</v>
      </c>
      <c r="E22" s="12"/>
      <c r="F22" s="12"/>
      <c r="G22" s="12"/>
      <c r="H22" s="12"/>
      <c r="I22" s="12"/>
      <c r="J22" s="12"/>
    </row>
    <row r="23" spans="1:10" x14ac:dyDescent="0.25">
      <c r="A23" s="12"/>
      <c r="B23" s="31" t="s">
        <v>113</v>
      </c>
      <c r="C23" s="26">
        <v>1.32</v>
      </c>
      <c r="D23" s="32">
        <v>0.73818181818181794</v>
      </c>
      <c r="E23" s="12"/>
      <c r="F23" s="12"/>
      <c r="G23" s="12"/>
      <c r="H23" s="12"/>
      <c r="I23" s="12"/>
      <c r="J23" s="12"/>
    </row>
    <row r="24" spans="1:10" x14ac:dyDescent="0.25">
      <c r="A24" s="12"/>
      <c r="B24" s="31" t="s">
        <v>114</v>
      </c>
      <c r="C24" s="26">
        <v>1.39</v>
      </c>
      <c r="D24" s="32">
        <v>0.83285714285714285</v>
      </c>
      <c r="E24" s="12"/>
      <c r="F24" s="12"/>
      <c r="G24" s="12"/>
      <c r="H24" s="12"/>
      <c r="I24" s="12"/>
      <c r="J24" s="12"/>
    </row>
    <row r="25" spans="1:10" x14ac:dyDescent="0.25">
      <c r="A25" s="12"/>
      <c r="B25" s="33" t="s">
        <v>115</v>
      </c>
      <c r="C25" s="27">
        <v>1.51</v>
      </c>
      <c r="D25" s="34">
        <v>0.94333333333333325</v>
      </c>
      <c r="E25" s="12"/>
      <c r="F25" s="12"/>
      <c r="G25" s="12"/>
      <c r="H25" s="12"/>
      <c r="I25" s="12"/>
      <c r="J25" s="12"/>
    </row>
    <row r="26" spans="1:10" x14ac:dyDescent="0.25">
      <c r="A26" s="12"/>
      <c r="B26" s="35"/>
      <c r="C26" s="36"/>
      <c r="D26" s="36"/>
      <c r="E26" s="12"/>
      <c r="F26" s="12"/>
      <c r="G26" s="12"/>
      <c r="H26" s="12"/>
      <c r="I26" s="12"/>
      <c r="J26" s="12"/>
    </row>
    <row r="27" spans="1:10" x14ac:dyDescent="0.25">
      <c r="A27" s="12"/>
      <c r="B27" s="37"/>
      <c r="C27" s="38" t="s">
        <v>116</v>
      </c>
      <c r="D27" s="39">
        <v>0.05</v>
      </c>
      <c r="E27" s="12"/>
      <c r="F27" s="12"/>
      <c r="G27" s="12"/>
      <c r="H27" s="12"/>
      <c r="I27" s="12"/>
      <c r="J27" s="12"/>
    </row>
    <row r="28" spans="1:10" x14ac:dyDescent="0.25">
      <c r="A28" s="12"/>
      <c r="B28" s="12"/>
      <c r="C28" s="12"/>
      <c r="D28" s="12"/>
      <c r="E28" s="12"/>
      <c r="F28" s="12"/>
      <c r="G28" s="12"/>
      <c r="H28" s="12"/>
      <c r="I28" s="12"/>
      <c r="J28" s="12"/>
    </row>
    <row r="29" spans="1:10" x14ac:dyDescent="0.25">
      <c r="A29" s="12" t="s">
        <v>119</v>
      </c>
      <c r="B29" s="12"/>
      <c r="C29" s="12"/>
      <c r="D29" s="12"/>
      <c r="E29" s="12"/>
      <c r="F29" s="12"/>
      <c r="G29" s="12"/>
      <c r="H29" s="12"/>
      <c r="I29" s="12"/>
      <c r="J29" s="12"/>
    </row>
    <row r="30" spans="1:10" x14ac:dyDescent="0.25">
      <c r="A30" s="12"/>
      <c r="B30" s="185" t="s">
        <v>326</v>
      </c>
      <c r="C30" s="12"/>
      <c r="D30" s="12"/>
      <c r="E30" s="12"/>
      <c r="F30" s="12"/>
      <c r="G30" s="12"/>
      <c r="H30" s="12"/>
      <c r="I30" s="12"/>
      <c r="J30" s="12"/>
    </row>
    <row r="31" spans="1:10" x14ac:dyDescent="0.25">
      <c r="A31" s="12"/>
      <c r="B31" s="185"/>
      <c r="C31" s="12"/>
      <c r="D31" s="12"/>
      <c r="E31" s="12"/>
      <c r="F31" s="12"/>
      <c r="G31" s="12"/>
      <c r="H31" s="12"/>
      <c r="I31" s="12"/>
      <c r="J31" s="12"/>
    </row>
    <row r="32" spans="1:10" x14ac:dyDescent="0.25">
      <c r="A32" s="12"/>
      <c r="B32" s="37"/>
      <c r="C32" s="38" t="s">
        <v>122</v>
      </c>
      <c r="D32" s="41" t="s">
        <v>123</v>
      </c>
      <c r="E32" s="12"/>
      <c r="F32" s="12"/>
      <c r="G32" s="12"/>
      <c r="H32" s="12"/>
      <c r="I32" s="12"/>
      <c r="J32" s="12"/>
    </row>
    <row r="33" spans="1:10" x14ac:dyDescent="0.25">
      <c r="A33" s="12"/>
      <c r="B33" s="37"/>
      <c r="C33" s="38" t="s">
        <v>121</v>
      </c>
      <c r="D33" s="40">
        <v>125</v>
      </c>
      <c r="E33" s="12"/>
      <c r="F33" s="12"/>
      <c r="G33" s="12"/>
      <c r="H33" s="12"/>
      <c r="I33" s="12"/>
      <c r="J33" s="12"/>
    </row>
    <row r="34" spans="1:10" x14ac:dyDescent="0.25">
      <c r="A34" s="12"/>
      <c r="B34" s="12"/>
      <c r="C34" s="12"/>
      <c r="D34" s="12"/>
      <c r="E34" s="12"/>
      <c r="F34" s="12"/>
      <c r="G34" s="12"/>
      <c r="H34" s="12"/>
      <c r="I34" s="12"/>
      <c r="J34" s="12"/>
    </row>
    <row r="35" spans="1:10" x14ac:dyDescent="0.25">
      <c r="A35" s="12"/>
      <c r="B35" s="186" t="s">
        <v>117</v>
      </c>
      <c r="C35" s="187" t="s">
        <v>120</v>
      </c>
      <c r="D35" s="12"/>
      <c r="E35" s="12"/>
      <c r="F35" s="12"/>
      <c r="G35" s="12"/>
      <c r="H35" s="12"/>
      <c r="I35" s="12"/>
      <c r="J35" s="12"/>
    </row>
    <row r="36" spans="1:10" x14ac:dyDescent="0.25">
      <c r="A36" s="12"/>
      <c r="B36" s="188"/>
      <c r="C36" s="189" t="s">
        <v>118</v>
      </c>
      <c r="D36" s="12"/>
      <c r="E36" s="12"/>
      <c r="F36" s="12"/>
      <c r="G36" s="12"/>
      <c r="H36" s="12"/>
      <c r="I36" s="12"/>
      <c r="J36" s="12"/>
    </row>
    <row r="37" spans="1:10" x14ac:dyDescent="0.25">
      <c r="A37" s="12"/>
      <c r="B37" s="49" t="s">
        <v>100</v>
      </c>
      <c r="C37" s="40">
        <v>600</v>
      </c>
      <c r="D37" s="12"/>
      <c r="E37" s="12"/>
      <c r="F37" s="12"/>
      <c r="G37" s="12"/>
      <c r="H37" s="12"/>
      <c r="I37" s="12"/>
      <c r="J37" s="12"/>
    </row>
    <row r="38" spans="1:10" x14ac:dyDescent="0.25">
      <c r="A38" s="12"/>
      <c r="B38" s="49" t="s">
        <v>101</v>
      </c>
      <c r="C38" s="40">
        <v>480</v>
      </c>
      <c r="D38" s="12"/>
      <c r="E38" s="12"/>
      <c r="F38" s="12"/>
      <c r="G38" s="12"/>
      <c r="H38" s="12"/>
      <c r="I38" s="12"/>
      <c r="J38" s="12"/>
    </row>
    <row r="39" spans="1:10" x14ac:dyDescent="0.25">
      <c r="A39" s="12"/>
      <c r="B39" s="12"/>
      <c r="C39" s="12"/>
      <c r="D39" s="12"/>
      <c r="E39" s="12"/>
      <c r="F39" s="12"/>
      <c r="G39" s="12"/>
      <c r="H39" s="12"/>
      <c r="I39" s="12"/>
      <c r="J39" s="12"/>
    </row>
    <row r="40" spans="1:10" x14ac:dyDescent="0.25">
      <c r="A40" s="12" t="s">
        <v>20</v>
      </c>
      <c r="B40" s="12"/>
      <c r="C40" s="12"/>
      <c r="D40" s="12"/>
      <c r="E40" s="12"/>
      <c r="F40" s="12"/>
      <c r="G40" s="12"/>
      <c r="H40" s="12"/>
      <c r="I40" s="12"/>
      <c r="J40" s="12"/>
    </row>
    <row r="41" spans="1:10" x14ac:dyDescent="0.25">
      <c r="A41" s="12"/>
      <c r="B41" s="12" t="s">
        <v>124</v>
      </c>
      <c r="C41" s="12"/>
      <c r="D41" s="12"/>
      <c r="E41" s="12"/>
      <c r="F41" s="12"/>
      <c r="G41" s="12"/>
      <c r="H41" s="12"/>
      <c r="I41" s="12"/>
      <c r="J41" s="12"/>
    </row>
    <row r="42" spans="1:10" x14ac:dyDescent="0.25">
      <c r="A42" s="12"/>
      <c r="B42" s="177" t="s">
        <v>361</v>
      </c>
      <c r="C42" s="12"/>
      <c r="D42" s="12"/>
      <c r="E42" s="12"/>
      <c r="F42" s="12"/>
      <c r="G42" s="12"/>
      <c r="H42" s="12"/>
      <c r="I42" s="12"/>
      <c r="J42" s="12"/>
    </row>
    <row r="43" spans="1:10" x14ac:dyDescent="0.25">
      <c r="A43" s="12"/>
      <c r="B43" s="177" t="s">
        <v>125</v>
      </c>
      <c r="C43" s="12"/>
      <c r="D43" s="12"/>
      <c r="E43" s="12"/>
      <c r="F43" s="12"/>
      <c r="G43" s="12"/>
      <c r="H43" s="12"/>
      <c r="I43" s="12"/>
      <c r="J43" s="12"/>
    </row>
    <row r="44" spans="1:10" x14ac:dyDescent="0.25">
      <c r="A44" s="12"/>
      <c r="B44" s="12" t="s">
        <v>17</v>
      </c>
      <c r="C44" s="12"/>
      <c r="D44" s="12"/>
      <c r="E44" s="12"/>
      <c r="F44" s="12"/>
      <c r="G44" s="12"/>
      <c r="H44" s="12"/>
      <c r="I44" s="12"/>
      <c r="J44" s="12"/>
    </row>
    <row r="45" spans="1:10" x14ac:dyDescent="0.25">
      <c r="A45" s="12"/>
      <c r="B45" s="12"/>
      <c r="C45" s="12"/>
      <c r="D45" s="12"/>
      <c r="E45" s="12"/>
      <c r="F45" s="12"/>
      <c r="G45" s="12"/>
      <c r="H45" s="12"/>
      <c r="I45" s="12"/>
      <c r="J45" s="12"/>
    </row>
    <row r="47" spans="1:10" x14ac:dyDescent="0.25">
      <c r="A47" s="70" t="s">
        <v>0</v>
      </c>
    </row>
    <row r="48" spans="1:10" x14ac:dyDescent="0.25">
      <c r="A48" s="70" t="s">
        <v>350</v>
      </c>
    </row>
    <row r="52" spans="1:10" x14ac:dyDescent="0.25">
      <c r="A52" s="70" t="s">
        <v>351</v>
      </c>
    </row>
    <row r="58" spans="1:10" x14ac:dyDescent="0.25">
      <c r="A58" s="12" t="s">
        <v>130</v>
      </c>
      <c r="B58" s="12"/>
      <c r="C58" s="12"/>
      <c r="D58" s="12"/>
      <c r="E58" s="12"/>
      <c r="F58" s="12"/>
      <c r="G58" s="12"/>
      <c r="H58" s="12"/>
      <c r="I58" s="12"/>
      <c r="J58" s="12"/>
    </row>
    <row r="59" spans="1:10" x14ac:dyDescent="0.25">
      <c r="A59" s="12"/>
      <c r="B59" s="12"/>
      <c r="C59" s="12"/>
      <c r="D59" s="12"/>
      <c r="E59" s="12"/>
      <c r="F59" s="12"/>
      <c r="G59" s="12"/>
      <c r="H59" s="12"/>
      <c r="I59" s="12"/>
      <c r="J59" s="12"/>
    </row>
    <row r="60" spans="1:10" x14ac:dyDescent="0.25">
      <c r="A60" s="12"/>
      <c r="B60" s="21" t="s">
        <v>132</v>
      </c>
      <c r="C60" s="190">
        <v>0.9</v>
      </c>
      <c r="D60" s="12"/>
      <c r="E60" s="12"/>
      <c r="F60" s="12"/>
      <c r="G60" s="12"/>
      <c r="H60" s="12"/>
      <c r="I60" s="12"/>
      <c r="J60" s="12"/>
    </row>
    <row r="61" spans="1:10" x14ac:dyDescent="0.25">
      <c r="A61" s="12"/>
      <c r="B61" s="21" t="s">
        <v>133</v>
      </c>
      <c r="C61" s="40">
        <v>675</v>
      </c>
      <c r="D61" s="12"/>
      <c r="E61" s="12"/>
      <c r="F61" s="12"/>
      <c r="G61" s="12"/>
      <c r="H61" s="12"/>
      <c r="I61" s="12"/>
      <c r="J61" s="12"/>
    </row>
    <row r="62" spans="1:10" ht="27.6" x14ac:dyDescent="0.25">
      <c r="A62" s="12"/>
      <c r="B62" s="191" t="s">
        <v>134</v>
      </c>
      <c r="C62" s="40">
        <v>708.75</v>
      </c>
      <c r="D62" s="12"/>
      <c r="E62" s="12"/>
      <c r="F62" s="12"/>
      <c r="G62" s="12"/>
      <c r="H62" s="12"/>
      <c r="I62" s="12"/>
      <c r="J62" s="12"/>
    </row>
    <row r="63" spans="1:10" x14ac:dyDescent="0.25">
      <c r="A63" s="12"/>
      <c r="B63" s="21" t="s">
        <v>126</v>
      </c>
      <c r="C63" s="192">
        <v>0</v>
      </c>
      <c r="D63" s="12"/>
      <c r="E63" s="12"/>
      <c r="F63" s="12"/>
      <c r="G63" s="12"/>
      <c r="H63" s="12"/>
      <c r="I63" s="12"/>
      <c r="J63" s="12"/>
    </row>
    <row r="64" spans="1:10" x14ac:dyDescent="0.25">
      <c r="A64" s="12"/>
      <c r="B64" s="21" t="s">
        <v>127</v>
      </c>
      <c r="C64" s="192">
        <v>0</v>
      </c>
      <c r="D64" s="12"/>
      <c r="E64" s="12"/>
      <c r="F64" s="12"/>
      <c r="G64" s="12"/>
      <c r="H64" s="12"/>
      <c r="I64" s="12"/>
      <c r="J64" s="12"/>
    </row>
    <row r="65" spans="1:17" x14ac:dyDescent="0.25">
      <c r="A65" s="12"/>
      <c r="B65" s="193" t="s">
        <v>128</v>
      </c>
      <c r="C65" s="194">
        <v>0.1</v>
      </c>
      <c r="D65" s="12"/>
      <c r="E65" s="12"/>
      <c r="F65" s="12"/>
      <c r="G65" s="12"/>
      <c r="H65" s="12"/>
      <c r="I65" s="12"/>
      <c r="J65" s="12"/>
    </row>
    <row r="66" spans="1:17" ht="27.6" x14ac:dyDescent="0.25">
      <c r="A66" s="12"/>
      <c r="B66" s="193" t="s">
        <v>129</v>
      </c>
      <c r="C66" s="194">
        <v>0.25</v>
      </c>
      <c r="D66" s="12"/>
      <c r="E66" s="12"/>
      <c r="F66" s="12"/>
      <c r="G66" s="12"/>
      <c r="H66" s="12"/>
      <c r="I66" s="12"/>
      <c r="J66" s="12"/>
    </row>
    <row r="67" spans="1:17" x14ac:dyDescent="0.25">
      <c r="A67" s="12"/>
      <c r="B67" s="12"/>
      <c r="C67" s="12"/>
      <c r="D67" s="12"/>
      <c r="E67" s="12"/>
      <c r="F67" s="12"/>
      <c r="G67" s="12"/>
      <c r="H67" s="12"/>
      <c r="I67" s="12"/>
      <c r="J67" s="12"/>
    </row>
    <row r="68" spans="1:17" x14ac:dyDescent="0.25">
      <c r="A68" s="12" t="s">
        <v>16</v>
      </c>
      <c r="B68" s="12"/>
      <c r="C68" s="12"/>
      <c r="D68" s="12"/>
      <c r="E68" s="12"/>
      <c r="F68" s="12"/>
      <c r="G68" s="12"/>
      <c r="H68" s="12"/>
      <c r="I68" s="12"/>
      <c r="J68" s="12"/>
    </row>
    <row r="69" spans="1:17" x14ac:dyDescent="0.25">
      <c r="A69" s="12"/>
      <c r="B69" s="12" t="s">
        <v>131</v>
      </c>
      <c r="C69" s="12"/>
      <c r="D69" s="12"/>
      <c r="E69" s="12"/>
      <c r="F69" s="12"/>
      <c r="G69" s="12"/>
      <c r="H69" s="12"/>
      <c r="I69" s="12"/>
      <c r="J69" s="12"/>
    </row>
    <row r="70" spans="1:17" x14ac:dyDescent="0.25">
      <c r="A70" s="12"/>
      <c r="B70" s="12"/>
      <c r="C70" s="12"/>
      <c r="D70" s="12"/>
      <c r="E70" s="12"/>
      <c r="F70" s="12"/>
      <c r="G70" s="12"/>
      <c r="H70" s="12"/>
      <c r="I70" s="12"/>
      <c r="J70" s="12"/>
    </row>
    <row r="71" spans="1:17" x14ac:dyDescent="0.25">
      <c r="L71" s="70" t="s">
        <v>0</v>
      </c>
    </row>
    <row r="72" spans="1:17" x14ac:dyDescent="0.25">
      <c r="A72" s="70" t="s">
        <v>0</v>
      </c>
    </row>
    <row r="73" spans="1:17" ht="41.4" x14ac:dyDescent="0.25">
      <c r="M73" s="70" t="s">
        <v>404</v>
      </c>
      <c r="N73" s="70" t="s">
        <v>394</v>
      </c>
      <c r="O73" s="70" t="s">
        <v>395</v>
      </c>
      <c r="P73" s="100" t="s">
        <v>396</v>
      </c>
      <c r="Q73" s="101" t="s">
        <v>405</v>
      </c>
    </row>
    <row r="74" spans="1:17" x14ac:dyDescent="0.25">
      <c r="M74" s="70" t="s">
        <v>100</v>
      </c>
      <c r="N74" s="102">
        <v>0.25</v>
      </c>
      <c r="O74" s="103">
        <v>0.7</v>
      </c>
      <c r="P74" s="103">
        <v>1.19</v>
      </c>
      <c r="Q74" s="104">
        <v>843.41249999999991</v>
      </c>
    </row>
    <row r="75" spans="1:17" x14ac:dyDescent="0.25">
      <c r="M75" s="70" t="s">
        <v>101</v>
      </c>
      <c r="N75" s="102"/>
      <c r="O75" s="103">
        <v>0.30000000000000004</v>
      </c>
      <c r="P75" s="103">
        <v>0.55666666666666675</v>
      </c>
      <c r="Q75" s="104">
        <v>355.08375000000007</v>
      </c>
    </row>
    <row r="76" spans="1:17" ht="14.4" thickBot="1" x14ac:dyDescent="0.3">
      <c r="Q76" s="105">
        <f>SUMPRODUCT(O74:O75,Q74:Q75)</f>
        <v>696.91387499999985</v>
      </c>
    </row>
    <row r="77" spans="1:17" ht="14.4" thickBot="1" x14ac:dyDescent="0.3">
      <c r="M77" s="106" t="s">
        <v>406</v>
      </c>
      <c r="N77" s="107">
        <f>C62-Q76</f>
        <v>11.836125000000152</v>
      </c>
    </row>
    <row r="83" spans="1:11" s="181" customFormat="1" x14ac:dyDescent="0.25">
      <c r="A83" s="181" t="s">
        <v>2</v>
      </c>
      <c r="K83" s="165"/>
    </row>
    <row r="100" spans="11:11" x14ac:dyDescent="0.25">
      <c r="K100" s="182"/>
    </row>
  </sheetData>
  <mergeCells count="2">
    <mergeCell ref="C11:D11"/>
    <mergeCell ref="C18:D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F756-190F-4B54-931A-51446A9F8242}">
  <dimension ref="A1:AK100"/>
  <sheetViews>
    <sheetView workbookViewId="0"/>
  </sheetViews>
  <sheetFormatPr defaultColWidth="9.109375" defaultRowHeight="15.6" x14ac:dyDescent="0.3"/>
  <cols>
    <col min="1" max="1" width="20.33203125" style="2" customWidth="1"/>
    <col min="2" max="2" width="23.77734375" style="2" customWidth="1"/>
    <col min="3" max="3" width="42.33203125" style="2" customWidth="1"/>
    <col min="4" max="4" width="26" style="2" customWidth="1"/>
    <col min="5" max="10" width="8.44140625" style="2" customWidth="1"/>
    <col min="11" max="11" width="2.33203125" style="68" customWidth="1"/>
    <col min="12" max="12" width="9.109375" style="2"/>
    <col min="13" max="13" width="25.44140625" style="2" customWidth="1"/>
    <col min="14" max="14" width="17.44140625" style="2" bestFit="1" customWidth="1"/>
    <col min="15" max="15" width="19.33203125" style="2" bestFit="1" customWidth="1"/>
    <col min="16" max="16" width="23.44140625" style="2" bestFit="1" customWidth="1"/>
    <col min="17" max="18" width="15.33203125" style="2" bestFit="1" customWidth="1"/>
    <col min="19" max="19" width="21.6640625" style="2" bestFit="1" customWidth="1"/>
    <col min="20" max="20" width="9.109375" style="2"/>
    <col min="21" max="21" width="2.33203125" style="68" customWidth="1"/>
    <col min="22" max="22" width="9.109375" style="2"/>
    <col min="23" max="23" width="40.109375" style="2" customWidth="1"/>
    <col min="24" max="24" width="22.77734375" style="2" bestFit="1" customWidth="1"/>
    <col min="25" max="26" width="25.6640625" style="2" bestFit="1" customWidth="1"/>
    <col min="27" max="27" width="9.109375" style="2"/>
    <col min="28" max="28" width="33.44140625" style="2" customWidth="1"/>
    <col min="29" max="29" width="2.33203125" style="68" customWidth="1"/>
    <col min="30" max="30" width="9.109375" style="2"/>
    <col min="31" max="31" width="44.44140625" style="2" customWidth="1"/>
    <col min="32" max="32" width="22.6640625" style="2" bestFit="1" customWidth="1"/>
    <col min="33" max="33" width="19.6640625" style="2" bestFit="1" customWidth="1"/>
    <col min="34" max="34" width="28.77734375" style="2" bestFit="1" customWidth="1"/>
    <col min="35" max="35" width="31.33203125" style="2" bestFit="1" customWidth="1"/>
    <col min="36" max="36" width="10.44140625" style="2" bestFit="1" customWidth="1"/>
    <col min="37" max="16384" width="9.109375" style="2"/>
  </cols>
  <sheetData>
    <row r="1" spans="1:37" x14ac:dyDescent="0.3">
      <c r="A1" s="6" t="s">
        <v>7</v>
      </c>
      <c r="B1" s="1"/>
      <c r="C1" s="1"/>
      <c r="D1" s="1"/>
      <c r="E1" s="1"/>
      <c r="F1" s="1"/>
      <c r="G1" s="1"/>
      <c r="H1" s="1"/>
      <c r="I1" s="1"/>
      <c r="J1" s="1"/>
      <c r="L1" s="1" t="s">
        <v>16</v>
      </c>
      <c r="M1" s="1"/>
      <c r="N1" s="1"/>
      <c r="O1" s="1"/>
      <c r="P1" s="1"/>
      <c r="Q1" s="1"/>
      <c r="R1" s="1"/>
      <c r="S1" s="1"/>
      <c r="T1" s="1"/>
      <c r="V1" s="1" t="s">
        <v>18</v>
      </c>
      <c r="W1" s="1"/>
      <c r="X1" s="1"/>
      <c r="Y1" s="1"/>
      <c r="Z1" s="1"/>
      <c r="AA1" s="1"/>
      <c r="AB1" s="1"/>
      <c r="AD1" s="1" t="s">
        <v>32</v>
      </c>
      <c r="AE1" s="1"/>
      <c r="AF1" s="1"/>
      <c r="AG1" s="1"/>
      <c r="AH1" s="1"/>
      <c r="AI1" s="1"/>
    </row>
    <row r="2" spans="1:37" x14ac:dyDescent="0.3">
      <c r="A2" s="1" t="s">
        <v>12</v>
      </c>
      <c r="B2" s="1"/>
      <c r="C2" s="1"/>
      <c r="D2" s="1"/>
      <c r="E2" s="1"/>
      <c r="F2" s="1"/>
      <c r="G2" s="1"/>
      <c r="H2" s="1"/>
      <c r="I2" s="1"/>
      <c r="J2" s="1"/>
      <c r="L2" s="1"/>
      <c r="M2" s="1" t="s">
        <v>158</v>
      </c>
      <c r="N2" s="1"/>
      <c r="O2" s="1"/>
      <c r="P2" s="1"/>
      <c r="Q2" s="1"/>
      <c r="R2" s="1"/>
      <c r="S2" s="1"/>
      <c r="T2" s="1"/>
      <c r="V2" s="1"/>
      <c r="W2" s="8" t="s">
        <v>354</v>
      </c>
      <c r="X2" s="1"/>
      <c r="Y2" s="1"/>
      <c r="Z2" s="1"/>
      <c r="AA2" s="1"/>
      <c r="AB2" s="1"/>
      <c r="AD2" s="1"/>
      <c r="AE2" s="8" t="s">
        <v>162</v>
      </c>
      <c r="AF2" s="1"/>
      <c r="AG2" s="1"/>
      <c r="AH2" s="1"/>
      <c r="AI2" s="1"/>
    </row>
    <row r="3" spans="1:37" x14ac:dyDescent="0.3">
      <c r="L3" s="1"/>
      <c r="M3" s="1"/>
      <c r="N3" s="1"/>
      <c r="O3" s="1"/>
      <c r="P3" s="1"/>
      <c r="Q3" s="1"/>
      <c r="R3" s="1"/>
      <c r="S3" s="1"/>
      <c r="T3" s="1"/>
      <c r="V3" s="1"/>
      <c r="W3" s="8" t="s">
        <v>161</v>
      </c>
      <c r="X3" s="1"/>
      <c r="Y3" s="1"/>
      <c r="Z3" s="1"/>
      <c r="AA3" s="1"/>
      <c r="AB3" s="1"/>
      <c r="AD3" s="1"/>
      <c r="AE3" s="8" t="s">
        <v>161</v>
      </c>
      <c r="AF3" s="1"/>
      <c r="AG3" s="1"/>
      <c r="AH3" s="1"/>
      <c r="AI3" s="1"/>
    </row>
    <row r="4" spans="1:37" x14ac:dyDescent="0.3">
      <c r="A4" s="4" t="s">
        <v>135</v>
      </c>
      <c r="B4" s="1"/>
      <c r="C4" s="1"/>
      <c r="D4" s="1"/>
      <c r="E4" s="1"/>
      <c r="F4" s="1"/>
      <c r="G4" s="1"/>
      <c r="H4" s="1"/>
      <c r="I4" s="1"/>
      <c r="J4" s="1"/>
      <c r="V4" s="1"/>
      <c r="W4" s="1"/>
      <c r="X4" s="1"/>
      <c r="Y4" s="1"/>
      <c r="Z4" s="1"/>
      <c r="AA4" s="1"/>
      <c r="AB4" s="1"/>
    </row>
    <row r="5" spans="1:37" x14ac:dyDescent="0.3">
      <c r="L5" s="2" t="s">
        <v>0</v>
      </c>
    </row>
    <row r="6" spans="1:37" x14ac:dyDescent="0.3">
      <c r="A6" s="1" t="s">
        <v>136</v>
      </c>
      <c r="B6" s="1"/>
      <c r="C6" s="1"/>
      <c r="D6" s="1"/>
      <c r="E6" s="1"/>
      <c r="F6" s="1"/>
      <c r="G6" s="1"/>
      <c r="H6" s="1"/>
      <c r="I6" s="1"/>
      <c r="J6" s="1"/>
      <c r="L6" s="108" t="s">
        <v>407</v>
      </c>
      <c r="M6" s="108"/>
      <c r="N6" s="108"/>
      <c r="O6" s="108"/>
      <c r="P6" s="108"/>
      <c r="Q6" s="108"/>
      <c r="R6" s="108"/>
      <c r="S6" s="108"/>
      <c r="T6" s="108"/>
      <c r="V6" s="2" t="s">
        <v>350</v>
      </c>
      <c r="AD6" s="2" t="s">
        <v>350</v>
      </c>
    </row>
    <row r="7" spans="1:37" x14ac:dyDescent="0.3">
      <c r="A7" s="1" t="s">
        <v>160</v>
      </c>
      <c r="B7" s="10"/>
      <c r="C7" s="1"/>
      <c r="D7" s="1"/>
      <c r="E7" s="1"/>
      <c r="F7" s="1"/>
      <c r="G7" s="1"/>
      <c r="H7" s="1"/>
      <c r="I7" s="1"/>
      <c r="J7" s="1"/>
      <c r="L7" s="108" t="s">
        <v>408</v>
      </c>
      <c r="M7" s="108"/>
      <c r="N7" s="108"/>
      <c r="O7" s="108"/>
      <c r="P7" s="108"/>
      <c r="Q7" s="108"/>
      <c r="R7" s="108"/>
      <c r="S7" s="108"/>
      <c r="T7" s="108"/>
      <c r="V7" s="108" t="s">
        <v>409</v>
      </c>
      <c r="W7" s="108"/>
      <c r="X7" s="108"/>
      <c r="Y7" s="108"/>
      <c r="Z7" s="108"/>
      <c r="AD7" s="108" t="s">
        <v>410</v>
      </c>
      <c r="AE7" s="108"/>
      <c r="AF7" s="108"/>
      <c r="AG7" s="108"/>
      <c r="AH7" s="108"/>
      <c r="AI7" s="108"/>
      <c r="AJ7" s="108"/>
      <c r="AK7" s="108"/>
    </row>
    <row r="8" spans="1:37" x14ac:dyDescent="0.3">
      <c r="A8" s="1"/>
      <c r="B8" s="7"/>
      <c r="C8" s="1"/>
      <c r="D8" s="1"/>
      <c r="E8" s="1"/>
      <c r="F8" s="1"/>
      <c r="G8" s="1"/>
      <c r="H8" s="1"/>
      <c r="I8" s="1"/>
      <c r="J8" s="1"/>
      <c r="T8" s="108"/>
      <c r="V8" s="108" t="s">
        <v>411</v>
      </c>
      <c r="W8" s="108"/>
      <c r="X8" s="108"/>
      <c r="Y8" s="108"/>
      <c r="Z8" s="108"/>
      <c r="AD8" s="108" t="s">
        <v>412</v>
      </c>
      <c r="AE8" s="108"/>
      <c r="AF8" s="108"/>
      <c r="AG8" s="108"/>
      <c r="AH8" s="108"/>
      <c r="AI8" s="108"/>
      <c r="AJ8" s="108"/>
      <c r="AK8" s="108"/>
    </row>
    <row r="9" spans="1:37" x14ac:dyDescent="0.3">
      <c r="A9" s="11" t="s">
        <v>137</v>
      </c>
      <c r="B9" s="9">
        <v>96</v>
      </c>
      <c r="C9" s="1"/>
      <c r="D9" s="1"/>
      <c r="E9" s="1"/>
      <c r="F9" s="1"/>
      <c r="G9" s="1"/>
      <c r="H9" s="1"/>
      <c r="I9" s="1"/>
      <c r="J9" s="1"/>
      <c r="L9" s="2" t="s">
        <v>413</v>
      </c>
      <c r="T9" s="108"/>
      <c r="V9" s="108"/>
      <c r="W9" s="108"/>
      <c r="X9" s="108"/>
      <c r="Y9" s="108"/>
      <c r="Z9" s="108"/>
      <c r="AD9" s="108" t="s">
        <v>414</v>
      </c>
      <c r="AE9" s="108"/>
      <c r="AF9" s="108"/>
      <c r="AG9" s="108"/>
      <c r="AH9" s="108"/>
      <c r="AI9" s="108"/>
      <c r="AJ9" s="108"/>
      <c r="AK9" s="108"/>
    </row>
    <row r="10" spans="1:37" x14ac:dyDescent="0.3">
      <c r="A10" s="11" t="s">
        <v>138</v>
      </c>
      <c r="B10" s="42">
        <v>0</v>
      </c>
      <c r="C10" s="1"/>
      <c r="D10" s="1"/>
      <c r="E10" s="1"/>
      <c r="F10" s="1"/>
      <c r="G10" s="1"/>
      <c r="H10" s="1"/>
      <c r="I10" s="1"/>
      <c r="J10" s="1"/>
      <c r="L10" s="108"/>
      <c r="M10" s="109" t="s">
        <v>141</v>
      </c>
      <c r="N10" s="109" t="s">
        <v>415</v>
      </c>
      <c r="O10" s="109" t="s">
        <v>416</v>
      </c>
      <c r="P10" s="110" t="s">
        <v>417</v>
      </c>
      <c r="Q10" s="109" t="s">
        <v>418</v>
      </c>
      <c r="R10" s="109" t="s">
        <v>418</v>
      </c>
      <c r="S10" s="111" t="s">
        <v>419</v>
      </c>
      <c r="T10" s="108"/>
      <c r="V10" s="108"/>
      <c r="W10" s="109" t="s">
        <v>141</v>
      </c>
      <c r="X10" s="109" t="s">
        <v>420</v>
      </c>
      <c r="Y10" s="109" t="s">
        <v>421</v>
      </c>
      <c r="Z10" s="110" t="s">
        <v>422</v>
      </c>
      <c r="AD10" s="108" t="s">
        <v>423</v>
      </c>
      <c r="AE10" s="108"/>
      <c r="AF10" s="108"/>
      <c r="AG10" s="108"/>
      <c r="AH10" s="108"/>
      <c r="AI10" s="108"/>
      <c r="AJ10" s="108"/>
      <c r="AK10" s="108"/>
    </row>
    <row r="11" spans="1:37" x14ac:dyDescent="0.3">
      <c r="A11" s="11" t="s">
        <v>139</v>
      </c>
      <c r="B11" s="9">
        <v>0</v>
      </c>
      <c r="C11" s="1"/>
      <c r="D11" s="1"/>
      <c r="E11" s="1"/>
      <c r="F11" s="1"/>
      <c r="G11" s="1"/>
      <c r="H11" s="1"/>
      <c r="I11" s="1"/>
      <c r="J11" s="1"/>
      <c r="L11" s="108"/>
      <c r="M11" s="109" t="s">
        <v>143</v>
      </c>
      <c r="N11" s="112">
        <f>+B21</f>
        <v>150</v>
      </c>
      <c r="O11" s="112">
        <f>+B27</f>
        <v>135</v>
      </c>
      <c r="P11" s="113">
        <f>+O11/N11</f>
        <v>0.9</v>
      </c>
      <c r="Q11" s="114" t="s">
        <v>424</v>
      </c>
      <c r="R11" s="115">
        <v>0.7142857142857143</v>
      </c>
      <c r="S11" s="116">
        <f>+R11*P11</f>
        <v>0.6428571428571429</v>
      </c>
      <c r="T11" s="108"/>
      <c r="V11" s="108"/>
      <c r="W11" s="109" t="s">
        <v>143</v>
      </c>
      <c r="X11" s="117">
        <f>+S11*Y11</f>
        <v>2270571.4285714286</v>
      </c>
      <c r="Y11" s="117">
        <f>+O18</f>
        <v>3532000</v>
      </c>
      <c r="Z11" s="118">
        <f>+S11</f>
        <v>0.6428571428571429</v>
      </c>
      <c r="AD11" s="119"/>
      <c r="AE11" s="108"/>
      <c r="AF11" s="108"/>
      <c r="AG11" s="108"/>
      <c r="AH11" s="108"/>
      <c r="AI11" s="108"/>
      <c r="AJ11" s="108"/>
      <c r="AK11" s="108"/>
    </row>
    <row r="12" spans="1:37" x14ac:dyDescent="0.3">
      <c r="A12" s="1"/>
      <c r="B12" s="7"/>
      <c r="C12" s="1"/>
      <c r="D12" s="1"/>
      <c r="E12" s="1"/>
      <c r="F12" s="1"/>
      <c r="G12" s="1"/>
      <c r="H12" s="1"/>
      <c r="I12" s="1"/>
      <c r="J12" s="1"/>
      <c r="L12" s="108"/>
      <c r="M12" s="109" t="s">
        <v>144</v>
      </c>
      <c r="N12" s="112">
        <f>+B22</f>
        <v>200</v>
      </c>
      <c r="O12" s="112">
        <f>+B28</f>
        <v>175</v>
      </c>
      <c r="P12" s="113">
        <f t="shared" ref="P12:P13" si="0">+O12/N12</f>
        <v>0.875</v>
      </c>
      <c r="Q12" s="114" t="s">
        <v>425</v>
      </c>
      <c r="R12" s="115">
        <v>1</v>
      </c>
      <c r="S12" s="116">
        <f t="shared" ref="S12:S13" si="1">+R12*P12</f>
        <v>0.875</v>
      </c>
      <c r="T12" s="108"/>
      <c r="V12" s="108"/>
      <c r="W12" s="109" t="s">
        <v>144</v>
      </c>
      <c r="X12" s="117">
        <f>+S12*Y12</f>
        <v>4580887.5</v>
      </c>
      <c r="Y12" s="117">
        <f>+O19</f>
        <v>5235300</v>
      </c>
      <c r="Z12" s="118">
        <f>+S12</f>
        <v>0.875</v>
      </c>
      <c r="AD12" s="119"/>
      <c r="AE12" s="120" t="s">
        <v>426</v>
      </c>
      <c r="AF12" s="108"/>
      <c r="AG12" s="108"/>
      <c r="AH12" s="108"/>
      <c r="AI12" s="108"/>
      <c r="AJ12" s="108"/>
      <c r="AK12" s="108"/>
    </row>
    <row r="13" spans="1:37" x14ac:dyDescent="0.3">
      <c r="A13" s="121" t="s">
        <v>140</v>
      </c>
      <c r="B13" s="121"/>
      <c r="C13" s="5"/>
      <c r="D13" s="1"/>
      <c r="E13" s="1"/>
      <c r="F13" s="1"/>
      <c r="G13" s="1"/>
      <c r="H13" s="1"/>
      <c r="I13" s="1"/>
      <c r="J13" s="1"/>
      <c r="L13" s="108"/>
      <c r="M13" s="109" t="s">
        <v>145</v>
      </c>
      <c r="N13" s="112">
        <f>+B23</f>
        <v>300</v>
      </c>
      <c r="O13" s="112">
        <f>+B29</f>
        <v>292</v>
      </c>
      <c r="P13" s="113">
        <f t="shared" si="0"/>
        <v>0.97333333333333338</v>
      </c>
      <c r="Q13" s="114" t="s">
        <v>425</v>
      </c>
      <c r="R13" s="115">
        <v>1</v>
      </c>
      <c r="S13" s="116">
        <f t="shared" si="1"/>
        <v>0.97333333333333338</v>
      </c>
      <c r="T13" s="108"/>
      <c r="V13" s="108"/>
      <c r="W13" s="109" t="s">
        <v>145</v>
      </c>
      <c r="X13" s="117">
        <f>+S13*Y13</f>
        <v>5856546.666666667</v>
      </c>
      <c r="Y13" s="117">
        <f>+O20</f>
        <v>6017000</v>
      </c>
      <c r="Z13" s="118">
        <f>+S13</f>
        <v>0.97333333333333338</v>
      </c>
      <c r="AD13" s="108"/>
      <c r="AE13" s="109" t="s">
        <v>155</v>
      </c>
      <c r="AF13" s="109" t="s">
        <v>427</v>
      </c>
      <c r="AG13" s="109" t="s">
        <v>428</v>
      </c>
      <c r="AH13" s="109" t="s">
        <v>429</v>
      </c>
      <c r="AI13" s="108"/>
      <c r="AJ13" s="108"/>
      <c r="AK13" s="108"/>
    </row>
    <row r="14" spans="1:37" x14ac:dyDescent="0.3">
      <c r="A14" s="122" t="s">
        <v>141</v>
      </c>
      <c r="B14" s="122" t="s">
        <v>142</v>
      </c>
      <c r="C14" s="5"/>
      <c r="D14" s="1"/>
      <c r="E14" s="1"/>
      <c r="F14" s="1"/>
      <c r="G14" s="1"/>
      <c r="H14" s="1"/>
      <c r="I14" s="1"/>
      <c r="J14" s="1"/>
      <c r="L14" s="108"/>
      <c r="M14" s="108"/>
      <c r="N14" s="108"/>
      <c r="O14" s="108"/>
      <c r="P14" s="108"/>
      <c r="Q14" s="108"/>
      <c r="R14" s="108"/>
      <c r="S14" s="108"/>
      <c r="T14" s="108"/>
      <c r="V14" s="108"/>
      <c r="W14" s="110" t="s">
        <v>51</v>
      </c>
      <c r="X14" s="123">
        <f>+SUM(X11:X13)</f>
        <v>12708005.595238097</v>
      </c>
      <c r="Y14" s="123">
        <f>+SUM(Y11:Y13)</f>
        <v>14784300</v>
      </c>
      <c r="Z14" s="118">
        <f>+X14/Y14</f>
        <v>0.85956085815615868</v>
      </c>
      <c r="AD14" s="108"/>
      <c r="AE14" s="109">
        <v>1</v>
      </c>
      <c r="AF14" s="124">
        <f t="shared" ref="AF14:AF20" si="2">+C42</f>
        <v>0.82</v>
      </c>
      <c r="AG14" s="124">
        <f>AF14</f>
        <v>0.82</v>
      </c>
      <c r="AH14" s="124">
        <f>1-AG14</f>
        <v>0.18000000000000005</v>
      </c>
      <c r="AI14" s="108"/>
      <c r="AJ14" s="108"/>
      <c r="AK14" s="108"/>
    </row>
    <row r="15" spans="1:37" x14ac:dyDescent="0.3">
      <c r="A15" s="125" t="s">
        <v>143</v>
      </c>
      <c r="B15" s="122">
        <v>5</v>
      </c>
      <c r="C15" s="5"/>
      <c r="D15" s="1"/>
      <c r="E15" s="1"/>
      <c r="F15" s="1"/>
      <c r="G15" s="1"/>
      <c r="H15" s="1"/>
      <c r="I15" s="1"/>
      <c r="J15" s="1"/>
      <c r="L15" s="108" t="s">
        <v>430</v>
      </c>
      <c r="M15" s="108"/>
      <c r="N15" s="108"/>
      <c r="O15" s="108"/>
      <c r="P15" s="108"/>
      <c r="Q15" s="108"/>
      <c r="R15" s="108"/>
      <c r="S15" s="108"/>
      <c r="T15" s="108"/>
      <c r="V15" s="108"/>
      <c r="W15" s="119"/>
      <c r="X15" s="126"/>
      <c r="Y15" s="126"/>
      <c r="Z15" s="127"/>
      <c r="AD15" s="108"/>
      <c r="AE15" s="109">
        <f>+AE14+1</f>
        <v>2</v>
      </c>
      <c r="AF15" s="128">
        <f t="shared" si="2"/>
        <v>0.70499999999999996</v>
      </c>
      <c r="AG15" s="128">
        <f>AF15/AF14</f>
        <v>0.8597560975609756</v>
      </c>
      <c r="AH15" s="124">
        <f t="shared" ref="AH15:AH20" si="3">1-AG15</f>
        <v>0.1402439024390244</v>
      </c>
      <c r="AI15" s="108"/>
      <c r="AJ15" s="108"/>
      <c r="AK15" s="108"/>
    </row>
    <row r="16" spans="1:37" x14ac:dyDescent="0.3">
      <c r="A16" s="125" t="s">
        <v>144</v>
      </c>
      <c r="B16" s="122">
        <v>7</v>
      </c>
      <c r="C16" s="5"/>
      <c r="D16" s="1"/>
      <c r="E16" s="1"/>
      <c r="F16" s="1"/>
      <c r="G16" s="1"/>
      <c r="H16" s="1"/>
      <c r="I16" s="1"/>
      <c r="J16" s="1"/>
      <c r="L16" s="108" t="s">
        <v>431</v>
      </c>
      <c r="M16" s="108"/>
      <c r="N16" s="108"/>
      <c r="O16" s="108"/>
      <c r="P16" s="108"/>
      <c r="Q16" s="108"/>
      <c r="R16" s="108"/>
      <c r="S16" s="108"/>
      <c r="T16" s="108"/>
      <c r="V16" s="108" t="s">
        <v>431</v>
      </c>
      <c r="W16" s="108"/>
      <c r="X16" s="108"/>
      <c r="Y16" s="108"/>
      <c r="Z16" s="108"/>
      <c r="AD16" s="108"/>
      <c r="AE16" s="109">
        <f>+AE15+1</f>
        <v>3</v>
      </c>
      <c r="AF16" s="128">
        <f t="shared" si="2"/>
        <v>0.628</v>
      </c>
      <c r="AG16" s="128">
        <f t="shared" ref="AG16:AG20" si="4">AF16/AF15</f>
        <v>0.8907801418439717</v>
      </c>
      <c r="AH16" s="124">
        <f t="shared" si="3"/>
        <v>0.1092198581560283</v>
      </c>
      <c r="AI16" s="108"/>
      <c r="AJ16" s="108"/>
      <c r="AK16" s="108"/>
    </row>
    <row r="17" spans="1:37" x14ac:dyDescent="0.3">
      <c r="A17" s="125" t="s">
        <v>145</v>
      </c>
      <c r="B17" s="122">
        <v>7</v>
      </c>
      <c r="C17" s="5"/>
      <c r="D17" s="1"/>
      <c r="E17" s="1"/>
      <c r="F17" s="1"/>
      <c r="G17" s="1"/>
      <c r="H17" s="1"/>
      <c r="I17" s="1"/>
      <c r="J17" s="1"/>
      <c r="L17" s="108"/>
      <c r="M17" s="109" t="s">
        <v>141</v>
      </c>
      <c r="N17" s="109" t="s">
        <v>432</v>
      </c>
      <c r="O17" s="109" t="s">
        <v>421</v>
      </c>
      <c r="P17" s="110" t="s">
        <v>433</v>
      </c>
      <c r="Q17" s="108"/>
      <c r="R17" s="108"/>
      <c r="S17" s="108"/>
      <c r="T17" s="108"/>
      <c r="V17" s="108"/>
      <c r="W17" s="109" t="s">
        <v>141</v>
      </c>
      <c r="X17" s="109" t="s">
        <v>432</v>
      </c>
      <c r="Y17" s="109" t="s">
        <v>421</v>
      </c>
      <c r="Z17" s="110" t="s">
        <v>433</v>
      </c>
      <c r="AD17" s="108"/>
      <c r="AE17" s="109">
        <f>+AE16+1</f>
        <v>4</v>
      </c>
      <c r="AF17" s="128">
        <f t="shared" si="2"/>
        <v>0.57699999999999996</v>
      </c>
      <c r="AG17" s="128">
        <f t="shared" si="4"/>
        <v>0.91878980891719741</v>
      </c>
      <c r="AH17" s="124">
        <f t="shared" si="3"/>
        <v>8.1210191082802585E-2</v>
      </c>
      <c r="AI17" s="108"/>
      <c r="AJ17" s="108"/>
      <c r="AK17" s="108"/>
    </row>
    <row r="18" spans="1:37" x14ac:dyDescent="0.3">
      <c r="A18" s="5"/>
      <c r="B18" s="5"/>
      <c r="C18" s="5"/>
      <c r="D18" s="1"/>
      <c r="E18" s="1"/>
      <c r="F18" s="1"/>
      <c r="G18" s="1"/>
      <c r="H18" s="1"/>
      <c r="I18" s="1"/>
      <c r="J18" s="1"/>
      <c r="L18" s="108"/>
      <c r="M18" s="109" t="s">
        <v>143</v>
      </c>
      <c r="N18" s="117">
        <f>+SUMIFS($C$33:$C$38,$A$33:$A$38,M18)</f>
        <v>2461713</v>
      </c>
      <c r="O18" s="117">
        <f>+C21*2</f>
        <v>3532000</v>
      </c>
      <c r="P18" s="129">
        <f>+N18/O18</f>
        <v>0.69697423556058891</v>
      </c>
      <c r="Q18" s="108"/>
      <c r="R18" s="108"/>
      <c r="S18" s="108"/>
      <c r="T18" s="108"/>
      <c r="V18" s="108"/>
      <c r="W18" s="109" t="s">
        <v>143</v>
      </c>
      <c r="X18" s="117">
        <f>+SUMIFS($C$33:$C$38,$A$33:$A$38,W18)</f>
        <v>2461713</v>
      </c>
      <c r="Y18" s="117">
        <f>+C21*2</f>
        <v>3532000</v>
      </c>
      <c r="Z18" s="118">
        <f>+X18/Y18</f>
        <v>0.69697423556058891</v>
      </c>
      <c r="AD18" s="108"/>
      <c r="AE18" s="109">
        <f>+AE17+1</f>
        <v>5</v>
      </c>
      <c r="AF18" s="128">
        <f t="shared" si="2"/>
        <v>0.54300000000000004</v>
      </c>
      <c r="AG18" s="128">
        <f t="shared" si="4"/>
        <v>0.94107452339688058</v>
      </c>
      <c r="AH18" s="124">
        <f t="shared" si="3"/>
        <v>5.892547660311942E-2</v>
      </c>
      <c r="AI18" s="108"/>
      <c r="AJ18" s="108"/>
      <c r="AK18" s="108"/>
    </row>
    <row r="19" spans="1:37" x14ac:dyDescent="0.3">
      <c r="A19" s="130" t="s">
        <v>146</v>
      </c>
      <c r="B19" s="131"/>
      <c r="C19" s="132"/>
      <c r="D19" s="1"/>
      <c r="E19" s="1"/>
      <c r="F19" s="1"/>
      <c r="G19" s="1"/>
      <c r="H19" s="1"/>
      <c r="I19" s="1"/>
      <c r="J19" s="1"/>
      <c r="L19" s="108"/>
      <c r="M19" s="109" t="s">
        <v>144</v>
      </c>
      <c r="N19" s="117">
        <f t="shared" ref="N19:N20" si="5">+SUMIFS($C$33:$C$38,$A$33:$A$38,M19)</f>
        <v>4538967</v>
      </c>
      <c r="O19" s="117">
        <f>+C22*2</f>
        <v>5235300</v>
      </c>
      <c r="P19" s="129">
        <f t="shared" ref="P19:P20" si="6">+N19/O19</f>
        <v>0.86699272248008707</v>
      </c>
      <c r="Q19" s="108"/>
      <c r="R19" s="108"/>
      <c r="S19" s="108"/>
      <c r="T19" s="108"/>
      <c r="V19" s="108"/>
      <c r="W19" s="109" t="s">
        <v>144</v>
      </c>
      <c r="X19" s="117">
        <f t="shared" ref="X19:X20" si="7">+SUMIFS($C$33:$C$38,$A$33:$A$38,W19)</f>
        <v>4538967</v>
      </c>
      <c r="Y19" s="117">
        <f>+C22*2</f>
        <v>5235300</v>
      </c>
      <c r="Z19" s="118">
        <f t="shared" ref="Z19:Z20" si="8">+X19/Y19</f>
        <v>0.86699272248008707</v>
      </c>
      <c r="AD19" s="108"/>
      <c r="AE19" s="109">
        <v>6</v>
      </c>
      <c r="AF19" s="128">
        <f t="shared" si="2"/>
        <v>0.51600000000000001</v>
      </c>
      <c r="AG19" s="128">
        <f t="shared" si="4"/>
        <v>0.95027624309392256</v>
      </c>
      <c r="AH19" s="124">
        <f t="shared" si="3"/>
        <v>4.9723756906077443E-2</v>
      </c>
      <c r="AI19" s="108"/>
      <c r="AJ19" s="108"/>
      <c r="AK19" s="108"/>
    </row>
    <row r="20" spans="1:37" x14ac:dyDescent="0.3">
      <c r="A20" s="133" t="s">
        <v>141</v>
      </c>
      <c r="B20" s="133" t="s">
        <v>147</v>
      </c>
      <c r="C20" s="133" t="s">
        <v>148</v>
      </c>
      <c r="D20" s="1"/>
      <c r="E20" s="1"/>
      <c r="F20" s="1"/>
      <c r="G20" s="1"/>
      <c r="H20" s="1"/>
      <c r="I20" s="1"/>
      <c r="J20" s="1"/>
      <c r="L20" s="108"/>
      <c r="M20" s="109" t="s">
        <v>145</v>
      </c>
      <c r="N20" s="117">
        <f t="shared" si="5"/>
        <v>5995887</v>
      </c>
      <c r="O20" s="117">
        <f>+C23*2</f>
        <v>6017000</v>
      </c>
      <c r="P20" s="129">
        <f t="shared" si="6"/>
        <v>0.99649110852584344</v>
      </c>
      <c r="Q20" s="108"/>
      <c r="R20" s="108"/>
      <c r="S20" s="108"/>
      <c r="V20" s="108"/>
      <c r="W20" s="109" t="s">
        <v>145</v>
      </c>
      <c r="X20" s="117">
        <f t="shared" si="7"/>
        <v>5995887</v>
      </c>
      <c r="Y20" s="117">
        <f>+C23*2</f>
        <v>6017000</v>
      </c>
      <c r="Z20" s="118">
        <f t="shared" si="8"/>
        <v>0.99649110852584344</v>
      </c>
      <c r="AD20" s="108"/>
      <c r="AE20" s="109">
        <v>7</v>
      </c>
      <c r="AF20" s="128">
        <f t="shared" si="2"/>
        <v>0.495</v>
      </c>
      <c r="AG20" s="128">
        <f t="shared" si="4"/>
        <v>0.95930232558139528</v>
      </c>
      <c r="AH20" s="124">
        <f t="shared" si="3"/>
        <v>4.0697674418604723E-2</v>
      </c>
      <c r="AI20" s="108"/>
      <c r="AJ20" s="108"/>
      <c r="AK20" s="108"/>
    </row>
    <row r="21" spans="1:37" x14ac:dyDescent="0.3">
      <c r="A21" s="125" t="s">
        <v>143</v>
      </c>
      <c r="B21" s="134">
        <v>150</v>
      </c>
      <c r="C21" s="135">
        <v>1766000</v>
      </c>
      <c r="D21" s="1"/>
      <c r="E21" s="1"/>
      <c r="F21" s="1"/>
      <c r="G21" s="1"/>
      <c r="H21" s="1"/>
      <c r="I21" s="1"/>
      <c r="J21" s="1"/>
      <c r="L21" s="108"/>
      <c r="M21" s="110" t="s">
        <v>51</v>
      </c>
      <c r="N21" s="123">
        <f>+SUM(N18:N20)</f>
        <v>12996567</v>
      </c>
      <c r="O21" s="123">
        <f>+SUM(O18:O20)</f>
        <v>14784300</v>
      </c>
      <c r="P21" s="118">
        <f>+N21/O21</f>
        <v>0.87907895537834058</v>
      </c>
      <c r="Q21" s="108"/>
      <c r="R21" s="108"/>
      <c r="S21" s="108"/>
      <c r="V21" s="108"/>
      <c r="W21" s="110" t="s">
        <v>51</v>
      </c>
      <c r="X21" s="123">
        <f>+SUM(X18:X20)</f>
        <v>12996567</v>
      </c>
      <c r="Y21" s="123">
        <f>+SUM(Y18:Y20)</f>
        <v>14784300</v>
      </c>
      <c r="Z21" s="118">
        <f>+X21/Y21</f>
        <v>0.87907895537834058</v>
      </c>
      <c r="AD21" s="108"/>
      <c r="AE21" s="108"/>
      <c r="AF21" s="108"/>
      <c r="AG21" s="108"/>
      <c r="AH21" s="108"/>
      <c r="AI21" s="108"/>
      <c r="AJ21" s="108"/>
      <c r="AK21" s="108"/>
    </row>
    <row r="22" spans="1:37" ht="16.05" customHeight="1" x14ac:dyDescent="0.3">
      <c r="A22" s="125" t="s">
        <v>144</v>
      </c>
      <c r="B22" s="134">
        <v>200</v>
      </c>
      <c r="C22" s="135">
        <v>2617650</v>
      </c>
      <c r="D22" s="1"/>
      <c r="E22" s="1"/>
      <c r="F22" s="1"/>
      <c r="G22" s="1"/>
      <c r="H22" s="1"/>
      <c r="I22" s="1"/>
      <c r="J22" s="1"/>
      <c r="V22" s="108"/>
      <c r="W22" s="108"/>
      <c r="X22" s="136"/>
      <c r="Y22" s="108"/>
      <c r="Z22" s="108"/>
      <c r="AD22" s="108"/>
      <c r="AE22" s="120" t="s">
        <v>434</v>
      </c>
      <c r="AF22" s="108"/>
      <c r="AG22" s="108"/>
      <c r="AH22" s="108"/>
      <c r="AI22" s="108"/>
      <c r="AJ22" s="108"/>
      <c r="AK22" s="108"/>
    </row>
    <row r="23" spans="1:37" x14ac:dyDescent="0.3">
      <c r="A23" s="125" t="s">
        <v>145</v>
      </c>
      <c r="B23" s="134">
        <v>300</v>
      </c>
      <c r="C23" s="135">
        <v>3008500</v>
      </c>
      <c r="D23" s="1"/>
      <c r="E23" s="1"/>
      <c r="F23" s="1"/>
      <c r="G23" s="1"/>
      <c r="H23" s="1"/>
      <c r="I23" s="1"/>
      <c r="J23" s="1"/>
      <c r="V23" s="108" t="s">
        <v>435</v>
      </c>
      <c r="W23" s="108"/>
      <c r="X23" s="108"/>
      <c r="Y23" s="108"/>
      <c r="Z23" s="108"/>
      <c r="AD23" s="108"/>
      <c r="AE23" s="109" t="s">
        <v>155</v>
      </c>
      <c r="AF23" s="109" t="s">
        <v>436</v>
      </c>
      <c r="AG23" s="109" t="s">
        <v>156</v>
      </c>
      <c r="AH23" s="109" t="s">
        <v>437</v>
      </c>
      <c r="AI23" s="109" t="s">
        <v>438</v>
      </c>
      <c r="AJ23" s="111" t="s">
        <v>439</v>
      </c>
      <c r="AK23" s="108"/>
    </row>
    <row r="24" spans="1:37" x14ac:dyDescent="0.3">
      <c r="A24" s="5"/>
      <c r="B24" s="5"/>
      <c r="C24" s="5"/>
      <c r="D24" s="1"/>
      <c r="E24" s="1"/>
      <c r="F24" s="1"/>
      <c r="G24" s="1"/>
      <c r="H24" s="1"/>
      <c r="I24" s="1"/>
      <c r="J24" s="1"/>
      <c r="V24" s="108"/>
      <c r="W24" s="109" t="s">
        <v>141</v>
      </c>
      <c r="X24" s="110" t="s">
        <v>433</v>
      </c>
      <c r="Y24" s="110" t="s">
        <v>422</v>
      </c>
      <c r="Z24" s="111" t="s">
        <v>439</v>
      </c>
      <c r="AD24" s="108"/>
      <c r="AE24" s="109">
        <v>1</v>
      </c>
      <c r="AF24" s="109">
        <v>96</v>
      </c>
      <c r="AG24" s="109">
        <f t="shared" ref="AG24:AG30" si="9">+B42</f>
        <v>19</v>
      </c>
      <c r="AH24" s="124">
        <f>+AG24/AF24</f>
        <v>0.19791666666666666</v>
      </c>
      <c r="AI24" s="124">
        <f>AH14</f>
        <v>0.18000000000000005</v>
      </c>
      <c r="AJ24" s="129">
        <f>+AH24/AI24</f>
        <v>1.0995370370370368</v>
      </c>
      <c r="AK24" s="108"/>
    </row>
    <row r="25" spans="1:37" x14ac:dyDescent="0.3">
      <c r="A25" s="130" t="s">
        <v>149</v>
      </c>
      <c r="B25" s="132"/>
      <c r="C25" s="5"/>
      <c r="D25" s="1"/>
      <c r="E25" s="1"/>
      <c r="F25" s="1"/>
      <c r="G25" s="1"/>
      <c r="H25" s="1"/>
      <c r="I25" s="1"/>
      <c r="J25" s="1"/>
      <c r="V25" s="108"/>
      <c r="W25" s="109" t="s">
        <v>143</v>
      </c>
      <c r="X25" s="118">
        <f>+Z18</f>
        <v>0.69697423556058891</v>
      </c>
      <c r="Y25" s="118">
        <f>+Z11</f>
        <v>0.6428571428571429</v>
      </c>
      <c r="Z25" s="129">
        <f>+X25/Y25</f>
        <v>1.0841821442053605</v>
      </c>
      <c r="AD25" s="108"/>
      <c r="AE25" s="109">
        <f>+AE24+1</f>
        <v>2</v>
      </c>
      <c r="AF25" s="109">
        <f>+AF24-AG24</f>
        <v>77</v>
      </c>
      <c r="AG25" s="109">
        <f t="shared" si="9"/>
        <v>11</v>
      </c>
      <c r="AH25" s="124">
        <f t="shared" ref="AH25:AH30" si="10">+AG25/AF25</f>
        <v>0.14285714285714285</v>
      </c>
      <c r="AI25" s="124">
        <f t="shared" ref="AI25:AI30" si="11">AH15</f>
        <v>0.1402439024390244</v>
      </c>
      <c r="AJ25" s="129">
        <f t="shared" ref="AJ25:AJ30" si="12">+AH25/AI25</f>
        <v>1.0186335403726707</v>
      </c>
      <c r="AK25" s="108"/>
    </row>
    <row r="26" spans="1:37" x14ac:dyDescent="0.3">
      <c r="A26" s="137" t="s">
        <v>141</v>
      </c>
      <c r="B26" s="133" t="s">
        <v>150</v>
      </c>
      <c r="C26" s="5"/>
      <c r="D26" s="1"/>
      <c r="E26" s="1"/>
      <c r="F26" s="1"/>
      <c r="G26" s="1"/>
      <c r="H26" s="1"/>
      <c r="I26" s="1"/>
      <c r="J26" s="1"/>
      <c r="V26" s="108"/>
      <c r="W26" s="109" t="s">
        <v>144</v>
      </c>
      <c r="X26" s="118">
        <f>+Z19</f>
        <v>0.86699272248008707</v>
      </c>
      <c r="Y26" s="118">
        <f>+Z12</f>
        <v>0.875</v>
      </c>
      <c r="Z26" s="129">
        <f t="shared" ref="Z26:Z28" si="13">+X26/Y26</f>
        <v>0.9908488256915281</v>
      </c>
      <c r="AD26" s="108"/>
      <c r="AE26" s="109">
        <f>+AE25+1</f>
        <v>3</v>
      </c>
      <c r="AF26" s="109">
        <f t="shared" ref="AF26:AF30" si="14">+AF25-AG25</f>
        <v>66</v>
      </c>
      <c r="AG26" s="109">
        <f t="shared" si="9"/>
        <v>8</v>
      </c>
      <c r="AH26" s="124">
        <f t="shared" si="10"/>
        <v>0.12121212121212122</v>
      </c>
      <c r="AI26" s="124">
        <f t="shared" si="11"/>
        <v>0.1092198581560283</v>
      </c>
      <c r="AJ26" s="129">
        <f t="shared" si="12"/>
        <v>1.1097992916174741</v>
      </c>
      <c r="AK26" s="108"/>
    </row>
    <row r="27" spans="1:37" x14ac:dyDescent="0.3">
      <c r="A27" s="125" t="s">
        <v>143</v>
      </c>
      <c r="B27" s="134">
        <v>135</v>
      </c>
      <c r="C27" s="5"/>
      <c r="D27" s="1"/>
      <c r="E27" s="1"/>
      <c r="F27" s="1"/>
      <c r="G27" s="1"/>
      <c r="H27" s="1"/>
      <c r="I27" s="1"/>
      <c r="J27" s="1"/>
      <c r="V27" s="108"/>
      <c r="W27" s="109" t="s">
        <v>145</v>
      </c>
      <c r="X27" s="118">
        <f>+Z20</f>
        <v>0.99649110852584344</v>
      </c>
      <c r="Y27" s="118">
        <f>+Z13</f>
        <v>0.97333333333333338</v>
      </c>
      <c r="Z27" s="129">
        <f t="shared" si="13"/>
        <v>1.0237922347868254</v>
      </c>
      <c r="AD27" s="108"/>
      <c r="AE27" s="109">
        <f>+AE26+1</f>
        <v>4</v>
      </c>
      <c r="AF27" s="109">
        <f t="shared" si="14"/>
        <v>58</v>
      </c>
      <c r="AG27" s="109">
        <f t="shared" si="9"/>
        <v>5</v>
      </c>
      <c r="AH27" s="124">
        <f t="shared" si="10"/>
        <v>8.6206896551724144E-2</v>
      </c>
      <c r="AI27" s="124">
        <f t="shared" si="11"/>
        <v>8.1210191082802585E-2</v>
      </c>
      <c r="AJ27" s="129">
        <f t="shared" si="12"/>
        <v>1.0615280594996614</v>
      </c>
      <c r="AK27" s="108"/>
    </row>
    <row r="28" spans="1:37" x14ac:dyDescent="0.3">
      <c r="A28" s="125" t="s">
        <v>144</v>
      </c>
      <c r="B28" s="134">
        <v>175</v>
      </c>
      <c r="C28" s="5"/>
      <c r="D28" s="1"/>
      <c r="E28" s="1"/>
      <c r="F28" s="1"/>
      <c r="G28" s="1"/>
      <c r="H28" s="1"/>
      <c r="I28" s="1"/>
      <c r="J28" s="1"/>
      <c r="V28" s="108"/>
      <c r="W28" s="110" t="s">
        <v>51</v>
      </c>
      <c r="X28" s="118">
        <f>+Z21</f>
        <v>0.87907895537834058</v>
      </c>
      <c r="Y28" s="118">
        <f>+Z14</f>
        <v>0.85956085815615868</v>
      </c>
      <c r="Z28" s="129">
        <f t="shared" si="13"/>
        <v>1.0227070567918253</v>
      </c>
      <c r="AD28" s="108"/>
      <c r="AE28" s="109">
        <f>+AE27+1</f>
        <v>5</v>
      </c>
      <c r="AF28" s="109">
        <f t="shared" si="14"/>
        <v>53</v>
      </c>
      <c r="AG28" s="109">
        <f t="shared" si="9"/>
        <v>3</v>
      </c>
      <c r="AH28" s="124">
        <f t="shared" si="10"/>
        <v>5.6603773584905662E-2</v>
      </c>
      <c r="AI28" s="124">
        <f t="shared" si="11"/>
        <v>5.892547660311942E-2</v>
      </c>
      <c r="AJ28" s="129">
        <f t="shared" si="12"/>
        <v>0.9605993340732546</v>
      </c>
      <c r="AK28" s="108"/>
    </row>
    <row r="29" spans="1:37" x14ac:dyDescent="0.3">
      <c r="A29" s="125" t="s">
        <v>145</v>
      </c>
      <c r="B29" s="134">
        <v>292</v>
      </c>
      <c r="C29" s="5"/>
      <c r="D29" s="1"/>
      <c r="E29" s="1"/>
      <c r="F29" s="1"/>
      <c r="G29" s="1"/>
      <c r="H29" s="1"/>
      <c r="I29" s="1"/>
      <c r="J29" s="1"/>
      <c r="AD29" s="108"/>
      <c r="AE29" s="109">
        <v>6</v>
      </c>
      <c r="AF29" s="109">
        <f t="shared" si="14"/>
        <v>50</v>
      </c>
      <c r="AG29" s="109">
        <f t="shared" si="9"/>
        <v>2</v>
      </c>
      <c r="AH29" s="124">
        <f t="shared" si="10"/>
        <v>0.04</v>
      </c>
      <c r="AI29" s="124">
        <f t="shared" si="11"/>
        <v>4.9723756906077443E-2</v>
      </c>
      <c r="AJ29" s="129">
        <f t="shared" si="12"/>
        <v>0.80444444444444296</v>
      </c>
      <c r="AK29" s="108"/>
    </row>
    <row r="30" spans="1:37" x14ac:dyDescent="0.3">
      <c r="A30" s="5"/>
      <c r="B30" s="138"/>
      <c r="C30" s="5"/>
      <c r="D30" s="1"/>
      <c r="E30" s="1"/>
      <c r="F30" s="1"/>
      <c r="G30" s="1"/>
      <c r="H30" s="1"/>
      <c r="I30" s="1"/>
      <c r="J30" s="1"/>
      <c r="V30" s="2" t="s">
        <v>351</v>
      </c>
      <c r="AD30" s="108"/>
      <c r="AE30" s="109">
        <v>7</v>
      </c>
      <c r="AF30" s="109">
        <f t="shared" si="14"/>
        <v>48</v>
      </c>
      <c r="AG30" s="109">
        <f t="shared" si="9"/>
        <v>1</v>
      </c>
      <c r="AH30" s="124">
        <f t="shared" si="10"/>
        <v>2.0833333333333332E-2</v>
      </c>
      <c r="AI30" s="124">
        <f t="shared" si="11"/>
        <v>4.0697674418604723E-2</v>
      </c>
      <c r="AJ30" s="129">
        <f t="shared" si="12"/>
        <v>0.51190476190476097</v>
      </c>
      <c r="AK30" s="108"/>
    </row>
    <row r="31" spans="1:37" x14ac:dyDescent="0.3">
      <c r="A31" s="130" t="s">
        <v>151</v>
      </c>
      <c r="B31" s="139"/>
      <c r="C31" s="132"/>
      <c r="D31" s="1"/>
      <c r="E31" s="1"/>
      <c r="F31" s="1"/>
      <c r="G31" s="1"/>
      <c r="H31" s="1"/>
      <c r="I31" s="1"/>
      <c r="J31" s="1"/>
      <c r="V31" s="2" t="s">
        <v>440</v>
      </c>
    </row>
    <row r="32" spans="1:37" x14ac:dyDescent="0.3">
      <c r="A32" s="133" t="s">
        <v>141</v>
      </c>
      <c r="B32" s="133" t="s">
        <v>152</v>
      </c>
      <c r="C32" s="140" t="s">
        <v>153</v>
      </c>
      <c r="D32" s="1"/>
      <c r="E32" s="1"/>
      <c r="F32" s="1"/>
      <c r="G32" s="1"/>
      <c r="H32" s="1"/>
      <c r="I32" s="1"/>
      <c r="J32" s="1"/>
      <c r="V32" s="2" t="s">
        <v>441</v>
      </c>
      <c r="AD32" s="2" t="s">
        <v>351</v>
      </c>
    </row>
    <row r="33" spans="1:30" x14ac:dyDescent="0.3">
      <c r="A33" s="125" t="s">
        <v>143</v>
      </c>
      <c r="B33" s="122" t="s">
        <v>159</v>
      </c>
      <c r="C33" s="135">
        <v>1265623</v>
      </c>
      <c r="D33" s="1"/>
      <c r="E33" s="1"/>
      <c r="F33" s="1"/>
      <c r="G33" s="1"/>
      <c r="H33" s="1"/>
      <c r="I33" s="1"/>
      <c r="J33" s="1"/>
      <c r="V33" s="2" t="s">
        <v>442</v>
      </c>
      <c r="AD33" s="108" t="s">
        <v>443</v>
      </c>
    </row>
    <row r="34" spans="1:30" x14ac:dyDescent="0.3">
      <c r="A34" s="125" t="s">
        <v>144</v>
      </c>
      <c r="B34" s="122" t="s">
        <v>159</v>
      </c>
      <c r="C34" s="135">
        <v>2304693</v>
      </c>
      <c r="D34" s="1"/>
      <c r="E34" s="1"/>
      <c r="F34" s="1"/>
      <c r="G34" s="1"/>
      <c r="H34" s="1"/>
      <c r="I34" s="1"/>
      <c r="J34" s="1"/>
      <c r="AD34" s="108" t="s">
        <v>444</v>
      </c>
    </row>
    <row r="35" spans="1:30" x14ac:dyDescent="0.3">
      <c r="A35" s="125" t="s">
        <v>145</v>
      </c>
      <c r="B35" s="122" t="s">
        <v>159</v>
      </c>
      <c r="C35" s="135">
        <v>2786086</v>
      </c>
      <c r="D35" s="1"/>
      <c r="E35" s="1"/>
      <c r="F35" s="1"/>
      <c r="G35" s="1"/>
      <c r="H35" s="1"/>
      <c r="I35" s="1"/>
      <c r="J35" s="1"/>
      <c r="V35" s="141" t="s">
        <v>445</v>
      </c>
    </row>
    <row r="36" spans="1:30" x14ac:dyDescent="0.3">
      <c r="A36" s="125" t="s">
        <v>143</v>
      </c>
      <c r="B36" s="122" t="s">
        <v>27</v>
      </c>
      <c r="C36" s="135">
        <v>1196090</v>
      </c>
      <c r="D36" s="1"/>
      <c r="E36" s="1"/>
      <c r="F36" s="1"/>
      <c r="G36" s="1"/>
      <c r="H36" s="1"/>
      <c r="I36" s="1"/>
      <c r="J36" s="1"/>
    </row>
    <row r="37" spans="1:30" x14ac:dyDescent="0.3">
      <c r="A37" s="125" t="s">
        <v>144</v>
      </c>
      <c r="B37" s="122" t="s">
        <v>27</v>
      </c>
      <c r="C37" s="135">
        <v>2234274</v>
      </c>
      <c r="D37" s="1"/>
      <c r="E37" s="1"/>
      <c r="F37" s="1"/>
      <c r="G37" s="1"/>
      <c r="H37" s="1"/>
      <c r="I37" s="1"/>
      <c r="J37" s="1"/>
    </row>
    <row r="38" spans="1:30" x14ac:dyDescent="0.3">
      <c r="A38" s="125" t="s">
        <v>145</v>
      </c>
      <c r="B38" s="122" t="s">
        <v>27</v>
      </c>
      <c r="C38" s="135">
        <v>3209801</v>
      </c>
      <c r="D38" s="1"/>
      <c r="E38" s="1"/>
      <c r="F38" s="1"/>
      <c r="G38" s="1"/>
      <c r="H38" s="1"/>
      <c r="I38" s="1"/>
      <c r="J38" s="1"/>
    </row>
    <row r="39" spans="1:30" x14ac:dyDescent="0.3">
      <c r="A39" s="5"/>
      <c r="B39" s="5"/>
      <c r="C39" s="5"/>
      <c r="D39" s="1"/>
      <c r="E39" s="1"/>
      <c r="F39" s="1"/>
      <c r="G39" s="1"/>
      <c r="H39" s="1"/>
      <c r="I39" s="1"/>
      <c r="J39" s="1"/>
    </row>
    <row r="40" spans="1:30" x14ac:dyDescent="0.3">
      <c r="A40" s="130" t="s">
        <v>154</v>
      </c>
      <c r="B40" s="131"/>
      <c r="C40" s="132"/>
      <c r="D40" s="1"/>
      <c r="E40" s="1"/>
      <c r="F40" s="1"/>
      <c r="G40" s="1"/>
      <c r="H40" s="1"/>
      <c r="I40" s="1"/>
      <c r="J40" s="1"/>
    </row>
    <row r="41" spans="1:30" x14ac:dyDescent="0.3">
      <c r="A41" s="122" t="s">
        <v>155</v>
      </c>
      <c r="B41" s="122" t="s">
        <v>156</v>
      </c>
      <c r="C41" s="122" t="s">
        <v>157</v>
      </c>
      <c r="D41" s="1"/>
      <c r="E41" s="1"/>
      <c r="F41" s="1"/>
      <c r="G41" s="1"/>
      <c r="H41" s="1"/>
      <c r="I41" s="1"/>
      <c r="J41" s="1"/>
    </row>
    <row r="42" spans="1:30" x14ac:dyDescent="0.3">
      <c r="A42" s="122">
        <v>1</v>
      </c>
      <c r="B42" s="122">
        <v>19</v>
      </c>
      <c r="C42" s="142">
        <v>0.82</v>
      </c>
      <c r="D42" s="1"/>
      <c r="E42" s="1"/>
      <c r="F42" s="1"/>
      <c r="G42" s="1"/>
      <c r="H42" s="1"/>
      <c r="I42" s="1"/>
      <c r="J42" s="1"/>
    </row>
    <row r="43" spans="1:30" x14ac:dyDescent="0.3">
      <c r="A43" s="122">
        <f>+A42+1</f>
        <v>2</v>
      </c>
      <c r="B43" s="122">
        <v>11</v>
      </c>
      <c r="C43" s="142">
        <v>0.70499999999999996</v>
      </c>
      <c r="D43" s="1"/>
      <c r="E43" s="1"/>
      <c r="F43" s="1"/>
      <c r="G43" s="1"/>
      <c r="H43" s="1"/>
      <c r="I43" s="1"/>
      <c r="J43" s="1"/>
    </row>
    <row r="44" spans="1:30" x14ac:dyDescent="0.3">
      <c r="A44" s="122">
        <f>+A43+1</f>
        <v>3</v>
      </c>
      <c r="B44" s="122">
        <v>8</v>
      </c>
      <c r="C44" s="142">
        <v>0.628</v>
      </c>
      <c r="D44" s="1"/>
      <c r="E44" s="1"/>
      <c r="F44" s="1"/>
      <c r="G44" s="1"/>
      <c r="H44" s="1"/>
      <c r="I44" s="1"/>
      <c r="J44" s="1"/>
    </row>
    <row r="45" spans="1:30" x14ac:dyDescent="0.3">
      <c r="A45" s="122">
        <f>+A44+1</f>
        <v>4</v>
      </c>
      <c r="B45" s="122">
        <v>5</v>
      </c>
      <c r="C45" s="142">
        <v>0.57699999999999996</v>
      </c>
      <c r="D45" s="1"/>
      <c r="E45" s="1"/>
      <c r="F45" s="1"/>
      <c r="G45" s="1"/>
      <c r="H45" s="1"/>
      <c r="I45" s="1"/>
      <c r="J45" s="1"/>
    </row>
    <row r="46" spans="1:30" x14ac:dyDescent="0.3">
      <c r="A46" s="122">
        <f>+A45+1</f>
        <v>5</v>
      </c>
      <c r="B46" s="122">
        <v>3</v>
      </c>
      <c r="C46" s="142">
        <v>0.54300000000000004</v>
      </c>
      <c r="D46" s="1"/>
      <c r="E46" s="1"/>
      <c r="F46" s="1"/>
      <c r="G46" s="1"/>
      <c r="H46" s="1"/>
      <c r="I46" s="1"/>
      <c r="J46" s="1"/>
    </row>
    <row r="47" spans="1:30" x14ac:dyDescent="0.3">
      <c r="A47" s="122">
        <v>6</v>
      </c>
      <c r="B47" s="122">
        <v>2</v>
      </c>
      <c r="C47" s="142">
        <v>0.51600000000000001</v>
      </c>
      <c r="D47" s="1"/>
      <c r="E47" s="1"/>
      <c r="F47" s="1"/>
      <c r="G47" s="1"/>
      <c r="H47" s="1"/>
      <c r="I47" s="1"/>
      <c r="J47" s="1"/>
    </row>
    <row r="48" spans="1:30" x14ac:dyDescent="0.3">
      <c r="A48" s="122">
        <v>7</v>
      </c>
      <c r="B48" s="122">
        <v>1</v>
      </c>
      <c r="C48" s="142">
        <v>0.495</v>
      </c>
      <c r="D48" s="1"/>
      <c r="E48" s="1"/>
      <c r="F48" s="1"/>
      <c r="G48" s="1"/>
      <c r="H48" s="1"/>
      <c r="I48" s="1"/>
      <c r="J48" s="1"/>
    </row>
    <row r="49" spans="1:29" x14ac:dyDescent="0.3">
      <c r="A49" s="1"/>
      <c r="B49" s="1"/>
      <c r="C49" s="1"/>
      <c r="D49" s="1"/>
      <c r="E49" s="1"/>
      <c r="F49" s="1"/>
      <c r="G49" s="1"/>
      <c r="H49" s="1"/>
      <c r="I49" s="1"/>
      <c r="J49" s="1"/>
    </row>
    <row r="50" spans="1:29" x14ac:dyDescent="0.3">
      <c r="A50" s="1" t="s">
        <v>16</v>
      </c>
      <c r="B50" s="1"/>
      <c r="C50" s="1"/>
      <c r="D50" s="1"/>
      <c r="E50" s="1"/>
      <c r="F50" s="1"/>
      <c r="G50" s="1"/>
      <c r="H50" s="1"/>
      <c r="I50" s="1"/>
      <c r="J50" s="1"/>
    </row>
    <row r="51" spans="1:29" x14ac:dyDescent="0.3">
      <c r="A51" s="1"/>
      <c r="B51" s="1" t="s">
        <v>158</v>
      </c>
      <c r="C51" s="1"/>
      <c r="D51" s="1"/>
      <c r="E51" s="1"/>
      <c r="F51" s="1"/>
      <c r="G51" s="1"/>
      <c r="H51" s="1"/>
      <c r="I51" s="1"/>
      <c r="J51" s="1"/>
    </row>
    <row r="52" spans="1:29" x14ac:dyDescent="0.3">
      <c r="A52" s="1"/>
      <c r="B52" s="1"/>
      <c r="C52" s="1"/>
      <c r="D52" s="1"/>
      <c r="E52" s="1"/>
      <c r="F52" s="1"/>
      <c r="G52" s="1"/>
      <c r="H52" s="1"/>
      <c r="I52" s="1"/>
      <c r="J52" s="1"/>
    </row>
    <row r="54" spans="1:29" x14ac:dyDescent="0.3">
      <c r="A54" s="2" t="s">
        <v>0</v>
      </c>
    </row>
    <row r="55" spans="1:29" s="108" customFormat="1" x14ac:dyDescent="0.3">
      <c r="K55" s="68"/>
      <c r="U55" s="68"/>
      <c r="AC55" s="68"/>
    </row>
    <row r="56" spans="1:29" s="108" customFormat="1" x14ac:dyDescent="0.3">
      <c r="K56" s="68"/>
      <c r="U56" s="68"/>
      <c r="AC56" s="68"/>
    </row>
    <row r="57" spans="1:29" s="108" customFormat="1" x14ac:dyDescent="0.3">
      <c r="K57" s="68"/>
      <c r="U57" s="68"/>
      <c r="AC57" s="68"/>
    </row>
    <row r="58" spans="1:29" s="108" customFormat="1" x14ac:dyDescent="0.3">
      <c r="K58" s="68"/>
      <c r="U58" s="68"/>
      <c r="AC58" s="68"/>
    </row>
    <row r="59" spans="1:29" x14ac:dyDescent="0.3">
      <c r="A59" s="1"/>
      <c r="B59" s="1"/>
      <c r="C59" s="1"/>
      <c r="D59" s="1"/>
      <c r="E59" s="1"/>
      <c r="F59" s="1"/>
      <c r="G59" s="1"/>
      <c r="H59" s="1"/>
      <c r="I59" s="1"/>
      <c r="J59" s="1"/>
    </row>
    <row r="60" spans="1:29" x14ac:dyDescent="0.3">
      <c r="A60" s="1" t="s">
        <v>18</v>
      </c>
      <c r="B60" s="1"/>
      <c r="C60" s="1"/>
      <c r="D60" s="1"/>
      <c r="E60" s="1"/>
      <c r="F60" s="1"/>
      <c r="G60" s="1"/>
      <c r="H60" s="1"/>
      <c r="I60" s="1"/>
      <c r="J60" s="1"/>
    </row>
    <row r="61" spans="1:29" x14ac:dyDescent="0.3">
      <c r="A61" s="1"/>
      <c r="B61" s="8" t="s">
        <v>354</v>
      </c>
      <c r="C61" s="1"/>
      <c r="D61" s="1"/>
      <c r="E61" s="1"/>
      <c r="F61" s="1"/>
      <c r="G61" s="1"/>
      <c r="H61" s="1"/>
      <c r="I61" s="1"/>
      <c r="J61" s="1"/>
    </row>
    <row r="62" spans="1:29" x14ac:dyDescent="0.3">
      <c r="A62" s="1"/>
      <c r="B62" s="8" t="s">
        <v>161</v>
      </c>
      <c r="C62" s="1"/>
      <c r="D62" s="1"/>
      <c r="E62" s="1"/>
      <c r="F62" s="1"/>
      <c r="G62" s="1"/>
      <c r="H62" s="1"/>
      <c r="I62" s="1"/>
      <c r="J62" s="1"/>
    </row>
    <row r="63" spans="1:29" x14ac:dyDescent="0.3">
      <c r="A63" s="1"/>
      <c r="B63" s="1"/>
      <c r="C63" s="1"/>
      <c r="D63" s="1"/>
      <c r="E63" s="1"/>
      <c r="F63" s="1"/>
      <c r="G63" s="1"/>
      <c r="H63" s="1"/>
      <c r="I63" s="1"/>
      <c r="J63" s="1"/>
    </row>
    <row r="64" spans="1:29" x14ac:dyDescent="0.3">
      <c r="L64" s="2" t="s">
        <v>637</v>
      </c>
    </row>
    <row r="65" spans="1:29" x14ac:dyDescent="0.3">
      <c r="A65" s="2" t="s">
        <v>0</v>
      </c>
    </row>
    <row r="69" spans="1:29" x14ac:dyDescent="0.3">
      <c r="A69" s="1"/>
      <c r="B69" s="1"/>
      <c r="C69" s="1"/>
      <c r="D69" s="1"/>
      <c r="E69" s="1"/>
      <c r="F69" s="1"/>
      <c r="G69" s="1"/>
      <c r="H69" s="1"/>
      <c r="I69" s="1"/>
      <c r="J69" s="1"/>
    </row>
    <row r="70" spans="1:29" x14ac:dyDescent="0.3">
      <c r="A70" s="1" t="s">
        <v>32</v>
      </c>
      <c r="B70" s="1"/>
      <c r="C70" s="1"/>
      <c r="D70" s="1"/>
      <c r="E70" s="1"/>
      <c r="F70" s="1"/>
      <c r="G70" s="1"/>
      <c r="H70" s="1"/>
      <c r="I70" s="1"/>
      <c r="J70" s="1"/>
    </row>
    <row r="71" spans="1:29" x14ac:dyDescent="0.3">
      <c r="A71" s="1"/>
      <c r="B71" s="8" t="s">
        <v>162</v>
      </c>
      <c r="C71" s="1"/>
      <c r="D71" s="1"/>
      <c r="E71" s="1"/>
      <c r="F71" s="1"/>
      <c r="G71" s="1"/>
      <c r="H71" s="1"/>
      <c r="I71" s="1"/>
      <c r="J71" s="1"/>
    </row>
    <row r="72" spans="1:29" x14ac:dyDescent="0.3">
      <c r="A72" s="1"/>
      <c r="B72" s="8" t="s">
        <v>161</v>
      </c>
      <c r="C72" s="1"/>
      <c r="D72" s="1"/>
      <c r="E72" s="1"/>
      <c r="F72" s="1"/>
      <c r="G72" s="1"/>
      <c r="H72" s="1"/>
      <c r="I72" s="1"/>
      <c r="J72" s="1"/>
    </row>
    <row r="73" spans="1:29" x14ac:dyDescent="0.3">
      <c r="A73" s="1"/>
      <c r="B73" s="1"/>
      <c r="C73" s="1"/>
      <c r="D73" s="1"/>
      <c r="E73" s="1"/>
      <c r="F73" s="1"/>
      <c r="G73" s="1"/>
      <c r="H73" s="1"/>
      <c r="I73" s="1"/>
      <c r="J73" s="1"/>
    </row>
    <row r="74" spans="1:29" x14ac:dyDescent="0.3">
      <c r="L74" s="2" t="s">
        <v>637</v>
      </c>
    </row>
    <row r="75" spans="1:29" x14ac:dyDescent="0.3">
      <c r="A75" s="2" t="s">
        <v>0</v>
      </c>
    </row>
    <row r="77" spans="1:29" s="108" customFormat="1" x14ac:dyDescent="0.3">
      <c r="K77" s="68"/>
      <c r="U77" s="68"/>
      <c r="AC77" s="68"/>
    </row>
    <row r="78" spans="1:29" s="108" customFormat="1" x14ac:dyDescent="0.3">
      <c r="K78" s="68"/>
      <c r="U78" s="68"/>
      <c r="AC78" s="68"/>
    </row>
    <row r="81" spans="1:29" x14ac:dyDescent="0.3">
      <c r="A81" s="4" t="s">
        <v>163</v>
      </c>
      <c r="B81" s="1"/>
      <c r="C81" s="1"/>
      <c r="D81" s="1"/>
      <c r="E81" s="1"/>
      <c r="F81" s="1"/>
      <c r="G81" s="1"/>
      <c r="H81" s="1"/>
      <c r="I81" s="1"/>
      <c r="J81" s="1"/>
    </row>
    <row r="83" spans="1:29" s="3" customFormat="1" x14ac:dyDescent="0.3">
      <c r="A83" s="3" t="s">
        <v>2</v>
      </c>
      <c r="K83" s="68"/>
      <c r="U83" s="68"/>
      <c r="AC83" s="68"/>
    </row>
    <row r="100" spans="11:29" x14ac:dyDescent="0.3">
      <c r="K100" s="69"/>
      <c r="U100" s="69"/>
      <c r="AC100" s="6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7D5B-219D-48D4-8B33-45A84A451C1E}">
  <dimension ref="A1:AA175"/>
  <sheetViews>
    <sheetView zoomScaleNormal="100" workbookViewId="0"/>
  </sheetViews>
  <sheetFormatPr defaultColWidth="9.109375" defaultRowHeight="13.8" x14ac:dyDescent="0.25"/>
  <cols>
    <col min="1" max="1" width="9.109375" style="70"/>
    <col min="2" max="2" width="33.44140625" style="70" customWidth="1"/>
    <col min="3" max="3" width="24" style="70" customWidth="1"/>
    <col min="4" max="4" width="23.109375" style="70" customWidth="1"/>
    <col min="5" max="5" width="16.77734375" style="70" customWidth="1"/>
    <col min="6" max="6" width="20.44140625" style="70" customWidth="1"/>
    <col min="7" max="7" width="11.44140625" style="70" bestFit="1" customWidth="1"/>
    <col min="8" max="10" width="10.109375" style="70" customWidth="1"/>
    <col min="11" max="11" width="2.33203125" style="165" customWidth="1"/>
    <col min="12" max="12" width="9.109375" style="287"/>
    <col min="13" max="13" width="37.6640625" style="287" customWidth="1"/>
    <col min="14" max="14" width="27.109375" style="287" customWidth="1"/>
    <col min="15" max="15" width="27.44140625" style="287" customWidth="1"/>
    <col min="16" max="16" width="20.44140625" style="287" customWidth="1"/>
    <col min="17" max="17" width="21.6640625" style="287" customWidth="1"/>
    <col min="18" max="18" width="18.33203125" style="287" customWidth="1"/>
    <col min="19" max="19" width="13.33203125" style="287" customWidth="1"/>
    <col min="20" max="20" width="14.33203125" style="287" customWidth="1"/>
    <col min="21" max="21" width="39.44140625" style="287" customWidth="1"/>
    <col min="22" max="22" width="11.44140625" style="287" bestFit="1" customWidth="1"/>
    <col min="23" max="16384" width="9.109375" style="287"/>
  </cols>
  <sheetData>
    <row r="1" spans="1:12" x14ac:dyDescent="0.25">
      <c r="A1" s="164" t="s">
        <v>8</v>
      </c>
      <c r="B1" s="12"/>
      <c r="C1" s="12"/>
      <c r="D1" s="12"/>
      <c r="E1" s="12"/>
      <c r="F1" s="12"/>
      <c r="G1" s="12"/>
      <c r="H1" s="12"/>
      <c r="I1" s="12"/>
      <c r="J1" s="12"/>
    </row>
    <row r="2" spans="1:12" x14ac:dyDescent="0.25">
      <c r="A2" s="12" t="s">
        <v>164</v>
      </c>
      <c r="B2" s="12"/>
      <c r="C2" s="12"/>
      <c r="D2" s="12"/>
      <c r="E2" s="12"/>
      <c r="F2" s="12"/>
      <c r="G2" s="12"/>
      <c r="H2" s="12"/>
      <c r="I2" s="12"/>
      <c r="J2" s="12"/>
    </row>
    <row r="4" spans="1:12" x14ac:dyDescent="0.25">
      <c r="A4" s="180" t="s">
        <v>21</v>
      </c>
      <c r="B4" s="12"/>
      <c r="C4" s="12"/>
      <c r="D4" s="12"/>
      <c r="E4" s="12"/>
      <c r="F4" s="12"/>
      <c r="G4" s="12"/>
      <c r="H4" s="12"/>
      <c r="I4" s="12"/>
      <c r="J4" s="12"/>
    </row>
    <row r="5" spans="1:12" x14ac:dyDescent="0.25">
      <c r="L5" s="287" t="s">
        <v>540</v>
      </c>
    </row>
    <row r="6" spans="1:12" x14ac:dyDescent="0.25">
      <c r="A6" s="12"/>
      <c r="B6" s="12"/>
      <c r="C6" s="12"/>
      <c r="D6" s="12"/>
      <c r="E6" s="12"/>
      <c r="F6" s="12"/>
      <c r="G6" s="12"/>
      <c r="H6" s="12"/>
      <c r="I6" s="12"/>
      <c r="J6" s="12"/>
    </row>
    <row r="7" spans="1:12" x14ac:dyDescent="0.25">
      <c r="A7" s="12" t="s">
        <v>15</v>
      </c>
      <c r="B7" s="12"/>
      <c r="C7" s="12"/>
      <c r="D7" s="12"/>
      <c r="E7" s="12"/>
      <c r="F7" s="12"/>
      <c r="G7" s="12"/>
      <c r="H7" s="12"/>
      <c r="I7" s="12"/>
      <c r="J7" s="12"/>
    </row>
    <row r="8" spans="1:12" x14ac:dyDescent="0.25">
      <c r="A8" s="12"/>
      <c r="B8" s="12"/>
      <c r="C8" s="12"/>
      <c r="D8" s="12"/>
      <c r="E8" s="12"/>
      <c r="F8" s="12"/>
      <c r="G8" s="12"/>
      <c r="H8" s="12"/>
      <c r="I8" s="12"/>
      <c r="J8" s="12"/>
    </row>
    <row r="9" spans="1:12" x14ac:dyDescent="0.25">
      <c r="A9" s="12"/>
      <c r="B9" s="164" t="s">
        <v>165</v>
      </c>
      <c r="C9" s="12"/>
      <c r="D9" s="12"/>
      <c r="E9" s="12"/>
      <c r="F9" s="12"/>
      <c r="G9" s="12"/>
      <c r="H9" s="12"/>
      <c r="I9" s="12"/>
      <c r="J9" s="12"/>
    </row>
    <row r="10" spans="1:12" x14ac:dyDescent="0.25">
      <c r="A10" s="12"/>
      <c r="B10" s="12"/>
      <c r="C10" s="12"/>
      <c r="D10" s="12"/>
      <c r="E10" s="12"/>
      <c r="F10" s="12"/>
      <c r="G10" s="12"/>
      <c r="H10" s="12"/>
      <c r="I10" s="12"/>
      <c r="J10" s="12"/>
    </row>
    <row r="11" spans="1:12" x14ac:dyDescent="0.25">
      <c r="A11" s="12"/>
      <c r="B11" s="288" t="s">
        <v>166</v>
      </c>
      <c r="C11" s="289"/>
      <c r="D11" s="290"/>
      <c r="E11" s="288" t="s">
        <v>167</v>
      </c>
      <c r="F11" s="289"/>
      <c r="G11" s="290"/>
      <c r="H11" s="12"/>
      <c r="I11" s="12"/>
      <c r="J11" s="12"/>
    </row>
    <row r="12" spans="1:12" x14ac:dyDescent="0.25">
      <c r="A12" s="12"/>
      <c r="B12" s="291" t="s">
        <v>168</v>
      </c>
      <c r="C12" s="292">
        <v>0.03</v>
      </c>
      <c r="D12" s="290"/>
      <c r="E12" s="291" t="s">
        <v>169</v>
      </c>
      <c r="F12" s="293">
        <v>0.5</v>
      </c>
      <c r="G12" s="290"/>
      <c r="H12" s="12"/>
      <c r="I12" s="12"/>
      <c r="J12" s="12"/>
    </row>
    <row r="13" spans="1:12" x14ac:dyDescent="0.25">
      <c r="A13" s="12"/>
      <c r="B13" s="291" t="s">
        <v>170</v>
      </c>
      <c r="C13" s="292">
        <v>0.1</v>
      </c>
      <c r="D13" s="290"/>
      <c r="E13" s="294" t="s">
        <v>171</v>
      </c>
      <c r="F13" s="293">
        <v>0.75</v>
      </c>
      <c r="G13" s="290"/>
      <c r="H13" s="12"/>
      <c r="I13" s="12"/>
      <c r="J13" s="12"/>
    </row>
    <row r="14" spans="1:12" x14ac:dyDescent="0.25">
      <c r="A14" s="12"/>
      <c r="B14" s="291" t="s">
        <v>172</v>
      </c>
      <c r="C14" s="292">
        <v>0.02</v>
      </c>
      <c r="D14" s="290"/>
      <c r="E14" s="294" t="s">
        <v>173</v>
      </c>
      <c r="F14" s="293">
        <v>1.5</v>
      </c>
      <c r="G14" s="290"/>
      <c r="H14" s="12"/>
      <c r="I14" s="12"/>
      <c r="J14" s="12"/>
    </row>
    <row r="15" spans="1:12" x14ac:dyDescent="0.25">
      <c r="A15" s="12"/>
      <c r="B15" s="291" t="s">
        <v>174</v>
      </c>
      <c r="C15" s="292">
        <v>0.05</v>
      </c>
      <c r="D15" s="290"/>
      <c r="E15" s="294" t="s">
        <v>175</v>
      </c>
      <c r="F15" s="293">
        <v>0.5</v>
      </c>
      <c r="G15" s="290"/>
      <c r="H15" s="12"/>
      <c r="I15" s="12"/>
      <c r="J15" s="12"/>
    </row>
    <row r="16" spans="1:12" x14ac:dyDescent="0.25">
      <c r="A16" s="12"/>
      <c r="B16" s="295" t="s">
        <v>176</v>
      </c>
      <c r="C16" s="296">
        <v>0.1</v>
      </c>
      <c r="D16" s="290"/>
      <c r="E16" s="294" t="s">
        <v>177</v>
      </c>
      <c r="F16" s="293">
        <v>1.75</v>
      </c>
      <c r="G16" s="290"/>
      <c r="H16" s="12"/>
      <c r="I16" s="12"/>
      <c r="J16" s="12"/>
    </row>
    <row r="17" spans="1:10" x14ac:dyDescent="0.25">
      <c r="A17" s="12"/>
      <c r="B17" s="290"/>
      <c r="C17" s="290"/>
      <c r="D17" s="290"/>
      <c r="E17" s="294" t="s">
        <v>178</v>
      </c>
      <c r="F17" s="293">
        <v>1.25</v>
      </c>
      <c r="G17" s="290"/>
      <c r="H17" s="12"/>
      <c r="I17" s="12"/>
      <c r="J17" s="12"/>
    </row>
    <row r="18" spans="1:10" x14ac:dyDescent="0.25">
      <c r="A18" s="12"/>
      <c r="B18" s="288" t="s">
        <v>179</v>
      </c>
      <c r="C18" s="289"/>
      <c r="D18" s="290"/>
      <c r="E18" s="290"/>
      <c r="F18" s="290"/>
      <c r="G18" s="290"/>
      <c r="H18" s="12"/>
      <c r="I18" s="12"/>
      <c r="J18" s="12"/>
    </row>
    <row r="19" spans="1:10" x14ac:dyDescent="0.25">
      <c r="A19" s="12"/>
      <c r="B19" s="291" t="s">
        <v>180</v>
      </c>
      <c r="C19" s="297" t="s">
        <v>28</v>
      </c>
      <c r="D19" s="290"/>
      <c r="E19" s="288" t="s">
        <v>181</v>
      </c>
      <c r="F19" s="289"/>
      <c r="G19" s="290"/>
      <c r="H19" s="12"/>
      <c r="I19" s="12"/>
      <c r="J19" s="12"/>
    </row>
    <row r="20" spans="1:10" x14ac:dyDescent="0.25">
      <c r="A20" s="12"/>
      <c r="B20" s="294" t="s">
        <v>182</v>
      </c>
      <c r="C20" s="293">
        <v>1.1000000000000001</v>
      </c>
      <c r="D20" s="290"/>
      <c r="E20" s="291" t="s">
        <v>183</v>
      </c>
      <c r="F20" s="293">
        <v>1.1000000000000001</v>
      </c>
      <c r="G20" s="290"/>
      <c r="H20" s="12"/>
      <c r="I20" s="12"/>
      <c r="J20" s="12"/>
    </row>
    <row r="21" spans="1:10" x14ac:dyDescent="0.25">
      <c r="A21" s="12"/>
      <c r="B21" s="294" t="s">
        <v>184</v>
      </c>
      <c r="C21" s="293">
        <v>1.05</v>
      </c>
      <c r="D21" s="290"/>
      <c r="E21" s="294" t="s">
        <v>185</v>
      </c>
      <c r="F21" s="293">
        <v>0.9</v>
      </c>
      <c r="G21" s="290"/>
      <c r="H21" s="12"/>
      <c r="I21" s="12"/>
      <c r="J21" s="12"/>
    </row>
    <row r="22" spans="1:10" x14ac:dyDescent="0.25">
      <c r="A22" s="12"/>
      <c r="B22" s="294" t="s">
        <v>186</v>
      </c>
      <c r="C22" s="293">
        <v>1</v>
      </c>
      <c r="D22" s="290"/>
      <c r="E22" s="294" t="s">
        <v>187</v>
      </c>
      <c r="F22" s="293">
        <v>0.9</v>
      </c>
      <c r="G22" s="290"/>
      <c r="H22" s="12"/>
      <c r="I22" s="12"/>
      <c r="J22" s="12"/>
    </row>
    <row r="23" spans="1:10" x14ac:dyDescent="0.25">
      <c r="A23" s="12"/>
      <c r="B23" s="294" t="s">
        <v>188</v>
      </c>
      <c r="C23" s="293">
        <v>0.95</v>
      </c>
      <c r="D23" s="290"/>
      <c r="E23" s="294" t="s">
        <v>189</v>
      </c>
      <c r="F23" s="293">
        <v>1.1000000000000001</v>
      </c>
      <c r="G23" s="290"/>
      <c r="H23" s="12"/>
      <c r="I23" s="12"/>
      <c r="J23" s="12"/>
    </row>
    <row r="24" spans="1:10" x14ac:dyDescent="0.25">
      <c r="A24" s="12"/>
      <c r="B24" s="294" t="s">
        <v>190</v>
      </c>
      <c r="C24" s="293">
        <v>0.9</v>
      </c>
      <c r="D24" s="290"/>
      <c r="E24" s="294" t="s">
        <v>191</v>
      </c>
      <c r="F24" s="293">
        <v>1</v>
      </c>
      <c r="G24" s="290"/>
      <c r="H24" s="12"/>
      <c r="I24" s="12"/>
      <c r="J24" s="12"/>
    </row>
    <row r="25" spans="1:10" x14ac:dyDescent="0.25">
      <c r="A25" s="12"/>
      <c r="B25" s="298"/>
      <c r="C25" s="290"/>
      <c r="D25" s="290"/>
      <c r="E25" s="290"/>
      <c r="F25" s="290"/>
      <c r="G25" s="290"/>
      <c r="H25" s="12"/>
      <c r="I25" s="12"/>
      <c r="J25" s="12"/>
    </row>
    <row r="26" spans="1:10" x14ac:dyDescent="0.25">
      <c r="A26" s="12"/>
      <c r="B26" s="288" t="s">
        <v>192</v>
      </c>
      <c r="C26" s="289"/>
      <c r="D26" s="290"/>
      <c r="E26" s="288" t="s">
        <v>193</v>
      </c>
      <c r="F26" s="299"/>
      <c r="G26" s="289"/>
      <c r="H26" s="12"/>
      <c r="I26" s="12"/>
      <c r="J26" s="12"/>
    </row>
    <row r="27" spans="1:10" x14ac:dyDescent="0.25">
      <c r="A27" s="12"/>
      <c r="B27" s="291" t="s">
        <v>194</v>
      </c>
      <c r="C27" s="297" t="s">
        <v>28</v>
      </c>
      <c r="D27" s="290"/>
      <c r="E27" s="295" t="s">
        <v>195</v>
      </c>
      <c r="F27" s="300" t="s">
        <v>196</v>
      </c>
      <c r="G27" s="300" t="s">
        <v>28</v>
      </c>
      <c r="H27" s="12"/>
      <c r="I27" s="12"/>
      <c r="J27" s="12"/>
    </row>
    <row r="28" spans="1:10" x14ac:dyDescent="0.25">
      <c r="A28" s="12"/>
      <c r="B28" s="294" t="s">
        <v>197</v>
      </c>
      <c r="C28" s="293">
        <v>1.5</v>
      </c>
      <c r="D28" s="290"/>
      <c r="E28" s="293" t="s">
        <v>198</v>
      </c>
      <c r="F28" s="293" t="s">
        <v>198</v>
      </c>
      <c r="G28" s="293">
        <v>2</v>
      </c>
      <c r="H28" s="12"/>
      <c r="I28" s="12"/>
      <c r="J28" s="12"/>
    </row>
    <row r="29" spans="1:10" x14ac:dyDescent="0.25">
      <c r="A29" s="12"/>
      <c r="B29" s="294" t="s">
        <v>199</v>
      </c>
      <c r="C29" s="293">
        <v>0.8</v>
      </c>
      <c r="D29" s="290"/>
      <c r="E29" s="293" t="s">
        <v>200</v>
      </c>
      <c r="F29" s="293" t="s">
        <v>198</v>
      </c>
      <c r="G29" s="293">
        <v>1.5</v>
      </c>
      <c r="H29" s="12"/>
      <c r="I29" s="12"/>
      <c r="J29" s="12"/>
    </row>
    <row r="30" spans="1:10" x14ac:dyDescent="0.25">
      <c r="A30" s="12"/>
      <c r="B30" s="294" t="s">
        <v>201</v>
      </c>
      <c r="C30" s="293">
        <v>0.9</v>
      </c>
      <c r="D30" s="290"/>
      <c r="E30" s="293" t="s">
        <v>198</v>
      </c>
      <c r="F30" s="293" t="s">
        <v>200</v>
      </c>
      <c r="G30" s="293">
        <v>1</v>
      </c>
      <c r="H30" s="12"/>
      <c r="I30" s="12"/>
      <c r="J30" s="12"/>
    </row>
    <row r="31" spans="1:10" x14ac:dyDescent="0.25">
      <c r="A31" s="12"/>
      <c r="B31" s="294" t="s">
        <v>202</v>
      </c>
      <c r="C31" s="293">
        <v>1.5</v>
      </c>
      <c r="D31" s="290"/>
      <c r="E31" s="293" t="s">
        <v>200</v>
      </c>
      <c r="F31" s="293" t="s">
        <v>200</v>
      </c>
      <c r="G31" s="293">
        <v>0.75</v>
      </c>
      <c r="H31" s="12"/>
      <c r="I31" s="12"/>
      <c r="J31" s="12"/>
    </row>
    <row r="32" spans="1:10" x14ac:dyDescent="0.25">
      <c r="A32" s="12"/>
      <c r="B32" s="294" t="s">
        <v>203</v>
      </c>
      <c r="C32" s="293">
        <v>1</v>
      </c>
      <c r="D32" s="290"/>
      <c r="E32" s="290"/>
      <c r="F32" s="290"/>
      <c r="G32" s="290"/>
      <c r="H32" s="12"/>
      <c r="I32" s="12"/>
      <c r="J32" s="12"/>
    </row>
    <row r="33" spans="1:10" x14ac:dyDescent="0.25">
      <c r="A33" s="12"/>
      <c r="B33" s="298"/>
      <c r="C33" s="290"/>
      <c r="D33" s="290"/>
      <c r="E33" s="290"/>
      <c r="F33" s="290"/>
      <c r="G33" s="290"/>
      <c r="H33" s="12"/>
      <c r="I33" s="12"/>
      <c r="J33" s="12"/>
    </row>
    <row r="34" spans="1:10" x14ac:dyDescent="0.25">
      <c r="A34" s="12"/>
      <c r="B34" s="294" t="s">
        <v>204</v>
      </c>
      <c r="C34" s="292">
        <v>0.7</v>
      </c>
      <c r="D34" s="290"/>
      <c r="E34" s="290"/>
      <c r="F34" s="290"/>
      <c r="G34" s="290"/>
      <c r="H34" s="12"/>
      <c r="I34" s="12"/>
      <c r="J34" s="12"/>
    </row>
    <row r="35" spans="1:10" x14ac:dyDescent="0.25">
      <c r="A35" s="12"/>
      <c r="B35" s="185"/>
      <c r="C35" s="12"/>
      <c r="D35" s="12"/>
      <c r="E35" s="12"/>
      <c r="F35" s="12"/>
      <c r="G35" s="12"/>
      <c r="H35" s="12"/>
      <c r="I35" s="12"/>
      <c r="J35" s="12"/>
    </row>
    <row r="36" spans="1:10" x14ac:dyDescent="0.25">
      <c r="A36" s="12"/>
      <c r="B36" s="301" t="s">
        <v>230</v>
      </c>
      <c r="C36" s="12"/>
      <c r="D36" s="12"/>
      <c r="E36" s="12"/>
      <c r="F36" s="12"/>
      <c r="G36" s="12"/>
      <c r="H36" s="12"/>
      <c r="I36" s="12"/>
      <c r="J36" s="12"/>
    </row>
    <row r="37" spans="1:10" x14ac:dyDescent="0.25">
      <c r="A37" s="12"/>
      <c r="B37" s="185"/>
      <c r="C37" s="12"/>
      <c r="D37" s="12"/>
      <c r="E37" s="12"/>
      <c r="F37" s="12"/>
      <c r="G37" s="12"/>
      <c r="H37" s="12"/>
      <c r="I37" s="12"/>
      <c r="J37" s="12"/>
    </row>
    <row r="38" spans="1:10" x14ac:dyDescent="0.25">
      <c r="A38" s="12"/>
      <c r="B38" s="373" t="s">
        <v>205</v>
      </c>
      <c r="C38" s="375"/>
      <c r="D38" s="12"/>
      <c r="E38" s="12"/>
      <c r="F38" s="12"/>
      <c r="G38" s="12"/>
      <c r="H38" s="12"/>
      <c r="I38" s="12"/>
      <c r="J38" s="12"/>
    </row>
    <row r="39" spans="1:10" x14ac:dyDescent="0.25">
      <c r="A39" s="12"/>
      <c r="B39" s="294" t="s">
        <v>206</v>
      </c>
      <c r="C39" s="302">
        <v>12000000</v>
      </c>
      <c r="D39" s="12"/>
      <c r="E39" s="12"/>
      <c r="F39" s="12"/>
      <c r="G39" s="12"/>
      <c r="H39" s="12"/>
      <c r="I39" s="12"/>
      <c r="J39" s="12"/>
    </row>
    <row r="40" spans="1:10" x14ac:dyDescent="0.25">
      <c r="A40" s="12"/>
      <c r="B40" s="294" t="s">
        <v>207</v>
      </c>
      <c r="C40" s="302">
        <v>9300000</v>
      </c>
      <c r="D40" s="12"/>
      <c r="E40" s="12"/>
      <c r="F40" s="12"/>
      <c r="G40" s="12"/>
      <c r="H40" s="12"/>
      <c r="I40" s="12"/>
      <c r="J40" s="12"/>
    </row>
    <row r="41" spans="1:10" x14ac:dyDescent="0.25">
      <c r="A41" s="12"/>
      <c r="B41" s="294" t="s">
        <v>208</v>
      </c>
      <c r="C41" s="302">
        <v>280000</v>
      </c>
      <c r="D41" s="12"/>
      <c r="E41" s="12"/>
      <c r="F41" s="12"/>
      <c r="G41" s="12"/>
      <c r="H41" s="12"/>
      <c r="I41" s="12"/>
      <c r="J41" s="12"/>
    </row>
    <row r="42" spans="1:10" x14ac:dyDescent="0.25">
      <c r="A42" s="12"/>
      <c r="B42" s="294" t="s">
        <v>170</v>
      </c>
      <c r="C42" s="302">
        <v>1200000</v>
      </c>
      <c r="D42" s="12"/>
      <c r="E42" s="12"/>
      <c r="F42" s="12"/>
      <c r="G42" s="12"/>
      <c r="H42" s="12"/>
      <c r="I42" s="12"/>
      <c r="J42" s="12"/>
    </row>
    <row r="43" spans="1:10" x14ac:dyDescent="0.25">
      <c r="A43" s="12"/>
      <c r="B43" s="294" t="s">
        <v>172</v>
      </c>
      <c r="C43" s="302">
        <v>240000</v>
      </c>
      <c r="D43" s="12"/>
      <c r="E43" s="12"/>
      <c r="F43" s="12"/>
      <c r="G43" s="12"/>
      <c r="H43" s="12"/>
      <c r="I43" s="12"/>
      <c r="J43" s="12"/>
    </row>
    <row r="44" spans="1:10" x14ac:dyDescent="0.25">
      <c r="A44" s="12"/>
      <c r="B44" s="294" t="s">
        <v>209</v>
      </c>
      <c r="C44" s="302">
        <v>2200000</v>
      </c>
      <c r="D44" s="12"/>
      <c r="E44" s="12"/>
      <c r="F44" s="12"/>
      <c r="G44" s="12"/>
      <c r="H44" s="12"/>
      <c r="I44" s="12"/>
      <c r="J44" s="12"/>
    </row>
    <row r="45" spans="1:10" x14ac:dyDescent="0.25">
      <c r="A45" s="12"/>
      <c r="B45" s="185"/>
      <c r="C45" s="12"/>
      <c r="D45" s="12"/>
      <c r="E45" s="12"/>
      <c r="F45" s="12"/>
      <c r="G45" s="12"/>
      <c r="H45" s="12"/>
      <c r="I45" s="12"/>
      <c r="J45" s="12"/>
    </row>
    <row r="46" spans="1:10" x14ac:dyDescent="0.25">
      <c r="A46" s="12"/>
      <c r="B46" s="373" t="s">
        <v>210</v>
      </c>
      <c r="C46" s="374"/>
      <c r="D46" s="375"/>
      <c r="E46" s="12"/>
      <c r="F46" s="12"/>
      <c r="G46" s="12"/>
      <c r="H46" s="12"/>
      <c r="I46" s="12"/>
      <c r="J46" s="12"/>
    </row>
    <row r="47" spans="1:10" x14ac:dyDescent="0.25">
      <c r="A47" s="12"/>
      <c r="B47" s="294" t="s">
        <v>211</v>
      </c>
      <c r="C47" s="297" t="s">
        <v>206</v>
      </c>
      <c r="D47" s="297" t="s">
        <v>212</v>
      </c>
      <c r="E47" s="12"/>
      <c r="F47" s="12"/>
      <c r="G47" s="12"/>
      <c r="H47" s="12"/>
      <c r="I47" s="12"/>
      <c r="J47" s="12"/>
    </row>
    <row r="48" spans="1:10" x14ac:dyDescent="0.25">
      <c r="A48" s="12"/>
      <c r="B48" s="294" t="s">
        <v>182</v>
      </c>
      <c r="C48" s="302">
        <v>1000000</v>
      </c>
      <c r="D48" s="302">
        <v>1000000</v>
      </c>
      <c r="E48" s="12"/>
      <c r="F48" s="12"/>
      <c r="G48" s="12"/>
      <c r="H48" s="12"/>
      <c r="I48" s="12"/>
      <c r="J48" s="12"/>
    </row>
    <row r="49" spans="1:10" x14ac:dyDescent="0.25">
      <c r="A49" s="12"/>
      <c r="B49" s="294" t="s">
        <v>184</v>
      </c>
      <c r="C49" s="302">
        <v>4000000</v>
      </c>
      <c r="D49" s="302">
        <v>3500000</v>
      </c>
      <c r="E49" s="12"/>
      <c r="F49" s="12"/>
      <c r="G49" s="12"/>
      <c r="H49" s="12"/>
      <c r="I49" s="12"/>
      <c r="J49" s="12"/>
    </row>
    <row r="50" spans="1:10" x14ac:dyDescent="0.25">
      <c r="A50" s="12"/>
      <c r="B50" s="294" t="s">
        <v>186</v>
      </c>
      <c r="C50" s="302">
        <v>2500000</v>
      </c>
      <c r="D50" s="302">
        <v>1800000</v>
      </c>
      <c r="E50" s="12"/>
      <c r="F50" s="12"/>
      <c r="G50" s="12"/>
      <c r="H50" s="12"/>
      <c r="I50" s="12"/>
      <c r="J50" s="12"/>
    </row>
    <row r="51" spans="1:10" x14ac:dyDescent="0.25">
      <c r="A51" s="12"/>
      <c r="B51" s="294" t="s">
        <v>188</v>
      </c>
      <c r="C51" s="302">
        <v>1500000</v>
      </c>
      <c r="D51" s="302">
        <v>1000000</v>
      </c>
      <c r="E51" s="12"/>
      <c r="F51" s="12"/>
      <c r="G51" s="12"/>
      <c r="H51" s="12"/>
      <c r="I51" s="12"/>
      <c r="J51" s="12"/>
    </row>
    <row r="52" spans="1:10" x14ac:dyDescent="0.25">
      <c r="A52" s="12"/>
      <c r="B52" s="294" t="s">
        <v>190</v>
      </c>
      <c r="C52" s="302">
        <v>3000000</v>
      </c>
      <c r="D52" s="302">
        <v>2000000</v>
      </c>
      <c r="E52" s="12"/>
      <c r="F52" s="12"/>
      <c r="G52" s="12"/>
      <c r="H52" s="12"/>
      <c r="I52" s="12"/>
      <c r="J52" s="12"/>
    </row>
    <row r="53" spans="1:10" x14ac:dyDescent="0.25">
      <c r="A53" s="12"/>
      <c r="B53" s="185"/>
      <c r="C53" s="12"/>
      <c r="D53" s="12"/>
      <c r="E53" s="12"/>
      <c r="F53" s="12"/>
      <c r="G53" s="12"/>
      <c r="H53" s="12"/>
      <c r="I53" s="12"/>
      <c r="J53" s="12"/>
    </row>
    <row r="54" spans="1:10" x14ac:dyDescent="0.25">
      <c r="A54" s="12"/>
      <c r="B54" s="373" t="s">
        <v>213</v>
      </c>
      <c r="C54" s="374"/>
      <c r="D54" s="375"/>
      <c r="E54" s="12"/>
      <c r="F54" s="12"/>
      <c r="G54" s="12"/>
      <c r="H54" s="12"/>
      <c r="I54" s="12"/>
      <c r="J54" s="12"/>
    </row>
    <row r="55" spans="1:10" x14ac:dyDescent="0.25">
      <c r="A55" s="12"/>
      <c r="B55" s="294" t="s">
        <v>214</v>
      </c>
      <c r="C55" s="297" t="s">
        <v>206</v>
      </c>
      <c r="D55" s="297" t="s">
        <v>212</v>
      </c>
      <c r="E55" s="12"/>
      <c r="F55" s="12"/>
      <c r="G55" s="12"/>
      <c r="H55" s="12"/>
      <c r="I55" s="12"/>
      <c r="J55" s="12"/>
    </row>
    <row r="56" spans="1:10" x14ac:dyDescent="0.25">
      <c r="A56" s="12"/>
      <c r="B56" s="294" t="s">
        <v>169</v>
      </c>
      <c r="C56" s="302">
        <v>1500000</v>
      </c>
      <c r="D56" s="302">
        <v>1162500</v>
      </c>
      <c r="E56" s="12"/>
      <c r="F56" s="12"/>
      <c r="G56" s="12"/>
      <c r="H56" s="12"/>
      <c r="I56" s="12"/>
      <c r="J56" s="12"/>
    </row>
    <row r="57" spans="1:10" x14ac:dyDescent="0.25">
      <c r="A57" s="12"/>
      <c r="B57" s="294" t="s">
        <v>171</v>
      </c>
      <c r="C57" s="302">
        <v>2500000</v>
      </c>
      <c r="D57" s="302">
        <v>1937500</v>
      </c>
      <c r="E57" s="12"/>
      <c r="F57" s="12"/>
      <c r="G57" s="12"/>
      <c r="H57" s="12"/>
      <c r="I57" s="12"/>
      <c r="J57" s="12"/>
    </row>
    <row r="58" spans="1:10" x14ac:dyDescent="0.25">
      <c r="A58" s="12"/>
      <c r="B58" s="294" t="s">
        <v>173</v>
      </c>
      <c r="C58" s="302">
        <v>2000000</v>
      </c>
      <c r="D58" s="302">
        <v>1550000</v>
      </c>
      <c r="E58" s="12"/>
      <c r="F58" s="12"/>
      <c r="G58" s="12"/>
      <c r="H58" s="12"/>
      <c r="I58" s="12"/>
      <c r="J58" s="12"/>
    </row>
    <row r="59" spans="1:10" x14ac:dyDescent="0.25">
      <c r="A59" s="12"/>
      <c r="B59" s="294" t="s">
        <v>175</v>
      </c>
      <c r="C59" s="302">
        <v>2000000</v>
      </c>
      <c r="D59" s="302">
        <v>1550000</v>
      </c>
      <c r="E59" s="12"/>
      <c r="F59" s="12"/>
      <c r="G59" s="12"/>
      <c r="H59" s="12"/>
      <c r="I59" s="12"/>
      <c r="J59" s="12"/>
    </row>
    <row r="60" spans="1:10" x14ac:dyDescent="0.25">
      <c r="A60" s="12"/>
      <c r="B60" s="294" t="s">
        <v>177</v>
      </c>
      <c r="C60" s="302">
        <v>2000000</v>
      </c>
      <c r="D60" s="302">
        <v>1550000</v>
      </c>
      <c r="E60" s="12"/>
      <c r="F60" s="12"/>
      <c r="G60" s="12"/>
      <c r="H60" s="12"/>
      <c r="I60" s="12"/>
      <c r="J60" s="12"/>
    </row>
    <row r="61" spans="1:10" x14ac:dyDescent="0.25">
      <c r="A61" s="12"/>
      <c r="B61" s="294" t="s">
        <v>178</v>
      </c>
      <c r="C61" s="302">
        <v>2000000</v>
      </c>
      <c r="D61" s="302">
        <v>1550000</v>
      </c>
      <c r="E61" s="12"/>
      <c r="F61" s="12"/>
      <c r="G61" s="12"/>
      <c r="H61" s="12"/>
      <c r="I61" s="12"/>
      <c r="J61" s="12"/>
    </row>
    <row r="62" spans="1:10" x14ac:dyDescent="0.25">
      <c r="A62" s="12"/>
      <c r="B62" s="185"/>
      <c r="C62" s="12"/>
      <c r="D62" s="12"/>
      <c r="E62" s="12"/>
      <c r="F62" s="12"/>
      <c r="G62" s="12"/>
      <c r="H62" s="12"/>
      <c r="I62" s="12"/>
      <c r="J62" s="12"/>
    </row>
    <row r="63" spans="1:10" x14ac:dyDescent="0.25">
      <c r="A63" s="12"/>
      <c r="B63" s="373" t="s">
        <v>215</v>
      </c>
      <c r="C63" s="374"/>
      <c r="D63" s="375"/>
      <c r="E63" s="12"/>
      <c r="F63" s="12"/>
      <c r="G63" s="12"/>
      <c r="H63" s="12"/>
      <c r="I63" s="12"/>
      <c r="J63" s="12"/>
    </row>
    <row r="64" spans="1:10" x14ac:dyDescent="0.25">
      <c r="A64" s="12"/>
      <c r="B64" s="294" t="s">
        <v>29</v>
      </c>
      <c r="C64" s="297" t="s">
        <v>206</v>
      </c>
      <c r="D64" s="297" t="s">
        <v>212</v>
      </c>
      <c r="E64" s="12"/>
      <c r="F64" s="12"/>
      <c r="G64" s="12"/>
      <c r="H64" s="12"/>
      <c r="I64" s="12"/>
      <c r="J64" s="12"/>
    </row>
    <row r="65" spans="1:10" x14ac:dyDescent="0.25">
      <c r="A65" s="12"/>
      <c r="B65" s="294" t="s">
        <v>183</v>
      </c>
      <c r="C65" s="302">
        <v>4000000</v>
      </c>
      <c r="D65" s="302">
        <v>5000000</v>
      </c>
      <c r="E65" s="12"/>
      <c r="F65" s="12"/>
      <c r="G65" s="12"/>
      <c r="H65" s="12"/>
      <c r="I65" s="12"/>
      <c r="J65" s="12"/>
    </row>
    <row r="66" spans="1:10" x14ac:dyDescent="0.25">
      <c r="A66" s="12"/>
      <c r="B66" s="294" t="s">
        <v>185</v>
      </c>
      <c r="C66" s="302">
        <v>2000000</v>
      </c>
      <c r="D66" s="302">
        <v>1300000</v>
      </c>
      <c r="E66" s="12"/>
      <c r="F66" s="12"/>
      <c r="G66" s="12"/>
      <c r="H66" s="12"/>
      <c r="I66" s="12"/>
      <c r="J66" s="12"/>
    </row>
    <row r="67" spans="1:10" x14ac:dyDescent="0.25">
      <c r="A67" s="12"/>
      <c r="B67" s="294" t="s">
        <v>187</v>
      </c>
      <c r="C67" s="302">
        <v>3000000</v>
      </c>
      <c r="D67" s="302">
        <v>1300000</v>
      </c>
      <c r="E67" s="12"/>
      <c r="F67" s="12"/>
      <c r="G67" s="12"/>
      <c r="H67" s="12"/>
      <c r="I67" s="12"/>
      <c r="J67" s="12"/>
    </row>
    <row r="68" spans="1:10" x14ac:dyDescent="0.25">
      <c r="A68" s="12"/>
      <c r="B68" s="294" t="s">
        <v>189</v>
      </c>
      <c r="C68" s="302">
        <v>1000000</v>
      </c>
      <c r="D68" s="302">
        <v>700000</v>
      </c>
      <c r="E68" s="12"/>
      <c r="F68" s="12"/>
      <c r="G68" s="12"/>
      <c r="H68" s="12"/>
      <c r="I68" s="12"/>
      <c r="J68" s="12"/>
    </row>
    <row r="69" spans="1:10" x14ac:dyDescent="0.25">
      <c r="A69" s="12"/>
      <c r="B69" s="294" t="s">
        <v>191</v>
      </c>
      <c r="C69" s="302">
        <v>2000000</v>
      </c>
      <c r="D69" s="302">
        <v>1000000</v>
      </c>
      <c r="E69" s="12"/>
      <c r="F69" s="12"/>
      <c r="G69" s="12"/>
      <c r="H69" s="12"/>
      <c r="I69" s="12"/>
      <c r="J69" s="12"/>
    </row>
    <row r="70" spans="1:10" x14ac:dyDescent="0.25">
      <c r="A70" s="12"/>
      <c r="B70" s="12"/>
      <c r="C70" s="12"/>
      <c r="D70" s="12"/>
      <c r="E70" s="12"/>
      <c r="F70" s="12"/>
      <c r="G70" s="12"/>
      <c r="H70" s="12"/>
      <c r="I70" s="12"/>
      <c r="J70" s="12"/>
    </row>
    <row r="71" spans="1:10" x14ac:dyDescent="0.25">
      <c r="A71" s="12"/>
      <c r="B71" s="373" t="s">
        <v>216</v>
      </c>
      <c r="C71" s="374"/>
      <c r="D71" s="375"/>
      <c r="E71" s="12"/>
      <c r="F71" s="12"/>
      <c r="G71" s="12"/>
      <c r="H71" s="12"/>
      <c r="I71" s="12"/>
      <c r="J71" s="12"/>
    </row>
    <row r="72" spans="1:10" x14ac:dyDescent="0.25">
      <c r="A72" s="12"/>
      <c r="B72" s="294" t="s">
        <v>194</v>
      </c>
      <c r="C72" s="297" t="s">
        <v>206</v>
      </c>
      <c r="D72" s="297" t="s">
        <v>212</v>
      </c>
      <c r="E72" s="12"/>
      <c r="F72" s="12"/>
      <c r="G72" s="12"/>
      <c r="H72" s="12"/>
      <c r="I72" s="12"/>
      <c r="J72" s="12"/>
    </row>
    <row r="73" spans="1:10" x14ac:dyDescent="0.25">
      <c r="A73" s="12"/>
      <c r="B73" s="294" t="s">
        <v>197</v>
      </c>
      <c r="C73" s="302">
        <v>500000</v>
      </c>
      <c r="D73" s="302">
        <v>300000</v>
      </c>
      <c r="E73" s="12"/>
      <c r="F73" s="12"/>
      <c r="G73" s="12"/>
      <c r="H73" s="12"/>
      <c r="I73" s="12"/>
      <c r="J73" s="12"/>
    </row>
    <row r="74" spans="1:10" x14ac:dyDescent="0.25">
      <c r="A74" s="12"/>
      <c r="B74" s="294" t="s">
        <v>199</v>
      </c>
      <c r="C74" s="302">
        <v>1500000</v>
      </c>
      <c r="D74" s="302">
        <v>700000</v>
      </c>
      <c r="E74" s="12"/>
      <c r="F74" s="12"/>
      <c r="G74" s="12"/>
      <c r="H74" s="12"/>
      <c r="I74" s="12"/>
      <c r="J74" s="12"/>
    </row>
    <row r="75" spans="1:10" x14ac:dyDescent="0.25">
      <c r="A75" s="12"/>
      <c r="B75" s="294" t="s">
        <v>201</v>
      </c>
      <c r="C75" s="302">
        <v>1500000</v>
      </c>
      <c r="D75" s="302">
        <v>1000000</v>
      </c>
      <c r="E75" s="12"/>
      <c r="F75" s="12"/>
      <c r="G75" s="12"/>
      <c r="H75" s="12"/>
      <c r="I75" s="12"/>
      <c r="J75" s="12"/>
    </row>
    <row r="76" spans="1:10" x14ac:dyDescent="0.25">
      <c r="A76" s="12"/>
      <c r="B76" s="294" t="s">
        <v>202</v>
      </c>
      <c r="C76" s="302">
        <v>3500000</v>
      </c>
      <c r="D76" s="302">
        <v>4000000</v>
      </c>
      <c r="E76" s="12"/>
      <c r="F76" s="12"/>
      <c r="G76" s="12"/>
      <c r="H76" s="12"/>
      <c r="I76" s="12"/>
      <c r="J76" s="12"/>
    </row>
    <row r="77" spans="1:10" x14ac:dyDescent="0.25">
      <c r="A77" s="12"/>
      <c r="B77" s="294" t="s">
        <v>203</v>
      </c>
      <c r="C77" s="302">
        <v>5000000</v>
      </c>
      <c r="D77" s="302">
        <v>3300000</v>
      </c>
      <c r="E77" s="12"/>
      <c r="F77" s="12"/>
      <c r="G77" s="12"/>
      <c r="H77" s="12"/>
      <c r="I77" s="12"/>
      <c r="J77" s="12"/>
    </row>
    <row r="78" spans="1:10" x14ac:dyDescent="0.25">
      <c r="A78" s="12"/>
      <c r="B78" s="12"/>
      <c r="C78" s="12"/>
      <c r="D78" s="12"/>
      <c r="E78" s="12"/>
      <c r="F78" s="12"/>
      <c r="G78" s="12"/>
      <c r="H78" s="12"/>
      <c r="I78" s="12"/>
      <c r="J78" s="12"/>
    </row>
    <row r="79" spans="1:10" x14ac:dyDescent="0.25">
      <c r="A79" s="12"/>
      <c r="B79" s="373" t="s">
        <v>536</v>
      </c>
      <c r="C79" s="374"/>
      <c r="D79" s="374"/>
      <c r="E79" s="375"/>
      <c r="F79" s="12"/>
      <c r="G79" s="12"/>
      <c r="H79" s="12"/>
      <c r="I79" s="12"/>
      <c r="J79" s="12"/>
    </row>
    <row r="80" spans="1:10" x14ac:dyDescent="0.25">
      <c r="A80" s="12"/>
      <c r="B80" s="295" t="s">
        <v>195</v>
      </c>
      <c r="C80" s="300" t="s">
        <v>196</v>
      </c>
      <c r="D80" s="297" t="s">
        <v>206</v>
      </c>
      <c r="E80" s="297" t="s">
        <v>212</v>
      </c>
      <c r="F80" s="12"/>
      <c r="G80" s="12"/>
      <c r="H80" s="12"/>
      <c r="I80" s="12"/>
      <c r="J80" s="12"/>
    </row>
    <row r="81" spans="1:14" x14ac:dyDescent="0.25">
      <c r="A81" s="12"/>
      <c r="B81" s="293" t="s">
        <v>198</v>
      </c>
      <c r="C81" s="293" t="s">
        <v>198</v>
      </c>
      <c r="D81" s="302">
        <v>1000000</v>
      </c>
      <c r="E81" s="302">
        <v>800000</v>
      </c>
      <c r="F81" s="12"/>
      <c r="G81" s="12"/>
      <c r="H81" s="12"/>
      <c r="I81" s="12"/>
      <c r="J81" s="12"/>
    </row>
    <row r="82" spans="1:14" x14ac:dyDescent="0.25">
      <c r="A82" s="12"/>
      <c r="B82" s="293" t="s">
        <v>200</v>
      </c>
      <c r="C82" s="293" t="s">
        <v>198</v>
      </c>
      <c r="D82" s="302">
        <v>1000000</v>
      </c>
      <c r="E82" s="302">
        <v>700000</v>
      </c>
      <c r="F82" s="12"/>
      <c r="G82" s="12"/>
      <c r="H82" s="12"/>
      <c r="I82" s="12"/>
      <c r="J82" s="12"/>
    </row>
    <row r="83" spans="1:14" x14ac:dyDescent="0.25">
      <c r="A83" s="12"/>
      <c r="B83" s="293" t="s">
        <v>198</v>
      </c>
      <c r="C83" s="293" t="s">
        <v>200</v>
      </c>
      <c r="D83" s="302">
        <v>3000000</v>
      </c>
      <c r="E83" s="302">
        <v>2100000</v>
      </c>
      <c r="F83" s="12"/>
      <c r="G83" s="12"/>
      <c r="H83" s="12"/>
      <c r="I83" s="12"/>
      <c r="J83" s="12"/>
    </row>
    <row r="84" spans="1:14" x14ac:dyDescent="0.25">
      <c r="A84" s="12"/>
      <c r="B84" s="293" t="s">
        <v>200</v>
      </c>
      <c r="C84" s="293" t="s">
        <v>200</v>
      </c>
      <c r="D84" s="302">
        <v>7000000</v>
      </c>
      <c r="E84" s="302">
        <v>5700000</v>
      </c>
      <c r="F84" s="12"/>
      <c r="G84" s="12"/>
      <c r="H84" s="12"/>
      <c r="I84" s="12"/>
      <c r="J84" s="12"/>
    </row>
    <row r="85" spans="1:14" x14ac:dyDescent="0.25">
      <c r="A85" s="12"/>
      <c r="B85" s="303"/>
      <c r="C85" s="303"/>
      <c r="D85" s="304"/>
      <c r="E85" s="304"/>
      <c r="F85" s="12"/>
      <c r="G85" s="12"/>
      <c r="H85" s="12"/>
      <c r="I85" s="12"/>
      <c r="J85" s="12"/>
    </row>
    <row r="86" spans="1:14" x14ac:dyDescent="0.25">
      <c r="A86" s="183" t="s">
        <v>217</v>
      </c>
      <c r="B86" s="183" t="s">
        <v>362</v>
      </c>
      <c r="C86" s="305"/>
      <c r="D86" s="305"/>
      <c r="E86" s="12"/>
      <c r="F86" s="12"/>
      <c r="G86" s="12"/>
      <c r="H86" s="12"/>
      <c r="I86" s="12"/>
      <c r="J86" s="12"/>
    </row>
    <row r="87" spans="1:14" x14ac:dyDescent="0.25">
      <c r="A87" s="306"/>
      <c r="B87" s="177" t="s">
        <v>218</v>
      </c>
      <c r="C87" s="305"/>
      <c r="D87" s="305"/>
      <c r="E87" s="12"/>
      <c r="F87" s="12"/>
      <c r="G87" s="12"/>
      <c r="H87" s="12"/>
      <c r="I87" s="12"/>
      <c r="J87" s="12"/>
    </row>
    <row r="88" spans="1:14" x14ac:dyDescent="0.25">
      <c r="A88" s="306"/>
      <c r="B88" s="177" t="s">
        <v>219</v>
      </c>
      <c r="C88" s="305"/>
      <c r="D88" s="305"/>
      <c r="E88" s="12"/>
      <c r="F88" s="12"/>
      <c r="G88" s="12"/>
      <c r="H88" s="12"/>
      <c r="I88" s="12"/>
      <c r="J88" s="12"/>
    </row>
    <row r="89" spans="1:14" x14ac:dyDescent="0.25">
      <c r="A89" s="306"/>
      <c r="B89" s="177" t="s">
        <v>220</v>
      </c>
      <c r="C89" s="305"/>
      <c r="D89" s="305"/>
      <c r="E89" s="12"/>
      <c r="F89" s="12"/>
      <c r="G89" s="12"/>
      <c r="H89" s="12"/>
      <c r="I89" s="12"/>
      <c r="J89" s="12"/>
    </row>
    <row r="90" spans="1:14" x14ac:dyDescent="0.25">
      <c r="A90" s="305"/>
      <c r="B90" s="307"/>
      <c r="C90" s="305"/>
      <c r="D90" s="305"/>
      <c r="E90" s="12"/>
      <c r="F90" s="12"/>
      <c r="G90" s="12"/>
      <c r="H90" s="12"/>
      <c r="I90" s="12"/>
      <c r="J90" s="12"/>
    </row>
    <row r="92" spans="1:14" x14ac:dyDescent="0.25">
      <c r="A92" s="70" t="s">
        <v>0</v>
      </c>
      <c r="L92" s="287" t="s">
        <v>0</v>
      </c>
    </row>
    <row r="93" spans="1:14" x14ac:dyDescent="0.25">
      <c r="A93" s="70" t="s">
        <v>350</v>
      </c>
      <c r="M93" s="287" t="s">
        <v>446</v>
      </c>
    </row>
    <row r="95" spans="1:14" x14ac:dyDescent="0.25">
      <c r="M95" s="287" t="s">
        <v>447</v>
      </c>
      <c r="N95" s="308">
        <f>C39</f>
        <v>12000000</v>
      </c>
    </row>
    <row r="96" spans="1:14" x14ac:dyDescent="0.25">
      <c r="M96" s="287" t="s">
        <v>207</v>
      </c>
      <c r="N96" s="309">
        <f>C40</f>
        <v>9300000</v>
      </c>
    </row>
    <row r="97" spans="1:27" x14ac:dyDescent="0.25">
      <c r="A97" s="70" t="s">
        <v>351</v>
      </c>
      <c r="B97" s="310" t="s">
        <v>537</v>
      </c>
      <c r="C97" s="232" t="s">
        <v>355</v>
      </c>
      <c r="D97" s="232" t="s">
        <v>356</v>
      </c>
      <c r="E97" s="232" t="s">
        <v>538</v>
      </c>
      <c r="M97" s="287" t="s">
        <v>448</v>
      </c>
      <c r="N97" s="309">
        <f>SUM(C41:C44)</f>
        <v>3920000</v>
      </c>
    </row>
    <row r="98" spans="1:27" x14ac:dyDescent="0.25">
      <c r="B98" s="282" t="s">
        <v>357</v>
      </c>
      <c r="C98" s="311"/>
      <c r="D98" s="312"/>
      <c r="E98" s="312"/>
      <c r="L98" s="313" t="s">
        <v>350</v>
      </c>
      <c r="M98" s="287" t="s">
        <v>449</v>
      </c>
      <c r="N98" s="314">
        <f>N95-N96-N97</f>
        <v>-1220000</v>
      </c>
    </row>
    <row r="99" spans="1:27" x14ac:dyDescent="0.25">
      <c r="B99" s="282" t="s">
        <v>174</v>
      </c>
      <c r="C99" s="311"/>
      <c r="D99" s="315"/>
      <c r="E99" s="315"/>
    </row>
    <row r="100" spans="1:27" x14ac:dyDescent="0.25">
      <c r="B100" s="282" t="s">
        <v>208</v>
      </c>
      <c r="C100" s="311"/>
      <c r="D100" s="315"/>
      <c r="E100" s="315"/>
      <c r="K100" s="182"/>
      <c r="Q100" s="313" t="s">
        <v>352</v>
      </c>
    </row>
    <row r="101" spans="1:27" x14ac:dyDescent="0.25">
      <c r="B101" s="282" t="s">
        <v>170</v>
      </c>
      <c r="C101" s="311"/>
      <c r="D101" s="315"/>
      <c r="E101" s="315"/>
      <c r="L101" s="313" t="s">
        <v>351</v>
      </c>
      <c r="N101" s="316" t="s">
        <v>355</v>
      </c>
      <c r="O101" s="316" t="s">
        <v>356</v>
      </c>
      <c r="P101" s="316" t="s">
        <v>450</v>
      </c>
      <c r="Q101" s="313" t="s">
        <v>451</v>
      </c>
    </row>
    <row r="102" spans="1:27" x14ac:dyDescent="0.25">
      <c r="B102" s="282" t="s">
        <v>172</v>
      </c>
      <c r="C102" s="311"/>
      <c r="D102" s="315"/>
      <c r="E102" s="315"/>
      <c r="M102" s="287" t="s">
        <v>447</v>
      </c>
      <c r="N102" s="309">
        <f>C39</f>
        <v>12000000</v>
      </c>
      <c r="O102" s="309">
        <f>N102</f>
        <v>12000000</v>
      </c>
      <c r="P102" s="317">
        <f>(N102-O102)*O$102</f>
        <v>0</v>
      </c>
    </row>
    <row r="103" spans="1:27" x14ac:dyDescent="0.25">
      <c r="B103" s="282" t="s">
        <v>176</v>
      </c>
      <c r="C103" s="311"/>
      <c r="D103" s="315"/>
      <c r="E103" s="315"/>
      <c r="M103" s="318" t="s">
        <v>357</v>
      </c>
      <c r="N103" s="319">
        <f>N109/N102</f>
        <v>0.77500000000000002</v>
      </c>
      <c r="O103" s="320">
        <f>C34</f>
        <v>0.7</v>
      </c>
      <c r="P103" s="319">
        <f>O103-N103</f>
        <v>-7.5000000000000067E-2</v>
      </c>
      <c r="Q103" s="376" t="s">
        <v>452</v>
      </c>
      <c r="R103" s="376"/>
      <c r="S103" s="376"/>
    </row>
    <row r="104" spans="1:27" x14ac:dyDescent="0.25">
      <c r="B104" s="282" t="s">
        <v>212</v>
      </c>
      <c r="C104" s="321"/>
      <c r="D104" s="321"/>
      <c r="E104" s="321"/>
      <c r="M104" s="318" t="s">
        <v>174</v>
      </c>
      <c r="N104" s="319">
        <f>N98/N95</f>
        <v>-0.10166666666666667</v>
      </c>
      <c r="O104" s="320">
        <f>C15</f>
        <v>0.05</v>
      </c>
      <c r="P104" s="322">
        <f>(N104-O104)*O$102</f>
        <v>-1820000</v>
      </c>
      <c r="Q104" s="376" t="s">
        <v>453</v>
      </c>
      <c r="R104" s="376"/>
      <c r="S104" s="376"/>
    </row>
    <row r="105" spans="1:27" x14ac:dyDescent="0.25">
      <c r="C105" s="201"/>
      <c r="D105" s="201"/>
      <c r="E105" s="201"/>
      <c r="M105" s="318" t="s">
        <v>168</v>
      </c>
      <c r="N105" s="319">
        <f>C41/C39</f>
        <v>2.3333333333333334E-2</v>
      </c>
      <c r="O105" s="320">
        <f>C12</f>
        <v>0.03</v>
      </c>
      <c r="P105" s="322">
        <f>(O105-N105)*N$102</f>
        <v>79999.999999999971</v>
      </c>
      <c r="Q105" s="376" t="s">
        <v>454</v>
      </c>
      <c r="R105" s="376"/>
      <c r="S105" s="376"/>
    </row>
    <row r="106" spans="1:27" x14ac:dyDescent="0.25">
      <c r="A106" s="70" t="s">
        <v>352</v>
      </c>
      <c r="M106" s="318" t="s">
        <v>170</v>
      </c>
      <c r="N106" s="319">
        <f>C42/C39</f>
        <v>0.1</v>
      </c>
      <c r="O106" s="320">
        <f>C13</f>
        <v>0.1</v>
      </c>
      <c r="P106" s="322">
        <f>(O106-N106)*N$102</f>
        <v>0</v>
      </c>
      <c r="Q106" s="376" t="s">
        <v>455</v>
      </c>
      <c r="R106" s="376"/>
      <c r="S106" s="376"/>
      <c r="Y106" s="323"/>
    </row>
    <row r="107" spans="1:27" x14ac:dyDescent="0.25">
      <c r="M107" s="318" t="s">
        <v>172</v>
      </c>
      <c r="N107" s="319">
        <f>C43/C39</f>
        <v>0.02</v>
      </c>
      <c r="O107" s="320">
        <f>C14</f>
        <v>0.02</v>
      </c>
      <c r="P107" s="322">
        <f>(O107-N107)*N$102</f>
        <v>0</v>
      </c>
      <c r="Q107" s="376"/>
      <c r="R107" s="376"/>
      <c r="S107" s="376"/>
      <c r="Y107" s="324"/>
      <c r="Z107" s="324"/>
      <c r="AA107" s="324"/>
    </row>
    <row r="108" spans="1:27" x14ac:dyDescent="0.25">
      <c r="M108" s="318" t="s">
        <v>176</v>
      </c>
      <c r="N108" s="319">
        <f>C44/C39</f>
        <v>0.18333333333333332</v>
      </c>
      <c r="O108" s="320">
        <f>C16</f>
        <v>0.1</v>
      </c>
      <c r="P108" s="322">
        <f>(O108-N108)*N$102</f>
        <v>-999999.99999999977</v>
      </c>
      <c r="Q108" s="376" t="s">
        <v>456</v>
      </c>
      <c r="R108" s="376"/>
      <c r="S108" s="376"/>
      <c r="Y108" s="324"/>
      <c r="Z108" s="324"/>
      <c r="AA108" s="324"/>
    </row>
    <row r="109" spans="1:27" x14ac:dyDescent="0.25">
      <c r="M109" s="318" t="s">
        <v>212</v>
      </c>
      <c r="N109" s="325">
        <f>C40</f>
        <v>9300000</v>
      </c>
      <c r="O109" s="325">
        <f>O103*N102</f>
        <v>8400000</v>
      </c>
      <c r="P109" s="322">
        <f>O109-N109</f>
        <v>-900000</v>
      </c>
      <c r="Q109" s="376" t="s">
        <v>457</v>
      </c>
      <c r="R109" s="376"/>
      <c r="S109" s="376"/>
      <c r="Y109" s="324"/>
      <c r="Z109" s="324"/>
      <c r="AA109" s="324"/>
    </row>
    <row r="110" spans="1:27" x14ac:dyDescent="0.25">
      <c r="A110" s="12" t="s">
        <v>221</v>
      </c>
      <c r="B110" s="12"/>
      <c r="C110" s="12"/>
      <c r="D110" s="12"/>
      <c r="E110" s="12"/>
      <c r="F110" s="12"/>
      <c r="G110" s="12"/>
      <c r="H110" s="12"/>
      <c r="I110" s="12"/>
      <c r="J110" s="12"/>
      <c r="Y110" s="324"/>
      <c r="Z110" s="324"/>
      <c r="AA110" s="324"/>
    </row>
    <row r="111" spans="1:27" x14ac:dyDescent="0.25">
      <c r="A111" s="12"/>
      <c r="B111" s="12"/>
      <c r="C111" s="12"/>
      <c r="D111" s="12"/>
      <c r="E111" s="12"/>
      <c r="F111" s="12"/>
      <c r="G111" s="12"/>
      <c r="H111" s="12"/>
      <c r="I111" s="12"/>
      <c r="J111" s="12"/>
      <c r="Y111" s="324"/>
      <c r="Z111" s="324"/>
      <c r="AA111" s="324"/>
    </row>
    <row r="112" spans="1:27" x14ac:dyDescent="0.25">
      <c r="A112" s="12" t="s">
        <v>222</v>
      </c>
      <c r="B112" s="12"/>
      <c r="C112" s="12"/>
      <c r="D112" s="12"/>
      <c r="E112" s="12"/>
      <c r="F112" s="12"/>
      <c r="G112" s="12"/>
      <c r="H112" s="12"/>
      <c r="I112" s="12"/>
      <c r="J112" s="12"/>
      <c r="Y112" s="324"/>
      <c r="Z112" s="324"/>
      <c r="AA112" s="324"/>
    </row>
    <row r="113" spans="1:27" x14ac:dyDescent="0.25">
      <c r="A113" s="12"/>
      <c r="B113" s="12"/>
      <c r="C113" s="12"/>
      <c r="D113" s="12"/>
      <c r="E113" s="12"/>
      <c r="F113" s="12"/>
      <c r="G113" s="12"/>
      <c r="H113" s="12"/>
      <c r="I113" s="12"/>
      <c r="J113" s="12"/>
      <c r="Y113" s="324"/>
      <c r="Z113" s="324"/>
      <c r="AA113" s="324"/>
    </row>
    <row r="114" spans="1:27" x14ac:dyDescent="0.25">
      <c r="A114" s="12"/>
      <c r="B114" s="143" t="s">
        <v>223</v>
      </c>
      <c r="C114" s="144">
        <v>17</v>
      </c>
      <c r="D114" s="12"/>
      <c r="E114" s="12"/>
      <c r="F114" s="12"/>
      <c r="G114" s="12"/>
      <c r="H114" s="12"/>
      <c r="I114" s="12"/>
      <c r="J114" s="12"/>
    </row>
    <row r="115" spans="1:27" x14ac:dyDescent="0.25">
      <c r="A115" s="12"/>
      <c r="B115" s="12"/>
      <c r="C115" s="12"/>
      <c r="D115" s="12"/>
      <c r="E115" s="12"/>
      <c r="F115" s="12"/>
      <c r="G115" s="12"/>
      <c r="H115" s="12"/>
      <c r="I115" s="12"/>
      <c r="J115" s="12"/>
      <c r="Y115" s="324"/>
      <c r="Z115" s="324"/>
    </row>
    <row r="116" spans="1:27" x14ac:dyDescent="0.25">
      <c r="A116" s="12"/>
      <c r="B116" s="377" t="s">
        <v>224</v>
      </c>
      <c r="C116" s="378"/>
      <c r="D116" s="12"/>
      <c r="E116" s="12"/>
      <c r="F116" s="12"/>
      <c r="G116" s="12"/>
      <c r="H116" s="12"/>
      <c r="I116" s="12"/>
      <c r="J116" s="12"/>
      <c r="Y116" s="324"/>
      <c r="Z116" s="324"/>
    </row>
    <row r="117" spans="1:27" x14ac:dyDescent="0.25">
      <c r="A117" s="12"/>
      <c r="B117" s="145" t="s">
        <v>225</v>
      </c>
      <c r="C117" s="144">
        <v>7</v>
      </c>
      <c r="D117" s="12"/>
      <c r="E117" s="12"/>
      <c r="F117" s="12"/>
      <c r="G117" s="12"/>
      <c r="H117" s="12"/>
      <c r="I117" s="12"/>
      <c r="J117" s="12"/>
      <c r="Y117" s="324"/>
      <c r="Z117" s="324"/>
    </row>
    <row r="118" spans="1:27" x14ac:dyDescent="0.25">
      <c r="A118" s="12"/>
      <c r="B118" s="145" t="s">
        <v>226</v>
      </c>
      <c r="C118" s="144">
        <v>3</v>
      </c>
      <c r="D118" s="12"/>
      <c r="E118" s="12"/>
      <c r="F118" s="12"/>
      <c r="G118" s="12"/>
      <c r="H118" s="12"/>
      <c r="I118" s="12"/>
      <c r="J118" s="12"/>
      <c r="Y118" s="324"/>
      <c r="Z118" s="324"/>
    </row>
    <row r="119" spans="1:27" x14ac:dyDescent="0.25">
      <c r="A119" s="12"/>
      <c r="B119" s="145" t="s">
        <v>227</v>
      </c>
      <c r="C119" s="144">
        <v>5</v>
      </c>
      <c r="D119" s="12"/>
      <c r="E119" s="12"/>
      <c r="F119" s="12"/>
      <c r="G119" s="12"/>
      <c r="H119" s="12"/>
      <c r="I119" s="12"/>
      <c r="J119" s="12"/>
      <c r="Y119" s="324"/>
      <c r="Z119" s="324"/>
    </row>
    <row r="120" spans="1:27" x14ac:dyDescent="0.25">
      <c r="A120" s="12"/>
      <c r="B120" s="12"/>
      <c r="C120" s="12"/>
      <c r="D120" s="12"/>
      <c r="E120" s="12"/>
      <c r="F120" s="12"/>
      <c r="G120" s="12"/>
      <c r="H120" s="12"/>
      <c r="I120" s="12"/>
      <c r="J120" s="12"/>
      <c r="Y120" s="324"/>
      <c r="Z120" s="324"/>
    </row>
    <row r="121" spans="1:27" x14ac:dyDescent="0.25">
      <c r="A121" s="12"/>
      <c r="B121" s="143" t="s">
        <v>228</v>
      </c>
      <c r="C121" s="146">
        <v>0.8</v>
      </c>
      <c r="D121" s="12"/>
      <c r="E121" s="12"/>
      <c r="F121" s="12"/>
      <c r="G121" s="12"/>
      <c r="H121" s="12"/>
      <c r="I121" s="12"/>
      <c r="J121" s="12"/>
      <c r="Y121" s="324"/>
      <c r="Z121" s="324"/>
    </row>
    <row r="122" spans="1:27" x14ac:dyDescent="0.25">
      <c r="A122" s="12"/>
      <c r="B122" s="195"/>
      <c r="C122" s="196"/>
      <c r="D122" s="12"/>
      <c r="E122" s="12"/>
      <c r="F122" s="12"/>
      <c r="G122" s="12"/>
      <c r="H122" s="12"/>
      <c r="I122" s="12"/>
      <c r="J122" s="12"/>
      <c r="N122" s="309"/>
      <c r="O122" s="309"/>
      <c r="P122" s="326"/>
    </row>
    <row r="123" spans="1:27" x14ac:dyDescent="0.25">
      <c r="A123" s="12"/>
      <c r="B123" s="12" t="s">
        <v>229</v>
      </c>
      <c r="C123" s="12"/>
      <c r="D123" s="12"/>
      <c r="E123" s="12"/>
      <c r="F123" s="12"/>
      <c r="G123" s="12"/>
      <c r="H123" s="12"/>
      <c r="I123" s="12"/>
      <c r="J123" s="12"/>
      <c r="N123" s="309"/>
      <c r="O123" s="309"/>
      <c r="P123" s="326"/>
      <c r="Y123" s="324"/>
    </row>
    <row r="124" spans="1:27" x14ac:dyDescent="0.25">
      <c r="A124" s="12"/>
      <c r="B124" s="12" t="s">
        <v>236</v>
      </c>
      <c r="C124" s="12"/>
      <c r="D124" s="12"/>
      <c r="E124" s="327"/>
      <c r="F124" s="12"/>
      <c r="G124" s="12"/>
      <c r="H124" s="12"/>
      <c r="I124" s="12"/>
      <c r="J124" s="12"/>
    </row>
    <row r="125" spans="1:27" x14ac:dyDescent="0.25">
      <c r="A125" s="12"/>
      <c r="B125" s="12"/>
      <c r="C125" s="12"/>
      <c r="D125" s="12"/>
      <c r="E125" s="12"/>
      <c r="F125" s="12"/>
      <c r="G125" s="12"/>
      <c r="H125" s="12"/>
      <c r="I125" s="12"/>
      <c r="J125" s="12"/>
    </row>
    <row r="126" spans="1:27" ht="27.6" x14ac:dyDescent="0.25">
      <c r="A126" s="12"/>
      <c r="B126" s="12"/>
      <c r="C126" s="328" t="s">
        <v>358</v>
      </c>
      <c r="D126" s="329" t="s">
        <v>237</v>
      </c>
      <c r="E126" s="12"/>
      <c r="F126" s="12"/>
      <c r="G126" s="12"/>
      <c r="H126" s="12"/>
      <c r="I126" s="12"/>
      <c r="J126" s="12"/>
    </row>
    <row r="127" spans="1:27" x14ac:dyDescent="0.25">
      <c r="A127" s="12"/>
      <c r="B127" s="291" t="s">
        <v>233</v>
      </c>
      <c r="C127" s="330">
        <v>0</v>
      </c>
      <c r="D127" s="330">
        <v>1</v>
      </c>
      <c r="E127" s="12"/>
      <c r="F127" s="12"/>
      <c r="G127" s="12"/>
      <c r="H127" s="12"/>
      <c r="I127" s="12"/>
      <c r="J127" s="12"/>
    </row>
    <row r="128" spans="1:27" x14ac:dyDescent="0.25">
      <c r="A128" s="12"/>
      <c r="B128" s="291" t="s">
        <v>166</v>
      </c>
      <c r="C128" s="330">
        <v>0</v>
      </c>
      <c r="D128" s="330">
        <v>1</v>
      </c>
      <c r="E128" s="12"/>
      <c r="F128" s="12"/>
      <c r="G128" s="12"/>
      <c r="H128" s="12"/>
      <c r="I128" s="12"/>
      <c r="J128" s="12"/>
    </row>
    <row r="129" spans="1:20" x14ac:dyDescent="0.25">
      <c r="A129" s="12"/>
      <c r="B129" s="291" t="s">
        <v>214</v>
      </c>
      <c r="C129" s="330">
        <v>1</v>
      </c>
      <c r="D129" s="330">
        <v>0</v>
      </c>
      <c r="E129" s="12"/>
      <c r="F129" s="12"/>
      <c r="G129" s="12"/>
      <c r="H129" s="12"/>
      <c r="I129" s="12"/>
      <c r="J129" s="12"/>
    </row>
    <row r="130" spans="1:20" x14ac:dyDescent="0.25">
      <c r="A130" s="12"/>
      <c r="B130" s="291" t="s">
        <v>29</v>
      </c>
      <c r="C130" s="330">
        <v>1</v>
      </c>
      <c r="D130" s="330">
        <v>0</v>
      </c>
      <c r="E130" s="12"/>
      <c r="F130" s="12"/>
      <c r="G130" s="12"/>
      <c r="H130" s="12"/>
      <c r="I130" s="12"/>
      <c r="J130" s="12"/>
    </row>
    <row r="131" spans="1:20" x14ac:dyDescent="0.25">
      <c r="A131" s="12"/>
      <c r="B131" s="291" t="s">
        <v>234</v>
      </c>
      <c r="C131" s="330">
        <v>1</v>
      </c>
      <c r="D131" s="330">
        <v>0</v>
      </c>
      <c r="E131" s="12"/>
      <c r="F131" s="12"/>
      <c r="G131" s="12"/>
      <c r="H131" s="12"/>
      <c r="I131" s="12"/>
      <c r="J131" s="12"/>
    </row>
    <row r="132" spans="1:20" x14ac:dyDescent="0.25">
      <c r="A132" s="12"/>
      <c r="B132" s="291" t="s">
        <v>194</v>
      </c>
      <c r="C132" s="330">
        <v>0.5</v>
      </c>
      <c r="D132" s="330">
        <v>0.5</v>
      </c>
      <c r="E132" s="12"/>
      <c r="F132" s="12"/>
      <c r="G132" s="12"/>
      <c r="H132" s="12"/>
      <c r="I132" s="12"/>
      <c r="J132" s="12"/>
    </row>
    <row r="133" spans="1:20" x14ac:dyDescent="0.25">
      <c r="A133" s="12"/>
      <c r="B133" s="291" t="s">
        <v>235</v>
      </c>
      <c r="C133" s="330">
        <v>0.5</v>
      </c>
      <c r="D133" s="330">
        <v>0.5</v>
      </c>
      <c r="E133" s="12"/>
      <c r="F133" s="12"/>
      <c r="G133" s="12"/>
      <c r="H133" s="12"/>
      <c r="I133" s="12"/>
      <c r="J133" s="12"/>
    </row>
    <row r="134" spans="1:20" x14ac:dyDescent="0.25">
      <c r="A134" s="12"/>
      <c r="B134" s="12"/>
      <c r="C134" s="331"/>
      <c r="D134" s="331"/>
      <c r="E134" s="12"/>
      <c r="F134" s="12"/>
      <c r="G134" s="12"/>
      <c r="H134" s="12"/>
      <c r="I134" s="12"/>
      <c r="J134" s="12"/>
    </row>
    <row r="135" spans="1:20" x14ac:dyDescent="0.25">
      <c r="A135" s="12" t="s">
        <v>31</v>
      </c>
      <c r="B135" s="12"/>
      <c r="C135" s="12"/>
      <c r="D135" s="12"/>
      <c r="E135" s="12"/>
      <c r="F135" s="12"/>
      <c r="G135" s="12"/>
      <c r="H135" s="12"/>
      <c r="I135" s="12"/>
      <c r="J135" s="12"/>
    </row>
    <row r="136" spans="1:20" x14ac:dyDescent="0.25">
      <c r="A136" s="12"/>
      <c r="B136" s="177" t="s">
        <v>539</v>
      </c>
      <c r="C136" s="12"/>
      <c r="D136" s="12"/>
      <c r="E136" s="12"/>
      <c r="F136" s="12"/>
      <c r="G136" s="12"/>
      <c r="H136" s="12"/>
      <c r="I136" s="12"/>
      <c r="J136" s="12"/>
    </row>
    <row r="137" spans="1:20" x14ac:dyDescent="0.25">
      <c r="A137" s="12"/>
      <c r="B137" s="12"/>
      <c r="C137" s="12"/>
      <c r="D137" s="12"/>
      <c r="E137" s="12"/>
      <c r="F137" s="12"/>
      <c r="G137" s="12"/>
      <c r="H137" s="12"/>
      <c r="I137" s="12"/>
      <c r="J137" s="12"/>
    </row>
    <row r="138" spans="1:20" x14ac:dyDescent="0.25">
      <c r="L138" s="287" t="s">
        <v>0</v>
      </c>
      <c r="M138" s="287" t="s">
        <v>458</v>
      </c>
    </row>
    <row r="139" spans="1:20" x14ac:dyDescent="0.25">
      <c r="A139" s="70" t="s">
        <v>0</v>
      </c>
      <c r="N139" s="332"/>
    </row>
    <row r="141" spans="1:20" x14ac:dyDescent="0.25">
      <c r="M141" s="287" t="s">
        <v>459</v>
      </c>
      <c r="N141" s="333">
        <f>N109/O109*D127</f>
        <v>1.1071428571428572</v>
      </c>
      <c r="P141" s="287" t="s">
        <v>460</v>
      </c>
    </row>
    <row r="142" spans="1:20" x14ac:dyDescent="0.25">
      <c r="M142" s="287" t="s">
        <v>461</v>
      </c>
      <c r="N142" s="333">
        <f>1+SUM(N105:N108)-SUM(O105:O108)</f>
        <v>1.0766666666666667</v>
      </c>
      <c r="P142" s="334" t="s">
        <v>194</v>
      </c>
      <c r="Q142" s="335" t="s">
        <v>462</v>
      </c>
      <c r="R142" s="335" t="s">
        <v>357</v>
      </c>
      <c r="S142" s="335" t="s">
        <v>463</v>
      </c>
      <c r="T142" s="335" t="s">
        <v>464</v>
      </c>
    </row>
    <row r="143" spans="1:20" x14ac:dyDescent="0.25">
      <c r="M143" s="287" t="s">
        <v>465</v>
      </c>
      <c r="N143" s="333">
        <v>1</v>
      </c>
      <c r="O143" s="336"/>
      <c r="P143" s="334" t="s">
        <v>466</v>
      </c>
      <c r="Q143" s="337">
        <v>1.5</v>
      </c>
      <c r="R143" s="337">
        <f>D76/C76</f>
        <v>1.1428571428571428</v>
      </c>
      <c r="S143" s="337">
        <f>Q143*R143/($C$40/$C$39)</f>
        <v>2.2119815668202762</v>
      </c>
      <c r="T143" s="338">
        <f>S143*S$145+Q143*Q$145</f>
        <v>1.8559907834101381</v>
      </c>
    </row>
    <row r="144" spans="1:20" x14ac:dyDescent="0.25">
      <c r="M144" s="287" t="s">
        <v>467</v>
      </c>
      <c r="N144" s="333">
        <v>1</v>
      </c>
      <c r="O144" s="339"/>
      <c r="S144" s="287" t="s">
        <v>468</v>
      </c>
    </row>
    <row r="145" spans="1:27" x14ac:dyDescent="0.25">
      <c r="M145" s="287" t="s">
        <v>469</v>
      </c>
      <c r="N145" s="333">
        <v>1</v>
      </c>
      <c r="O145" s="339"/>
      <c r="P145" s="287" t="s">
        <v>470</v>
      </c>
      <c r="Q145" s="340">
        <v>0.5</v>
      </c>
      <c r="S145" s="340">
        <v>0.5</v>
      </c>
    </row>
    <row r="146" spans="1:27" x14ac:dyDescent="0.25">
      <c r="M146" s="287" t="s">
        <v>471</v>
      </c>
      <c r="N146" s="333">
        <f>T143/Q143</f>
        <v>1.2373271889400921</v>
      </c>
      <c r="O146" s="339"/>
      <c r="Q146" s="340"/>
      <c r="R146" s="340"/>
    </row>
    <row r="147" spans="1:27" x14ac:dyDescent="0.25">
      <c r="M147" s="287" t="s">
        <v>472</v>
      </c>
      <c r="N147" s="333">
        <f>U150/R150</f>
        <v>1.0253456221198156</v>
      </c>
      <c r="O147" s="339"/>
      <c r="Q147" s="340"/>
      <c r="R147" s="340"/>
    </row>
    <row r="148" spans="1:27" x14ac:dyDescent="0.25">
      <c r="O148" s="341"/>
      <c r="P148" s="287" t="s">
        <v>473</v>
      </c>
    </row>
    <row r="149" spans="1:27" x14ac:dyDescent="0.25">
      <c r="M149" s="287" t="s">
        <v>474</v>
      </c>
      <c r="N149" s="342">
        <f>PRODUCT(N141:N147)-1</f>
        <v>0.51230632229850448</v>
      </c>
      <c r="P149" s="318" t="s">
        <v>195</v>
      </c>
      <c r="Q149" s="337" t="s">
        <v>196</v>
      </c>
      <c r="R149" s="335" t="s">
        <v>462</v>
      </c>
      <c r="S149" s="335" t="s">
        <v>357</v>
      </c>
      <c r="T149" s="335" t="s">
        <v>463</v>
      </c>
      <c r="U149" s="335" t="s">
        <v>464</v>
      </c>
    </row>
    <row r="150" spans="1:27" x14ac:dyDescent="0.25">
      <c r="A150" s="180" t="s">
        <v>25</v>
      </c>
      <c r="B150" s="12"/>
      <c r="C150" s="12"/>
      <c r="D150" s="12"/>
      <c r="E150" s="12"/>
      <c r="F150" s="12"/>
      <c r="G150" s="12"/>
      <c r="H150" s="12"/>
      <c r="I150" s="12"/>
      <c r="J150" s="12"/>
      <c r="P150" s="337" t="s">
        <v>200</v>
      </c>
      <c r="Q150" s="337" t="s">
        <v>200</v>
      </c>
      <c r="R150" s="337">
        <f>G31</f>
        <v>0.75</v>
      </c>
      <c r="S150" s="337">
        <f>E84/D84</f>
        <v>0.81428571428571428</v>
      </c>
      <c r="T150" s="343">
        <f>R150*S150/0.775</f>
        <v>0.78801843317972353</v>
      </c>
      <c r="U150" s="344">
        <f>T150*T$152+R150*R$152</f>
        <v>0.76900921658986177</v>
      </c>
    </row>
    <row r="152" spans="1:27" x14ac:dyDescent="0.25">
      <c r="A152" s="181" t="s">
        <v>2</v>
      </c>
      <c r="B152" s="181"/>
      <c r="C152" s="181"/>
      <c r="D152" s="181"/>
      <c r="E152" s="181"/>
      <c r="F152" s="181"/>
      <c r="G152" s="181"/>
      <c r="H152" s="181"/>
      <c r="I152" s="181"/>
      <c r="J152" s="181"/>
      <c r="P152" s="287" t="s">
        <v>470</v>
      </c>
      <c r="R152" s="340">
        <f>Q145</f>
        <v>0.5</v>
      </c>
      <c r="T152" s="340">
        <f>S145</f>
        <v>0.5</v>
      </c>
    </row>
    <row r="155" spans="1:27" x14ac:dyDescent="0.25">
      <c r="Z155" s="324"/>
      <c r="AA155" s="324"/>
    </row>
    <row r="156" spans="1:27" x14ac:dyDescent="0.25">
      <c r="Y156" s="324"/>
      <c r="Z156" s="324"/>
      <c r="AA156" s="324"/>
    </row>
    <row r="157" spans="1:27" x14ac:dyDescent="0.25">
      <c r="Y157" s="324"/>
      <c r="Z157" s="324"/>
      <c r="AA157" s="324"/>
    </row>
    <row r="158" spans="1:27" x14ac:dyDescent="0.25">
      <c r="X158" s="324"/>
      <c r="Y158" s="324"/>
      <c r="Z158" s="324"/>
      <c r="AA158" s="324"/>
    </row>
    <row r="159" spans="1:27" x14ac:dyDescent="0.25">
      <c r="X159" s="324"/>
      <c r="Y159" s="324"/>
      <c r="Z159" s="324"/>
      <c r="AA159" s="324"/>
    </row>
    <row r="160" spans="1:27" x14ac:dyDescent="0.25">
      <c r="X160" s="324"/>
      <c r="Y160" s="324"/>
      <c r="Z160" s="324"/>
      <c r="AA160" s="324"/>
    </row>
    <row r="161" spans="18:27" x14ac:dyDescent="0.25">
      <c r="X161" s="324"/>
      <c r="Y161" s="324"/>
      <c r="Z161" s="324"/>
      <c r="AA161" s="324"/>
    </row>
    <row r="162" spans="18:27" x14ac:dyDescent="0.25">
      <c r="X162" s="324"/>
      <c r="Y162" s="324"/>
      <c r="Z162" s="324"/>
      <c r="AA162" s="324"/>
    </row>
    <row r="163" spans="18:27" x14ac:dyDescent="0.25">
      <c r="X163" s="324"/>
      <c r="Y163" s="324"/>
      <c r="Z163" s="324"/>
      <c r="AA163" s="324"/>
    </row>
    <row r="164" spans="18:27" x14ac:dyDescent="0.25">
      <c r="X164" s="324"/>
      <c r="Y164" s="324"/>
      <c r="Z164" s="324"/>
      <c r="AA164" s="324"/>
    </row>
    <row r="165" spans="18:27" x14ac:dyDescent="0.25">
      <c r="X165" s="324"/>
      <c r="Y165" s="324"/>
      <c r="Z165" s="324"/>
      <c r="AA165" s="324"/>
    </row>
    <row r="166" spans="18:27" x14ac:dyDescent="0.25">
      <c r="X166" s="324"/>
      <c r="Y166" s="324"/>
      <c r="Z166" s="324"/>
      <c r="AA166" s="324"/>
    </row>
    <row r="167" spans="18:27" x14ac:dyDescent="0.25">
      <c r="X167" s="324"/>
      <c r="Y167" s="324"/>
      <c r="Z167" s="324"/>
      <c r="AA167" s="324"/>
    </row>
    <row r="172" spans="18:27" x14ac:dyDescent="0.25">
      <c r="R172" s="340"/>
      <c r="T172" s="340"/>
    </row>
    <row r="173" spans="18:27" x14ac:dyDescent="0.25">
      <c r="R173" s="340"/>
      <c r="T173" s="340"/>
    </row>
    <row r="174" spans="18:27" x14ac:dyDescent="0.25">
      <c r="R174" s="340"/>
      <c r="T174" s="340"/>
    </row>
    <row r="175" spans="18:27" x14ac:dyDescent="0.25">
      <c r="R175" s="340"/>
      <c r="T175" s="340"/>
    </row>
  </sheetData>
  <mergeCells count="13">
    <mergeCell ref="Q109:S109"/>
    <mergeCell ref="B116:C116"/>
    <mergeCell ref="Q103:S103"/>
    <mergeCell ref="Q104:S104"/>
    <mergeCell ref="Q105:S105"/>
    <mergeCell ref="Q106:S107"/>
    <mergeCell ref="Q108:S108"/>
    <mergeCell ref="B79:E79"/>
    <mergeCell ref="B38:C38"/>
    <mergeCell ref="B46:D46"/>
    <mergeCell ref="B54:D54"/>
    <mergeCell ref="B63:D63"/>
    <mergeCell ref="B71:D7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8ADC-7F81-E446-B944-878C95ACEDCA}">
  <dimension ref="A1:X142"/>
  <sheetViews>
    <sheetView zoomScaleNormal="100" workbookViewId="0"/>
  </sheetViews>
  <sheetFormatPr defaultColWidth="11.44140625" defaultRowHeight="13.8" x14ac:dyDescent="0.25"/>
  <cols>
    <col min="1" max="1" width="9.109375" style="70" customWidth="1"/>
    <col min="2" max="2" width="49.33203125" style="70" customWidth="1"/>
    <col min="3" max="5" width="13.33203125" style="70" customWidth="1"/>
    <col min="6" max="10" width="11.44140625" style="70"/>
    <col min="11" max="11" width="2.33203125" style="165" customWidth="1"/>
    <col min="12" max="12" width="11.44140625" style="70"/>
    <col min="13" max="13" width="58" style="70" customWidth="1"/>
    <col min="14" max="16" width="14.109375" style="70" customWidth="1"/>
    <col min="17" max="16384" width="11.44140625" style="70"/>
  </cols>
  <sheetData>
    <row r="1" spans="1:13" x14ac:dyDescent="0.25">
      <c r="A1" s="164" t="s">
        <v>9</v>
      </c>
      <c r="B1" s="164"/>
      <c r="C1" s="12"/>
      <c r="D1" s="12"/>
      <c r="E1" s="12"/>
      <c r="F1" s="12"/>
      <c r="G1" s="12"/>
      <c r="H1" s="12"/>
      <c r="I1" s="12"/>
      <c r="J1" s="12"/>
      <c r="L1" s="70" t="s">
        <v>0</v>
      </c>
    </row>
    <row r="2" spans="1:13" x14ac:dyDescent="0.25">
      <c r="A2" s="12" t="s">
        <v>3</v>
      </c>
      <c r="B2" s="12"/>
      <c r="C2" s="12"/>
      <c r="D2" s="12"/>
      <c r="E2" s="12"/>
      <c r="F2" s="12"/>
      <c r="G2" s="12"/>
      <c r="H2" s="12"/>
      <c r="I2" s="12"/>
      <c r="J2" s="12"/>
    </row>
    <row r="4" spans="1:13" x14ac:dyDescent="0.25">
      <c r="A4" s="345" t="s">
        <v>135</v>
      </c>
      <c r="B4" s="345"/>
      <c r="C4" s="12"/>
      <c r="D4" s="12"/>
      <c r="E4" s="12"/>
      <c r="F4" s="12"/>
      <c r="G4" s="12"/>
      <c r="H4" s="12"/>
      <c r="I4" s="12"/>
      <c r="J4" s="12"/>
    </row>
    <row r="6" spans="1:13" ht="15.75" customHeight="1" x14ac:dyDescent="0.25">
      <c r="A6" s="12" t="s">
        <v>231</v>
      </c>
      <c r="B6" s="12"/>
      <c r="C6" s="12"/>
      <c r="D6" s="12"/>
      <c r="E6" s="12"/>
      <c r="F6" s="12"/>
      <c r="G6" s="12"/>
      <c r="H6" s="12"/>
      <c r="I6" s="12"/>
      <c r="J6" s="12"/>
    </row>
    <row r="7" spans="1:13" ht="15.75" customHeight="1" x14ac:dyDescent="0.25">
      <c r="A7" s="12"/>
      <c r="B7" s="12"/>
      <c r="C7" s="12"/>
      <c r="D7" s="12"/>
      <c r="E7" s="12"/>
      <c r="F7" s="12"/>
      <c r="G7" s="12"/>
      <c r="H7" s="12"/>
      <c r="I7" s="12"/>
      <c r="J7" s="12"/>
    </row>
    <row r="8" spans="1:13" ht="27.6" x14ac:dyDescent="0.25">
      <c r="A8" s="12"/>
      <c r="B8" s="43"/>
      <c r="C8" s="44" t="s">
        <v>238</v>
      </c>
      <c r="D8" s="44" t="s">
        <v>239</v>
      </c>
      <c r="E8" s="44" t="s">
        <v>240</v>
      </c>
      <c r="F8" s="12"/>
      <c r="G8" s="12"/>
      <c r="H8" s="12"/>
      <c r="I8" s="12"/>
      <c r="J8" s="12"/>
    </row>
    <row r="9" spans="1:13" ht="15.75" customHeight="1" x14ac:dyDescent="0.25">
      <c r="A9" s="12"/>
      <c r="B9" s="43" t="s">
        <v>241</v>
      </c>
      <c r="C9" s="56">
        <v>300</v>
      </c>
      <c r="D9" s="56">
        <v>315</v>
      </c>
      <c r="E9" s="56">
        <v>340</v>
      </c>
      <c r="F9" s="12"/>
      <c r="G9" s="12"/>
      <c r="H9" s="12"/>
      <c r="I9" s="12"/>
      <c r="J9" s="12"/>
    </row>
    <row r="10" spans="1:13" ht="15.75" customHeight="1" x14ac:dyDescent="0.25">
      <c r="A10" s="12"/>
      <c r="B10" s="43" t="s">
        <v>242</v>
      </c>
      <c r="C10" s="346">
        <v>5201</v>
      </c>
      <c r="D10" s="346">
        <v>5400</v>
      </c>
      <c r="E10" s="346">
        <v>5320</v>
      </c>
      <c r="F10" s="12"/>
      <c r="G10" s="12"/>
      <c r="H10" s="12"/>
      <c r="I10" s="12"/>
      <c r="J10" s="12"/>
    </row>
    <row r="11" spans="1:13" x14ac:dyDescent="0.25">
      <c r="A11" s="12"/>
      <c r="B11" s="43" t="s">
        <v>243</v>
      </c>
      <c r="C11" s="56">
        <v>15152</v>
      </c>
      <c r="D11" s="56">
        <v>15914</v>
      </c>
      <c r="E11" s="56">
        <v>18817</v>
      </c>
      <c r="F11" s="12"/>
      <c r="G11" s="12"/>
      <c r="H11" s="12"/>
      <c r="I11" s="12"/>
      <c r="J11" s="12"/>
    </row>
    <row r="12" spans="1:13" x14ac:dyDescent="0.25">
      <c r="A12" s="12"/>
      <c r="B12" s="43" t="s">
        <v>244</v>
      </c>
      <c r="C12" s="56">
        <v>165</v>
      </c>
      <c r="D12" s="56">
        <v>816</v>
      </c>
      <c r="E12" s="56">
        <v>1711</v>
      </c>
      <c r="F12" s="12"/>
      <c r="G12" s="12"/>
      <c r="H12" s="12"/>
      <c r="I12" s="12"/>
      <c r="J12" s="12"/>
    </row>
    <row r="13" spans="1:13" x14ac:dyDescent="0.25">
      <c r="A13" s="12"/>
      <c r="B13" s="43" t="s">
        <v>245</v>
      </c>
      <c r="C13" s="56">
        <v>1311</v>
      </c>
      <c r="D13" s="56">
        <v>1411</v>
      </c>
      <c r="E13" s="56">
        <v>1555</v>
      </c>
      <c r="F13" s="12"/>
      <c r="G13" s="12"/>
      <c r="H13" s="12"/>
      <c r="I13" s="12"/>
      <c r="J13" s="12"/>
    </row>
    <row r="14" spans="1:13" x14ac:dyDescent="0.25">
      <c r="A14" s="12"/>
      <c r="B14" s="43" t="s">
        <v>246</v>
      </c>
      <c r="C14" s="56">
        <v>564</v>
      </c>
      <c r="D14" s="56">
        <v>680</v>
      </c>
      <c r="E14" s="56">
        <v>962</v>
      </c>
      <c r="F14" s="12"/>
      <c r="G14" s="12"/>
      <c r="H14" s="12"/>
      <c r="I14" s="12"/>
      <c r="J14" s="12"/>
    </row>
    <row r="15" spans="1:13" x14ac:dyDescent="0.25">
      <c r="A15" s="12"/>
      <c r="B15" s="43" t="s">
        <v>232</v>
      </c>
      <c r="C15" s="46">
        <v>7.1428571428571425E-2</v>
      </c>
      <c r="D15" s="46">
        <v>0.2857142857142857</v>
      </c>
      <c r="E15" s="46">
        <v>0.6428571428571429</v>
      </c>
      <c r="F15" s="12"/>
      <c r="G15" s="12"/>
      <c r="H15" s="12"/>
      <c r="I15" s="12"/>
      <c r="J15" s="12"/>
      <c r="M15" s="353"/>
    </row>
    <row r="16" spans="1:13" x14ac:dyDescent="0.25">
      <c r="A16" s="12"/>
      <c r="B16" s="43" t="s">
        <v>241</v>
      </c>
      <c r="C16" s="56">
        <v>300</v>
      </c>
      <c r="D16" s="56">
        <v>315</v>
      </c>
      <c r="E16" s="56">
        <v>340</v>
      </c>
      <c r="F16" s="12"/>
      <c r="G16" s="12"/>
      <c r="H16" s="12"/>
      <c r="I16" s="12"/>
      <c r="J16" s="12"/>
    </row>
    <row r="17" spans="1:17" x14ac:dyDescent="0.25">
      <c r="A17" s="12"/>
      <c r="B17" s="12"/>
      <c r="C17" s="12"/>
      <c r="D17" s="12"/>
      <c r="E17" s="12"/>
      <c r="F17" s="12"/>
      <c r="G17" s="12"/>
      <c r="H17" s="12"/>
      <c r="I17" s="12"/>
      <c r="J17" s="12"/>
    </row>
    <row r="18" spans="1:17" ht="27.6" x14ac:dyDescent="0.25">
      <c r="A18" s="12"/>
      <c r="B18" s="44" t="s">
        <v>166</v>
      </c>
      <c r="C18" s="44" t="s">
        <v>247</v>
      </c>
      <c r="D18" s="12"/>
      <c r="E18" s="12"/>
      <c r="F18" s="12"/>
      <c r="G18" s="12"/>
      <c r="H18" s="12"/>
      <c r="I18" s="12"/>
      <c r="J18" s="12"/>
    </row>
    <row r="19" spans="1:17" x14ac:dyDescent="0.25">
      <c r="A19" s="12"/>
      <c r="B19" s="43" t="s">
        <v>248</v>
      </c>
      <c r="C19" s="347">
        <v>0.05</v>
      </c>
      <c r="D19" s="12"/>
      <c r="E19" s="12"/>
      <c r="F19" s="12"/>
      <c r="G19" s="12"/>
      <c r="H19" s="12"/>
      <c r="I19" s="12"/>
      <c r="J19" s="12"/>
    </row>
    <row r="20" spans="1:17" x14ac:dyDescent="0.25">
      <c r="A20" s="12"/>
      <c r="B20" s="43" t="s">
        <v>168</v>
      </c>
      <c r="C20" s="347">
        <v>0.04</v>
      </c>
      <c r="D20" s="12"/>
      <c r="E20" s="12"/>
      <c r="F20" s="12"/>
      <c r="G20" s="12"/>
      <c r="H20" s="12"/>
      <c r="I20" s="12"/>
      <c r="J20" s="12"/>
    </row>
    <row r="21" spans="1:17" x14ac:dyDescent="0.25">
      <c r="A21" s="12"/>
      <c r="B21" s="43" t="s">
        <v>172</v>
      </c>
      <c r="C21" s="347">
        <v>0.02</v>
      </c>
      <c r="D21" s="12"/>
      <c r="E21" s="12"/>
      <c r="F21" s="12"/>
      <c r="G21" s="12"/>
      <c r="H21" s="12"/>
      <c r="I21" s="12"/>
      <c r="J21" s="12"/>
    </row>
    <row r="22" spans="1:17" x14ac:dyDescent="0.25">
      <c r="A22" s="12"/>
      <c r="B22" s="43" t="s">
        <v>174</v>
      </c>
      <c r="C22" s="347">
        <v>0.03</v>
      </c>
      <c r="D22" s="12"/>
      <c r="E22" s="12"/>
      <c r="F22" s="12"/>
      <c r="G22" s="12"/>
      <c r="H22" s="12"/>
      <c r="I22" s="12"/>
      <c r="J22" s="12"/>
    </row>
    <row r="23" spans="1:17" x14ac:dyDescent="0.25">
      <c r="A23" s="12"/>
      <c r="B23" s="12"/>
      <c r="C23" s="12"/>
      <c r="D23" s="12"/>
      <c r="E23" s="12"/>
      <c r="F23" s="12"/>
      <c r="G23" s="12"/>
      <c r="H23" s="12"/>
      <c r="I23" s="12"/>
      <c r="J23" s="12"/>
    </row>
    <row r="24" spans="1:17" ht="27.6" x14ac:dyDescent="0.25">
      <c r="A24" s="12"/>
      <c r="B24" s="43" t="s">
        <v>249</v>
      </c>
      <c r="C24" s="347">
        <v>0.05</v>
      </c>
      <c r="D24" s="12"/>
      <c r="E24" s="12"/>
      <c r="F24" s="12"/>
      <c r="G24" s="12"/>
      <c r="H24" s="12"/>
      <c r="I24" s="12"/>
      <c r="J24" s="12"/>
      <c r="M24" s="70" t="s">
        <v>642</v>
      </c>
      <c r="N24" s="101" t="s">
        <v>238</v>
      </c>
      <c r="O24" s="101" t="s">
        <v>239</v>
      </c>
      <c r="P24" s="101" t="s">
        <v>240</v>
      </c>
    </row>
    <row r="25" spans="1:17" ht="27.6" x14ac:dyDescent="0.25">
      <c r="A25" s="12"/>
      <c r="B25" s="43" t="s">
        <v>250</v>
      </c>
      <c r="C25" s="44">
        <v>0</v>
      </c>
      <c r="D25" s="12"/>
      <c r="E25" s="12"/>
      <c r="F25" s="12"/>
      <c r="G25" s="12"/>
      <c r="H25" s="12"/>
      <c r="I25" s="12"/>
      <c r="J25" s="12"/>
      <c r="N25" s="101" t="s">
        <v>541</v>
      </c>
      <c r="O25" s="101" t="s">
        <v>542</v>
      </c>
      <c r="P25" s="101" t="s">
        <v>543</v>
      </c>
    </row>
    <row r="26" spans="1:17" ht="27.6" x14ac:dyDescent="0.25">
      <c r="A26" s="12"/>
      <c r="B26" s="43" t="s">
        <v>251</v>
      </c>
      <c r="C26" s="56">
        <v>375</v>
      </c>
      <c r="D26" s="12"/>
      <c r="E26" s="12"/>
      <c r="F26" s="12"/>
      <c r="G26" s="12"/>
      <c r="H26" s="12"/>
      <c r="I26" s="12"/>
      <c r="J26" s="12"/>
      <c r="M26" s="70" t="s">
        <v>241</v>
      </c>
      <c r="N26" s="169">
        <v>300</v>
      </c>
      <c r="O26" s="169">
        <v>315</v>
      </c>
      <c r="P26" s="169">
        <v>340</v>
      </c>
    </row>
    <row r="27" spans="1:17" ht="27.6" x14ac:dyDescent="0.25">
      <c r="A27" s="12"/>
      <c r="B27" s="43" t="s">
        <v>252</v>
      </c>
      <c r="C27" s="348">
        <v>30</v>
      </c>
      <c r="D27" s="12"/>
      <c r="E27" s="12"/>
      <c r="F27" s="12"/>
      <c r="G27" s="12"/>
      <c r="H27" s="12"/>
      <c r="I27" s="12"/>
      <c r="J27" s="12"/>
      <c r="M27" s="70" t="s">
        <v>242</v>
      </c>
      <c r="N27" s="201">
        <v>5201</v>
      </c>
      <c r="O27" s="201">
        <v>5400</v>
      </c>
      <c r="P27" s="201">
        <v>5320</v>
      </c>
      <c r="Q27" s="169"/>
    </row>
    <row r="28" spans="1:17" ht="27.6" x14ac:dyDescent="0.25">
      <c r="A28" s="12"/>
      <c r="B28" s="43" t="s">
        <v>253</v>
      </c>
      <c r="C28" s="348">
        <v>32</v>
      </c>
      <c r="D28" s="12"/>
      <c r="E28" s="12"/>
      <c r="F28" s="12"/>
      <c r="G28" s="12"/>
      <c r="H28" s="12"/>
      <c r="I28" s="12"/>
      <c r="J28" s="12"/>
      <c r="M28" s="70" t="s">
        <v>544</v>
      </c>
      <c r="N28" s="169">
        <f>N26*N27*12/1000</f>
        <v>18723.599999999999</v>
      </c>
      <c r="O28" s="169">
        <f t="shared" ref="O28:P28" si="0">O26*O27*12/1000</f>
        <v>20412</v>
      </c>
      <c r="P28" s="169">
        <f t="shared" si="0"/>
        <v>21705.599999999999</v>
      </c>
    </row>
    <row r="29" spans="1:17" ht="27.6" x14ac:dyDescent="0.25">
      <c r="A29" s="12"/>
      <c r="B29" s="43" t="s">
        <v>254</v>
      </c>
      <c r="C29" s="346">
        <v>5400</v>
      </c>
      <c r="D29" s="12"/>
      <c r="E29" s="12"/>
      <c r="F29" s="12"/>
      <c r="G29" s="12"/>
      <c r="H29" s="12"/>
      <c r="I29" s="12"/>
      <c r="J29" s="12"/>
      <c r="M29" s="70" t="s">
        <v>243</v>
      </c>
      <c r="N29" s="169">
        <v>15152</v>
      </c>
      <c r="O29" s="169">
        <v>15914</v>
      </c>
      <c r="P29" s="169">
        <v>18817</v>
      </c>
    </row>
    <row r="30" spans="1:17" x14ac:dyDescent="0.25">
      <c r="A30" s="12"/>
      <c r="B30" s="12"/>
      <c r="C30" s="12"/>
      <c r="D30" s="12"/>
      <c r="E30" s="12"/>
      <c r="F30" s="12"/>
      <c r="G30" s="12"/>
      <c r="H30" s="12"/>
      <c r="I30" s="12"/>
      <c r="J30" s="12"/>
      <c r="M30" s="70" t="s">
        <v>244</v>
      </c>
      <c r="N30" s="169">
        <v>165</v>
      </c>
      <c r="O30" s="169">
        <v>816</v>
      </c>
      <c r="P30" s="169">
        <v>1711</v>
      </c>
    </row>
    <row r="31" spans="1:17" x14ac:dyDescent="0.25">
      <c r="A31" s="12" t="s">
        <v>260</v>
      </c>
      <c r="B31" s="184"/>
      <c r="C31" s="12"/>
      <c r="D31" s="12"/>
      <c r="E31" s="12"/>
      <c r="F31" s="12"/>
      <c r="G31" s="12"/>
      <c r="H31" s="12"/>
      <c r="I31" s="12"/>
      <c r="J31" s="12"/>
      <c r="M31" s="70" t="s">
        <v>245</v>
      </c>
      <c r="N31" s="169">
        <v>1311</v>
      </c>
      <c r="O31" s="169">
        <v>1411</v>
      </c>
      <c r="P31" s="169">
        <v>1555</v>
      </c>
    </row>
    <row r="32" spans="1:17" x14ac:dyDescent="0.25">
      <c r="A32" s="12"/>
      <c r="B32" s="12" t="s">
        <v>259</v>
      </c>
      <c r="C32" s="12"/>
      <c r="D32" s="12"/>
      <c r="E32" s="12"/>
      <c r="F32" s="12"/>
      <c r="G32" s="12"/>
      <c r="H32" s="12"/>
      <c r="I32" s="12"/>
      <c r="J32" s="12"/>
      <c r="M32" s="70" t="s">
        <v>246</v>
      </c>
      <c r="N32" s="169">
        <v>564</v>
      </c>
      <c r="O32" s="169">
        <v>680</v>
      </c>
      <c r="P32" s="169">
        <v>962</v>
      </c>
    </row>
    <row r="33" spans="1:20" x14ac:dyDescent="0.25">
      <c r="A33" s="12"/>
      <c r="B33" s="177" t="s">
        <v>255</v>
      </c>
      <c r="C33" s="177"/>
      <c r="D33" s="12"/>
      <c r="E33" s="12"/>
      <c r="F33" s="12"/>
      <c r="G33" s="12"/>
      <c r="H33" s="12"/>
      <c r="I33" s="12"/>
      <c r="J33" s="12"/>
      <c r="M33" s="70" t="s">
        <v>232</v>
      </c>
      <c r="N33" s="203">
        <v>7.1428571428571425E-2</v>
      </c>
      <c r="O33" s="203">
        <v>0.2857142857142857</v>
      </c>
      <c r="P33" s="204">
        <v>0.6428571428571429</v>
      </c>
    </row>
    <row r="34" spans="1:20" x14ac:dyDescent="0.25">
      <c r="A34" s="12"/>
      <c r="B34" s="177" t="s">
        <v>256</v>
      </c>
      <c r="C34" s="177"/>
      <c r="D34" s="12"/>
      <c r="E34" s="12"/>
      <c r="F34" s="12"/>
      <c r="G34" s="12"/>
      <c r="H34" s="12"/>
      <c r="I34" s="12"/>
      <c r="J34" s="12"/>
      <c r="N34" s="203"/>
      <c r="O34" s="203"/>
      <c r="P34" s="204"/>
    </row>
    <row r="35" spans="1:20" x14ac:dyDescent="0.25">
      <c r="A35" s="12"/>
      <c r="B35" s="197" t="s">
        <v>17</v>
      </c>
      <c r="C35" s="177"/>
      <c r="D35" s="12"/>
      <c r="E35" s="12"/>
      <c r="F35" s="12"/>
      <c r="G35" s="12"/>
      <c r="H35" s="12"/>
      <c r="I35" s="12"/>
      <c r="J35" s="12"/>
      <c r="M35" s="70" t="s">
        <v>545</v>
      </c>
    </row>
    <row r="36" spans="1:20" x14ac:dyDescent="0.25">
      <c r="A36" s="12"/>
      <c r="B36" s="177"/>
      <c r="C36" s="177"/>
      <c r="D36" s="12"/>
      <c r="E36" s="12"/>
      <c r="F36" s="12"/>
      <c r="G36" s="12"/>
      <c r="H36" s="12"/>
      <c r="I36" s="12"/>
      <c r="J36" s="12"/>
      <c r="M36" s="70" t="s">
        <v>546</v>
      </c>
    </row>
    <row r="37" spans="1:20" x14ac:dyDescent="0.25">
      <c r="M37" s="70" t="s">
        <v>547</v>
      </c>
    </row>
    <row r="38" spans="1:20" x14ac:dyDescent="0.25">
      <c r="A38" s="70" t="s">
        <v>0</v>
      </c>
      <c r="M38" s="205"/>
    </row>
    <row r="39" spans="1:20" ht="41.4" x14ac:dyDescent="0.25">
      <c r="A39" s="70" t="s">
        <v>350</v>
      </c>
      <c r="L39" s="70" t="s">
        <v>548</v>
      </c>
      <c r="O39" s="101" t="s">
        <v>238</v>
      </c>
      <c r="P39" s="101" t="s">
        <v>239</v>
      </c>
      <c r="Q39" s="101" t="s">
        <v>240</v>
      </c>
    </row>
    <row r="40" spans="1:20" ht="41.4" x14ac:dyDescent="0.25">
      <c r="M40" s="205"/>
      <c r="N40" s="206" t="s">
        <v>549</v>
      </c>
      <c r="O40" s="206" t="s">
        <v>541</v>
      </c>
      <c r="P40" s="206" t="s">
        <v>542</v>
      </c>
      <c r="Q40" s="206" t="s">
        <v>543</v>
      </c>
      <c r="R40" s="205" t="s">
        <v>550</v>
      </c>
      <c r="T40" s="101"/>
    </row>
    <row r="41" spans="1:20" x14ac:dyDescent="0.25">
      <c r="M41" s="70" t="s">
        <v>551</v>
      </c>
      <c r="O41" s="201">
        <f>N28</f>
        <v>18723.599999999999</v>
      </c>
      <c r="P41" s="201">
        <f t="shared" ref="P41:Q41" si="1">O28</f>
        <v>20412</v>
      </c>
      <c r="Q41" s="201">
        <f t="shared" si="1"/>
        <v>21705.599999999999</v>
      </c>
      <c r="R41" s="201">
        <f>SUM(O41:Q41)</f>
        <v>60841.2</v>
      </c>
      <c r="T41" s="201"/>
    </row>
    <row r="42" spans="1:20" x14ac:dyDescent="0.25">
      <c r="M42" s="70" t="s">
        <v>552</v>
      </c>
      <c r="O42" s="169">
        <f>-1*N31</f>
        <v>-1311</v>
      </c>
      <c r="P42" s="169">
        <f t="shared" ref="P42:Q42" si="2">-1*O31</f>
        <v>-1411</v>
      </c>
      <c r="Q42" s="169">
        <f t="shared" si="2"/>
        <v>-1555</v>
      </c>
      <c r="R42" s="201">
        <f t="shared" ref="R42:R54" si="3">SUM(O42:Q42)</f>
        <v>-4277</v>
      </c>
      <c r="T42" s="201"/>
    </row>
    <row r="43" spans="1:20" x14ac:dyDescent="0.25">
      <c r="A43" s="70" t="s">
        <v>351</v>
      </c>
      <c r="M43" s="207" t="s">
        <v>553</v>
      </c>
      <c r="N43" s="208"/>
      <c r="O43" s="209">
        <f>SUM(O41:O42)</f>
        <v>17412.599999999999</v>
      </c>
      <c r="P43" s="209">
        <f t="shared" ref="P43:Q43" si="4">SUM(P41:P42)</f>
        <v>19001</v>
      </c>
      <c r="Q43" s="209">
        <f t="shared" si="4"/>
        <v>20150.599999999999</v>
      </c>
      <c r="R43" s="210">
        <f t="shared" si="3"/>
        <v>56564.2</v>
      </c>
      <c r="T43" s="201"/>
    </row>
    <row r="44" spans="1:20" x14ac:dyDescent="0.25">
      <c r="M44" s="70" t="s">
        <v>554</v>
      </c>
      <c r="N44" s="221">
        <v>0.05</v>
      </c>
      <c r="O44" s="211">
        <f t="shared" ref="O44:Q47" si="5">-O$41*$N44</f>
        <v>-936.18</v>
      </c>
      <c r="P44" s="211">
        <f t="shared" si="5"/>
        <v>-1020.6</v>
      </c>
      <c r="Q44" s="211">
        <f t="shared" si="5"/>
        <v>-1085.28</v>
      </c>
      <c r="R44" s="201">
        <f t="shared" si="3"/>
        <v>-3042.06</v>
      </c>
      <c r="T44" s="379"/>
    </row>
    <row r="45" spans="1:20" x14ac:dyDescent="0.25">
      <c r="M45" s="70" t="s">
        <v>555</v>
      </c>
      <c r="N45" s="221">
        <v>0.04</v>
      </c>
      <c r="O45" s="211">
        <f t="shared" si="5"/>
        <v>-748.94399999999996</v>
      </c>
      <c r="P45" s="211">
        <f t="shared" si="5"/>
        <v>-816.48</v>
      </c>
      <c r="Q45" s="211">
        <f t="shared" si="5"/>
        <v>-868.22399999999993</v>
      </c>
      <c r="R45" s="201">
        <f t="shared" si="3"/>
        <v>-2433.6480000000001</v>
      </c>
      <c r="T45" s="379"/>
    </row>
    <row r="46" spans="1:20" x14ac:dyDescent="0.25">
      <c r="M46" s="70" t="s">
        <v>556</v>
      </c>
      <c r="N46" s="221">
        <v>0.02</v>
      </c>
      <c r="O46" s="211">
        <f t="shared" si="5"/>
        <v>-374.47199999999998</v>
      </c>
      <c r="P46" s="211">
        <f t="shared" si="5"/>
        <v>-408.24</v>
      </c>
      <c r="Q46" s="211">
        <f t="shared" si="5"/>
        <v>-434.11199999999997</v>
      </c>
      <c r="R46" s="201">
        <f t="shared" si="3"/>
        <v>-1216.8240000000001</v>
      </c>
      <c r="T46" s="379"/>
    </row>
    <row r="47" spans="1:20" x14ac:dyDescent="0.25">
      <c r="M47" s="208" t="s">
        <v>557</v>
      </c>
      <c r="N47" s="349">
        <v>0.03</v>
      </c>
      <c r="O47" s="212">
        <f t="shared" si="5"/>
        <v>-561.70799999999997</v>
      </c>
      <c r="P47" s="212">
        <f t="shared" si="5"/>
        <v>-612.36</v>
      </c>
      <c r="Q47" s="212">
        <f t="shared" si="5"/>
        <v>-651.16799999999989</v>
      </c>
      <c r="R47" s="210">
        <f t="shared" si="3"/>
        <v>-1825.2359999999999</v>
      </c>
      <c r="T47" s="379"/>
    </row>
    <row r="48" spans="1:20" x14ac:dyDescent="0.25">
      <c r="M48" s="70" t="s">
        <v>558</v>
      </c>
      <c r="N48" s="221"/>
      <c r="O48" s="211">
        <f>SUM(O44:O47)</f>
        <v>-2621.3039999999996</v>
      </c>
      <c r="P48" s="211">
        <f t="shared" ref="P48:Q48" si="6">SUM(P44:P47)</f>
        <v>-2857.68</v>
      </c>
      <c r="Q48" s="211">
        <f t="shared" si="6"/>
        <v>-3038.7839999999997</v>
      </c>
      <c r="R48" s="201"/>
      <c r="T48" s="77"/>
    </row>
    <row r="49" spans="1:20" x14ac:dyDescent="0.25">
      <c r="A49" s="12" t="s">
        <v>257</v>
      </c>
      <c r="B49" s="12"/>
      <c r="C49" s="12"/>
      <c r="D49" s="12"/>
      <c r="E49" s="12"/>
      <c r="F49" s="12"/>
      <c r="G49" s="12"/>
      <c r="H49" s="12"/>
      <c r="I49" s="12"/>
      <c r="J49" s="12"/>
      <c r="M49" s="205" t="s">
        <v>559</v>
      </c>
      <c r="O49" s="201">
        <f>SUM(O43:O47)</f>
        <v>14791.295999999998</v>
      </c>
      <c r="P49" s="201">
        <f t="shared" ref="P49" si="7">SUM(P43:P47)</f>
        <v>16143.32</v>
      </c>
      <c r="Q49" s="201">
        <f>SUM(Q43:Q47)</f>
        <v>17111.815999999999</v>
      </c>
      <c r="R49" s="201">
        <f t="shared" si="3"/>
        <v>48046.432000000001</v>
      </c>
      <c r="T49" s="201"/>
    </row>
    <row r="50" spans="1:20" x14ac:dyDescent="0.25">
      <c r="A50" s="250" t="s">
        <v>639</v>
      </c>
      <c r="B50" s="250"/>
      <c r="C50" s="12"/>
      <c r="D50" s="12"/>
      <c r="E50" s="12"/>
      <c r="F50" s="12"/>
      <c r="G50" s="12"/>
      <c r="H50" s="12"/>
      <c r="I50" s="12"/>
      <c r="J50" s="12"/>
      <c r="O50" s="201"/>
      <c r="P50" s="201"/>
      <c r="Q50" s="201"/>
      <c r="R50" s="201"/>
      <c r="T50" s="201"/>
    </row>
    <row r="51" spans="1:20" x14ac:dyDescent="0.25">
      <c r="A51" s="250" t="s">
        <v>640</v>
      </c>
      <c r="B51" s="250"/>
      <c r="C51" s="12"/>
      <c r="D51" s="12"/>
      <c r="E51" s="12"/>
      <c r="F51" s="12"/>
      <c r="G51" s="12"/>
      <c r="H51" s="12"/>
      <c r="I51" s="12"/>
      <c r="J51" s="12"/>
      <c r="M51" s="70" t="s">
        <v>560</v>
      </c>
      <c r="O51" s="201">
        <f>N29</f>
        <v>15152</v>
      </c>
      <c r="P51" s="201">
        <f>O29</f>
        <v>15914</v>
      </c>
      <c r="Q51" s="201">
        <f t="shared" ref="Q51" si="8">P29</f>
        <v>18817</v>
      </c>
      <c r="R51" s="201">
        <f t="shared" si="3"/>
        <v>49883</v>
      </c>
      <c r="T51" s="201"/>
    </row>
    <row r="52" spans="1:20" x14ac:dyDescent="0.25">
      <c r="A52" s="12"/>
      <c r="B52" s="12"/>
      <c r="C52" s="12"/>
      <c r="D52" s="12"/>
      <c r="E52" s="12"/>
      <c r="F52" s="12"/>
      <c r="G52" s="12"/>
      <c r="H52" s="12"/>
      <c r="I52" s="12"/>
      <c r="J52" s="12"/>
      <c r="M52" s="70" t="s">
        <v>561</v>
      </c>
      <c r="O52" s="169">
        <f>-1*N32</f>
        <v>-564</v>
      </c>
      <c r="P52" s="169">
        <f t="shared" ref="P52:Q52" si="9">-1*O32</f>
        <v>-680</v>
      </c>
      <c r="Q52" s="169">
        <f t="shared" si="9"/>
        <v>-962</v>
      </c>
      <c r="R52" s="201">
        <f t="shared" si="3"/>
        <v>-2206</v>
      </c>
      <c r="T52" s="201"/>
    </row>
    <row r="53" spans="1:20" x14ac:dyDescent="0.25">
      <c r="A53" s="12" t="s">
        <v>31</v>
      </c>
      <c r="B53" s="12"/>
      <c r="C53" s="12"/>
      <c r="D53" s="12"/>
      <c r="E53" s="12"/>
      <c r="F53" s="12"/>
      <c r="G53" s="12"/>
      <c r="H53" s="12"/>
      <c r="I53" s="12"/>
      <c r="J53" s="12"/>
      <c r="M53" s="208" t="s">
        <v>562</v>
      </c>
      <c r="N53" s="208"/>
      <c r="O53" s="350">
        <f>N30</f>
        <v>165</v>
      </c>
      <c r="P53" s="350">
        <f>O30-O53</f>
        <v>651</v>
      </c>
      <c r="Q53" s="350">
        <f>P30-O30</f>
        <v>895</v>
      </c>
      <c r="R53" s="210">
        <f>SUM(O53:Q53)</f>
        <v>1711</v>
      </c>
      <c r="T53" s="201"/>
    </row>
    <row r="54" spans="1:20" ht="14.4" thickBot="1" x14ac:dyDescent="0.3">
      <c r="A54" s="12"/>
      <c r="B54" s="12" t="s">
        <v>258</v>
      </c>
      <c r="C54" s="12"/>
      <c r="D54" s="12"/>
      <c r="E54" s="12"/>
      <c r="F54" s="12"/>
      <c r="G54" s="12"/>
      <c r="H54" s="12"/>
      <c r="I54" s="12"/>
      <c r="J54" s="12"/>
      <c r="M54" s="70" t="s">
        <v>207</v>
      </c>
      <c r="O54" s="213">
        <f>SUM(O51:O53)</f>
        <v>14753</v>
      </c>
      <c r="P54" s="213">
        <f t="shared" ref="P54" si="10">SUM(P51:P53)</f>
        <v>15885</v>
      </c>
      <c r="Q54" s="213">
        <f>SUM(Q51:Q53)</f>
        <v>18750</v>
      </c>
      <c r="R54" s="201">
        <f t="shared" si="3"/>
        <v>49388</v>
      </c>
      <c r="T54" s="201"/>
    </row>
    <row r="55" spans="1:20" ht="14.4" thickBot="1" x14ac:dyDescent="0.3">
      <c r="A55" s="12"/>
      <c r="B55" s="12"/>
      <c r="C55" s="12"/>
      <c r="D55" s="12"/>
      <c r="E55" s="12"/>
      <c r="F55" s="12"/>
      <c r="G55" s="12"/>
      <c r="H55" s="12"/>
      <c r="I55" s="12"/>
      <c r="J55" s="12"/>
      <c r="M55" s="70" t="s">
        <v>563</v>
      </c>
      <c r="O55" s="201">
        <f>O49-O54</f>
        <v>38.295999999998457</v>
      </c>
      <c r="P55" s="201">
        <f>P49-P54</f>
        <v>258.31999999999971</v>
      </c>
      <c r="Q55" s="201">
        <f>Q49-Q54</f>
        <v>-1638.1840000000011</v>
      </c>
      <c r="R55" s="214">
        <f>SUM(O55:Q55)</f>
        <v>-1341.5680000000029</v>
      </c>
      <c r="S55" s="201" t="s">
        <v>564</v>
      </c>
      <c r="T55" s="199"/>
    </row>
    <row r="57" spans="1:20" x14ac:dyDescent="0.25">
      <c r="A57" s="70" t="s">
        <v>0</v>
      </c>
      <c r="L57" s="70" t="s">
        <v>641</v>
      </c>
    </row>
    <row r="58" spans="1:20" x14ac:dyDescent="0.25">
      <c r="M58" s="70" t="s">
        <v>565</v>
      </c>
      <c r="N58" s="201">
        <f>R55</f>
        <v>-1341.5680000000029</v>
      </c>
    </row>
    <row r="59" spans="1:20" x14ac:dyDescent="0.25">
      <c r="M59" s="70" t="s">
        <v>566</v>
      </c>
      <c r="N59" s="201">
        <f>-R42+R52</f>
        <v>2071</v>
      </c>
      <c r="O59" s="201"/>
    </row>
    <row r="60" spans="1:20" ht="14.4" thickBot="1" x14ac:dyDescent="0.3">
      <c r="M60" s="70" t="s">
        <v>567</v>
      </c>
      <c r="N60" s="201">
        <f>R41*$N$47</f>
        <v>1825.2359999999999</v>
      </c>
      <c r="O60" s="201"/>
    </row>
    <row r="61" spans="1:20" x14ac:dyDescent="0.25">
      <c r="M61" s="70" t="s">
        <v>568</v>
      </c>
      <c r="N61" s="215">
        <f>SUM(N58:N60)</f>
        <v>2554.6679999999969</v>
      </c>
      <c r="O61" s="201"/>
    </row>
    <row r="62" spans="1:20" x14ac:dyDescent="0.25">
      <c r="N62" s="216" t="s">
        <v>569</v>
      </c>
    </row>
    <row r="63" spans="1:20" ht="14.4" thickBot="1" x14ac:dyDescent="0.3">
      <c r="M63" s="70" t="s">
        <v>570</v>
      </c>
      <c r="N63" s="217">
        <f>N61/R41</f>
        <v>4.1989112640776267E-2</v>
      </c>
    </row>
    <row r="66" spans="1:24" x14ac:dyDescent="0.25">
      <c r="L66" s="70" t="s">
        <v>571</v>
      </c>
      <c r="M66" s="70" t="s">
        <v>549</v>
      </c>
    </row>
    <row r="67" spans="1:24" x14ac:dyDescent="0.25">
      <c r="M67" s="70" t="s">
        <v>248</v>
      </c>
      <c r="N67" s="221">
        <f>N44</f>
        <v>0.05</v>
      </c>
    </row>
    <row r="68" spans="1:24" s="181" customFormat="1" x14ac:dyDescent="0.25">
      <c r="A68" s="181" t="s">
        <v>2</v>
      </c>
      <c r="K68" s="165"/>
      <c r="L68" s="70"/>
      <c r="M68" s="70" t="s">
        <v>168</v>
      </c>
      <c r="N68" s="221">
        <f>N45</f>
        <v>0.04</v>
      </c>
      <c r="O68" s="70"/>
      <c r="P68" s="70"/>
      <c r="Q68" s="70"/>
      <c r="R68" s="70"/>
      <c r="S68" s="70"/>
      <c r="T68" s="70"/>
      <c r="U68" s="70"/>
      <c r="V68" s="70"/>
      <c r="W68" s="70"/>
      <c r="X68" s="70"/>
    </row>
    <row r="69" spans="1:24" x14ac:dyDescent="0.25">
      <c r="M69" s="70" t="s">
        <v>172</v>
      </c>
      <c r="N69" s="221">
        <f>N46</f>
        <v>0.02</v>
      </c>
    </row>
    <row r="70" spans="1:24" x14ac:dyDescent="0.25">
      <c r="M70" s="70" t="s">
        <v>174</v>
      </c>
      <c r="N70" s="221">
        <f>N47</f>
        <v>0.03</v>
      </c>
    </row>
    <row r="71" spans="1:24" x14ac:dyDescent="0.25">
      <c r="N71" s="201"/>
    </row>
    <row r="72" spans="1:24" x14ac:dyDescent="0.25">
      <c r="M72" s="70" t="s">
        <v>249</v>
      </c>
      <c r="N72" s="221">
        <v>0.05</v>
      </c>
    </row>
    <row r="73" spans="1:24" x14ac:dyDescent="0.25">
      <c r="M73" s="70" t="s">
        <v>250</v>
      </c>
      <c r="N73" s="221">
        <v>0</v>
      </c>
    </row>
    <row r="74" spans="1:24" x14ac:dyDescent="0.25">
      <c r="M74" s="101" t="s">
        <v>572</v>
      </c>
      <c r="N74" s="351">
        <v>375</v>
      </c>
    </row>
    <row r="75" spans="1:24" x14ac:dyDescent="0.25">
      <c r="M75" s="101" t="s">
        <v>573</v>
      </c>
      <c r="N75" s="351">
        <v>30</v>
      </c>
    </row>
    <row r="76" spans="1:24" x14ac:dyDescent="0.25">
      <c r="M76" s="101" t="s">
        <v>574</v>
      </c>
      <c r="N76" s="351">
        <v>32</v>
      </c>
    </row>
    <row r="77" spans="1:24" ht="27.6" x14ac:dyDescent="0.25">
      <c r="M77" s="101" t="s">
        <v>575</v>
      </c>
      <c r="N77" s="351">
        <v>5400</v>
      </c>
    </row>
    <row r="78" spans="1:24" x14ac:dyDescent="0.25">
      <c r="M78" s="101"/>
      <c r="N78" s="351"/>
    </row>
    <row r="79" spans="1:24" ht="41.4" x14ac:dyDescent="0.25">
      <c r="L79" s="202" t="s">
        <v>638</v>
      </c>
      <c r="O79" s="101" t="s">
        <v>238</v>
      </c>
      <c r="P79" s="101" t="s">
        <v>239</v>
      </c>
      <c r="Q79" s="101" t="s">
        <v>240</v>
      </c>
      <c r="T79" s="101" t="s">
        <v>238</v>
      </c>
      <c r="U79" s="101" t="s">
        <v>239</v>
      </c>
      <c r="V79" s="101" t="s">
        <v>240</v>
      </c>
      <c r="W79" s="101"/>
    </row>
    <row r="80" spans="1:24" ht="41.4" x14ac:dyDescent="0.25">
      <c r="O80" s="101" t="s">
        <v>541</v>
      </c>
      <c r="P80" s="101" t="s">
        <v>542</v>
      </c>
      <c r="Q80" s="101" t="s">
        <v>543</v>
      </c>
      <c r="R80" s="101" t="s">
        <v>550</v>
      </c>
      <c r="S80" s="101" t="s">
        <v>576</v>
      </c>
      <c r="T80" s="101" t="s">
        <v>541</v>
      </c>
      <c r="U80" s="101" t="s">
        <v>542</v>
      </c>
      <c r="V80" s="101" t="s">
        <v>543</v>
      </c>
      <c r="W80" s="101" t="s">
        <v>577</v>
      </c>
    </row>
    <row r="81" spans="13:23" x14ac:dyDescent="0.25">
      <c r="M81" s="70" t="s">
        <v>551</v>
      </c>
      <c r="O81" s="201">
        <v>18723.599999999999</v>
      </c>
      <c r="P81" s="201">
        <v>20412</v>
      </c>
      <c r="Q81" s="201">
        <v>21705.599999999999</v>
      </c>
      <c r="R81" s="201">
        <v>60841.2</v>
      </c>
      <c r="S81" s="201"/>
      <c r="T81" s="218">
        <v>300</v>
      </c>
      <c r="U81" s="218">
        <v>315</v>
      </c>
      <c r="V81" s="218">
        <v>340</v>
      </c>
      <c r="W81" s="169">
        <v>375</v>
      </c>
    </row>
    <row r="82" spans="13:23" x14ac:dyDescent="0.25">
      <c r="M82" s="70" t="s">
        <v>552</v>
      </c>
      <c r="O82" s="201">
        <v>-1311</v>
      </c>
      <c r="P82" s="201">
        <v>-1411</v>
      </c>
      <c r="Q82" s="201">
        <v>-1555</v>
      </c>
      <c r="R82" s="201">
        <v>-4277</v>
      </c>
      <c r="S82" s="201"/>
      <c r="T82" s="218">
        <v>-21.005575850797925</v>
      </c>
      <c r="U82" s="218">
        <v>-21.77469135802469</v>
      </c>
      <c r="V82" s="218">
        <v>-24.357769423558896</v>
      </c>
      <c r="W82" s="218">
        <v>-30</v>
      </c>
    </row>
    <row r="83" spans="13:23" x14ac:dyDescent="0.25">
      <c r="M83" s="208" t="s">
        <v>578</v>
      </c>
      <c r="N83" s="208"/>
      <c r="O83" s="210">
        <v>17412.599999999999</v>
      </c>
      <c r="P83" s="210">
        <v>19001</v>
      </c>
      <c r="Q83" s="210">
        <v>20150.599999999999</v>
      </c>
      <c r="R83" s="210">
        <v>56564.2</v>
      </c>
      <c r="T83" s="219">
        <v>278.99442414920208</v>
      </c>
      <c r="U83" s="219">
        <v>293.22530864197529</v>
      </c>
      <c r="V83" s="219">
        <v>315.64223057644108</v>
      </c>
      <c r="W83" s="223">
        <v>345</v>
      </c>
    </row>
    <row r="84" spans="13:23" x14ac:dyDescent="0.25">
      <c r="M84" s="70" t="s">
        <v>242</v>
      </c>
      <c r="O84" s="201">
        <v>5201</v>
      </c>
      <c r="P84" s="201">
        <v>5400</v>
      </c>
      <c r="Q84" s="201">
        <v>5320</v>
      </c>
      <c r="W84" s="70" t="s">
        <v>579</v>
      </c>
    </row>
    <row r="85" spans="13:23" x14ac:dyDescent="0.25">
      <c r="M85" s="205" t="s">
        <v>580</v>
      </c>
      <c r="O85" s="201">
        <v>21532.139999999996</v>
      </c>
      <c r="P85" s="201">
        <v>22356</v>
      </c>
      <c r="Q85" s="201">
        <v>22024.799999999999</v>
      </c>
      <c r="R85" s="201">
        <v>65912.94</v>
      </c>
      <c r="W85" s="202" t="s">
        <v>581</v>
      </c>
    </row>
    <row r="86" spans="13:23" x14ac:dyDescent="0.25">
      <c r="M86" s="205"/>
      <c r="O86" s="201">
        <v>344.99999999999994</v>
      </c>
      <c r="P86" s="201">
        <v>345</v>
      </c>
      <c r="Q86" s="201">
        <v>345</v>
      </c>
      <c r="R86" s="201"/>
      <c r="W86" s="202"/>
    </row>
    <row r="87" spans="13:23" x14ac:dyDescent="0.25">
      <c r="M87" s="70" t="s">
        <v>560</v>
      </c>
      <c r="O87" s="201">
        <v>15152</v>
      </c>
      <c r="P87" s="201">
        <v>15914</v>
      </c>
      <c r="Q87" s="201">
        <v>18817</v>
      </c>
      <c r="R87" s="201">
        <v>49883</v>
      </c>
      <c r="S87" s="201"/>
    </row>
    <row r="88" spans="13:23" x14ac:dyDescent="0.25">
      <c r="M88" s="70" t="s">
        <v>561</v>
      </c>
      <c r="O88" s="201">
        <v>-564</v>
      </c>
      <c r="P88" s="201">
        <v>-680</v>
      </c>
      <c r="Q88" s="201">
        <v>-962</v>
      </c>
      <c r="R88" s="201">
        <v>-2206</v>
      </c>
      <c r="S88" s="201"/>
      <c r="W88" s="70" t="s">
        <v>582</v>
      </c>
    </row>
    <row r="89" spans="13:23" x14ac:dyDescent="0.25">
      <c r="M89" s="70" t="s">
        <v>562</v>
      </c>
      <c r="O89" s="201">
        <v>165</v>
      </c>
      <c r="P89" s="201">
        <v>651</v>
      </c>
      <c r="Q89" s="201">
        <v>895</v>
      </c>
      <c r="R89" s="201">
        <v>1711</v>
      </c>
      <c r="S89" s="201"/>
      <c r="W89" s="70" t="s">
        <v>583</v>
      </c>
    </row>
    <row r="90" spans="13:23" x14ac:dyDescent="0.25">
      <c r="M90" s="70" t="s">
        <v>207</v>
      </c>
      <c r="O90" s="201">
        <v>14753</v>
      </c>
      <c r="P90" s="201">
        <v>15885</v>
      </c>
      <c r="Q90" s="201">
        <v>18750</v>
      </c>
      <c r="R90" s="201">
        <v>49388</v>
      </c>
      <c r="S90" s="201"/>
    </row>
    <row r="91" spans="13:23" x14ac:dyDescent="0.25">
      <c r="M91" s="220" t="s">
        <v>584</v>
      </c>
      <c r="N91" s="208"/>
      <c r="O91" s="210">
        <v>17932.363706249998</v>
      </c>
      <c r="P91" s="210">
        <v>18388.873125000002</v>
      </c>
      <c r="Q91" s="210">
        <v>20671.875</v>
      </c>
      <c r="R91" s="210">
        <v>56993.111831250004</v>
      </c>
    </row>
    <row r="92" spans="13:23" x14ac:dyDescent="0.25">
      <c r="M92" s="70" t="s">
        <v>357</v>
      </c>
      <c r="O92" s="221">
        <v>0.83281846143718186</v>
      </c>
      <c r="P92" s="221">
        <v>0.82254755434782623</v>
      </c>
      <c r="Q92" s="221">
        <v>0.93857265446224258</v>
      </c>
      <c r="R92" s="221">
        <v>0.86467257918172069</v>
      </c>
      <c r="S92" s="221"/>
    </row>
    <row r="93" spans="13:23" x14ac:dyDescent="0.25">
      <c r="M93" s="70" t="s">
        <v>585</v>
      </c>
      <c r="O93" s="203">
        <v>7.1428571428571425E-2</v>
      </c>
      <c r="P93" s="203">
        <v>0.2857142857142857</v>
      </c>
      <c r="Q93" s="203">
        <v>0.6428571428571429</v>
      </c>
      <c r="R93" s="221"/>
      <c r="S93" s="221"/>
      <c r="W93" s="202" t="s">
        <v>586</v>
      </c>
    </row>
    <row r="94" spans="13:23" x14ac:dyDescent="0.25">
      <c r="O94" s="203"/>
      <c r="P94" s="203"/>
      <c r="Q94" s="203"/>
      <c r="R94" s="221"/>
      <c r="S94" s="221"/>
      <c r="W94" s="70" t="s">
        <v>587</v>
      </c>
    </row>
    <row r="95" spans="13:23" x14ac:dyDescent="0.25">
      <c r="W95" s="70" t="s">
        <v>588</v>
      </c>
    </row>
    <row r="96" spans="13:23" x14ac:dyDescent="0.25">
      <c r="M96" s="70" t="s">
        <v>589</v>
      </c>
      <c r="N96" s="221">
        <v>0.89786875492776219</v>
      </c>
    </row>
    <row r="97" spans="11:23" x14ac:dyDescent="0.25">
      <c r="M97" s="70" t="s">
        <v>590</v>
      </c>
      <c r="N97" s="221">
        <v>0.86</v>
      </c>
    </row>
    <row r="98" spans="11:23" x14ac:dyDescent="0.25">
      <c r="M98" s="70" t="s">
        <v>591</v>
      </c>
      <c r="N98" s="221">
        <v>4.40334359625143E-2</v>
      </c>
      <c r="W98" s="70" t="s">
        <v>592</v>
      </c>
    </row>
    <row r="99" spans="11:23" x14ac:dyDescent="0.25">
      <c r="W99" s="70" t="s">
        <v>593</v>
      </c>
    </row>
    <row r="100" spans="11:23" x14ac:dyDescent="0.25">
      <c r="K100" s="182"/>
      <c r="M100" s="70" t="s">
        <v>594</v>
      </c>
      <c r="W100" s="202" t="s">
        <v>595</v>
      </c>
    </row>
    <row r="101" spans="11:23" x14ac:dyDescent="0.25">
      <c r="M101" s="70" t="s">
        <v>596</v>
      </c>
      <c r="N101" s="199">
        <v>360.19153540706742</v>
      </c>
      <c r="O101" s="202"/>
      <c r="U101" s="169"/>
      <c r="W101" s="198"/>
    </row>
    <row r="102" spans="11:23" x14ac:dyDescent="0.25">
      <c r="M102" s="70" t="s">
        <v>597</v>
      </c>
      <c r="N102" s="199">
        <v>10.351604938271629</v>
      </c>
      <c r="U102" s="198"/>
      <c r="W102" s="70" t="s">
        <v>598</v>
      </c>
    </row>
    <row r="103" spans="11:23" ht="14.4" thickBot="1" x14ac:dyDescent="0.3">
      <c r="M103" s="70" t="s">
        <v>599</v>
      </c>
      <c r="N103" s="352">
        <v>32</v>
      </c>
    </row>
    <row r="104" spans="11:23" ht="14.4" thickBot="1" x14ac:dyDescent="0.3">
      <c r="M104" s="70" t="s">
        <v>600</v>
      </c>
      <c r="N104" s="222">
        <v>402.54314034533905</v>
      </c>
    </row>
    <row r="105" spans="11:23" x14ac:dyDescent="0.25">
      <c r="N105" s="104"/>
    </row>
    <row r="108" spans="11:23" x14ac:dyDescent="0.25">
      <c r="L108" s="70" t="s">
        <v>601</v>
      </c>
      <c r="N108" s="169"/>
      <c r="O108" s="169"/>
      <c r="P108" s="169"/>
    </row>
    <row r="109" spans="11:23" x14ac:dyDescent="0.25">
      <c r="N109" s="169"/>
      <c r="O109" s="169"/>
      <c r="P109" s="169"/>
    </row>
    <row r="110" spans="11:23" ht="27.6" x14ac:dyDescent="0.25">
      <c r="M110" s="43"/>
      <c r="N110" s="44" t="s">
        <v>238</v>
      </c>
      <c r="O110" s="44" t="s">
        <v>239</v>
      </c>
      <c r="P110" s="44" t="s">
        <v>240</v>
      </c>
    </row>
    <row r="111" spans="11:23" x14ac:dyDescent="0.25">
      <c r="M111" s="101" t="s">
        <v>602</v>
      </c>
      <c r="N111" s="169">
        <f>O90*1000</f>
        <v>14753000</v>
      </c>
      <c r="O111" s="169">
        <f t="shared" ref="O111:P111" si="11">P90*1000</f>
        <v>15885000</v>
      </c>
      <c r="P111" s="169">
        <f t="shared" si="11"/>
        <v>18750000</v>
      </c>
    </row>
    <row r="112" spans="11:23" x14ac:dyDescent="0.25">
      <c r="M112" s="101" t="s">
        <v>603</v>
      </c>
      <c r="N112" s="198">
        <v>236.38082420047428</v>
      </c>
      <c r="O112" s="198">
        <v>245.13888888888889</v>
      </c>
      <c r="P112" s="198">
        <v>293.70300751879699</v>
      </c>
    </row>
    <row r="113" spans="13:16" x14ac:dyDescent="0.25">
      <c r="M113" s="101" t="s">
        <v>604</v>
      </c>
      <c r="N113" s="70">
        <f>1.05^4</f>
        <v>1.21550625</v>
      </c>
      <c r="O113" s="70">
        <f>1.05^3</f>
        <v>1.1576250000000001</v>
      </c>
      <c r="P113" s="70">
        <f>1.05^2</f>
        <v>1.1025</v>
      </c>
    </row>
    <row r="114" spans="13:16" x14ac:dyDescent="0.25">
      <c r="M114" s="101" t="s">
        <v>605</v>
      </c>
      <c r="N114" s="198">
        <f>N112*N113</f>
        <v>287.32236919582772</v>
      </c>
      <c r="O114" s="198">
        <f t="shared" ref="O114:P114" si="12">O112*O113</f>
        <v>283.77890625000003</v>
      </c>
      <c r="P114" s="198">
        <f t="shared" si="12"/>
        <v>323.8075657894737</v>
      </c>
    </row>
    <row r="115" spans="13:16" x14ac:dyDescent="0.25">
      <c r="M115" s="43" t="s">
        <v>232</v>
      </c>
      <c r="N115" s="46">
        <v>7.1428571428571425E-2</v>
      </c>
      <c r="O115" s="46">
        <v>0.2857142857142857</v>
      </c>
      <c r="P115" s="46">
        <v>0.6428571428571429</v>
      </c>
    </row>
    <row r="116" spans="13:16" x14ac:dyDescent="0.25">
      <c r="M116" s="101"/>
      <c r="N116" s="169"/>
      <c r="O116" s="169"/>
      <c r="P116" s="169"/>
    </row>
    <row r="117" spans="13:16" x14ac:dyDescent="0.25">
      <c r="M117" s="101" t="s">
        <v>606</v>
      </c>
      <c r="N117" s="198">
        <f>SUMPRODUCT(N114:P114,N115:P115)</f>
        <v>309.76472045007796</v>
      </c>
      <c r="O117" s="199"/>
    </row>
    <row r="118" spans="13:16" x14ac:dyDescent="0.25">
      <c r="M118" s="101" t="s">
        <v>607</v>
      </c>
      <c r="N118" s="221">
        <f>SUM(N44:N47)</f>
        <v>0.14000000000000001</v>
      </c>
    </row>
    <row r="119" spans="13:16" x14ac:dyDescent="0.25">
      <c r="M119" s="101" t="s">
        <v>608</v>
      </c>
      <c r="N119" s="198">
        <f>N117/(1-N118)</f>
        <v>360.19153540706742</v>
      </c>
      <c r="O119" s="200"/>
    </row>
    <row r="120" spans="13:16" x14ac:dyDescent="0.25">
      <c r="M120" s="101" t="s">
        <v>609</v>
      </c>
      <c r="N120" s="198">
        <v>32</v>
      </c>
    </row>
    <row r="121" spans="13:16" x14ac:dyDescent="0.25">
      <c r="M121" s="101"/>
    </row>
    <row r="122" spans="13:16" x14ac:dyDescent="0.25">
      <c r="M122" s="101"/>
      <c r="N122" s="169"/>
    </row>
    <row r="123" spans="13:16" x14ac:dyDescent="0.25">
      <c r="M123" s="101" t="s">
        <v>610</v>
      </c>
      <c r="N123" s="169">
        <f>R55*1000</f>
        <v>-1341568.000000003</v>
      </c>
    </row>
    <row r="124" spans="13:16" x14ac:dyDescent="0.25">
      <c r="M124" s="101"/>
      <c r="N124" s="169"/>
    </row>
    <row r="125" spans="13:16" x14ac:dyDescent="0.25">
      <c r="M125" s="101" t="s">
        <v>611</v>
      </c>
      <c r="N125" s="201">
        <v>5400</v>
      </c>
    </row>
    <row r="126" spans="13:16" x14ac:dyDescent="0.25">
      <c r="M126" s="101" t="s">
        <v>612</v>
      </c>
      <c r="N126" s="198">
        <f>-N123/N125/24</f>
        <v>10.351604938271629</v>
      </c>
      <c r="O126" s="202"/>
    </row>
    <row r="127" spans="13:16" x14ac:dyDescent="0.25">
      <c r="M127" s="101"/>
    </row>
    <row r="128" spans="13:16" x14ac:dyDescent="0.25">
      <c r="M128" s="101" t="s">
        <v>613</v>
      </c>
      <c r="N128" s="198">
        <v>402.54314034533905</v>
      </c>
      <c r="O128" s="202"/>
    </row>
    <row r="129" spans="13:20" x14ac:dyDescent="0.25">
      <c r="M129" s="205"/>
      <c r="N129" s="205"/>
      <c r="O129" s="205"/>
      <c r="P129" s="205"/>
      <c r="Q129" s="205"/>
      <c r="R129" s="205"/>
      <c r="S129" s="205"/>
      <c r="T129" s="205"/>
    </row>
    <row r="131" spans="13:20" x14ac:dyDescent="0.25">
      <c r="M131" s="205"/>
      <c r="N131" s="205"/>
      <c r="O131" s="205"/>
      <c r="P131" s="205"/>
      <c r="Q131" s="205"/>
      <c r="R131" s="205"/>
      <c r="S131" s="205"/>
      <c r="T131" s="205"/>
    </row>
    <row r="132" spans="13:20" x14ac:dyDescent="0.25">
      <c r="M132" s="205"/>
      <c r="N132" s="205"/>
      <c r="O132" s="205"/>
      <c r="P132" s="205"/>
      <c r="Q132" s="205"/>
      <c r="R132" s="205"/>
      <c r="S132" s="205"/>
      <c r="T132" s="205"/>
    </row>
    <row r="142" spans="13:20" x14ac:dyDescent="0.25">
      <c r="M142" s="101"/>
      <c r="N142" s="101"/>
      <c r="O142" s="101"/>
      <c r="P142" s="101"/>
      <c r="Q142" s="101"/>
      <c r="R142" s="101"/>
      <c r="S142" s="101"/>
      <c r="T142" s="101"/>
    </row>
  </sheetData>
  <mergeCells count="1">
    <mergeCell ref="T44:T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5921-03D2-4543-BBAD-26D5BAD2A362}">
  <dimension ref="A1:U136"/>
  <sheetViews>
    <sheetView workbookViewId="0"/>
  </sheetViews>
  <sheetFormatPr defaultColWidth="9.109375" defaultRowHeight="13.8" x14ac:dyDescent="0.25"/>
  <cols>
    <col min="1" max="1" width="27.33203125" style="70" customWidth="1"/>
    <col min="2" max="5" width="15.6640625" style="70" customWidth="1"/>
    <col min="6" max="6" width="10.77734375" style="70" customWidth="1"/>
    <col min="7" max="7" width="10.44140625" style="70" customWidth="1"/>
    <col min="8" max="9" width="9.109375" style="70"/>
    <col min="10" max="10" width="40.77734375" style="246" customWidth="1"/>
    <col min="11" max="11" width="2.33203125" style="165" customWidth="1"/>
    <col min="12" max="12" width="62.6640625" style="70" customWidth="1"/>
    <col min="13" max="16" width="15.6640625" style="70" customWidth="1"/>
    <col min="17" max="17" width="10.77734375" style="70" customWidth="1"/>
    <col min="18" max="18" width="10.44140625" style="70" customWidth="1"/>
    <col min="19" max="20" width="9.109375" style="70"/>
    <col min="21" max="21" width="40.77734375" style="70" customWidth="1"/>
    <col min="22" max="16384" width="9.109375" style="70"/>
  </cols>
  <sheetData>
    <row r="1" spans="1:19" x14ac:dyDescent="0.25">
      <c r="A1" s="164" t="s">
        <v>10</v>
      </c>
      <c r="B1" s="12"/>
      <c r="C1" s="12"/>
      <c r="D1" s="12"/>
      <c r="E1" s="12"/>
      <c r="F1" s="12"/>
      <c r="G1" s="12"/>
      <c r="H1" s="12"/>
      <c r="I1" s="12"/>
      <c r="J1" s="249"/>
      <c r="L1" s="70" t="s">
        <v>0</v>
      </c>
    </row>
    <row r="2" spans="1:19" x14ac:dyDescent="0.25">
      <c r="A2" s="12" t="s">
        <v>6</v>
      </c>
      <c r="B2" s="12"/>
      <c r="C2" s="12"/>
      <c r="D2" s="12"/>
      <c r="E2" s="12"/>
      <c r="F2" s="12"/>
      <c r="G2" s="12"/>
      <c r="H2" s="12"/>
      <c r="I2" s="12"/>
      <c r="J2" s="249"/>
      <c r="L2" s="70" t="s">
        <v>350</v>
      </c>
    </row>
    <row r="3" spans="1:19" x14ac:dyDescent="0.25">
      <c r="N3" s="224" t="s">
        <v>286</v>
      </c>
      <c r="P3" s="224" t="s">
        <v>287</v>
      </c>
      <c r="R3" s="224" t="s">
        <v>288</v>
      </c>
    </row>
    <row r="4" spans="1:19" x14ac:dyDescent="0.25">
      <c r="A4" s="180" t="s">
        <v>14</v>
      </c>
      <c r="B4" s="12"/>
      <c r="C4" s="12"/>
      <c r="D4" s="12"/>
      <c r="E4" s="12"/>
      <c r="F4" s="12"/>
      <c r="G4" s="12"/>
      <c r="H4" s="12"/>
      <c r="I4" s="12"/>
      <c r="J4" s="249"/>
      <c r="L4" s="225" t="s">
        <v>475</v>
      </c>
      <c r="M4" s="226"/>
      <c r="N4" s="227">
        <f>SUMPRODUCT(B35:B44,C35:C44)</f>
        <v>1487.3999999999999</v>
      </c>
      <c r="O4" s="227"/>
      <c r="P4" s="227">
        <f>SUMPRODUCT(D35:D44,E35:E44)</f>
        <v>425.28</v>
      </c>
      <c r="Q4" s="227"/>
      <c r="R4" s="228">
        <f>SUMPRODUCT(F35:F44,G35:G44)</f>
        <v>3825.3599999999997</v>
      </c>
    </row>
    <row r="6" spans="1:19" x14ac:dyDescent="0.25">
      <c r="A6" s="184" t="s">
        <v>261</v>
      </c>
      <c r="B6" s="12"/>
      <c r="C6" s="12"/>
      <c r="D6" s="12"/>
      <c r="E6" s="12"/>
      <c r="F6" s="12"/>
      <c r="G6" s="12"/>
      <c r="H6" s="12"/>
      <c r="I6" s="12"/>
      <c r="J6" s="249"/>
      <c r="L6" s="229" t="s">
        <v>476</v>
      </c>
      <c r="M6" s="88"/>
      <c r="N6" s="88"/>
      <c r="O6" s="88"/>
      <c r="P6" s="88"/>
      <c r="Q6" s="88"/>
      <c r="R6" s="88"/>
      <c r="S6" s="88"/>
    </row>
    <row r="7" spans="1:19" x14ac:dyDescent="0.25">
      <c r="A7" s="184"/>
      <c r="B7" s="184"/>
      <c r="C7" s="12"/>
      <c r="D7" s="12"/>
      <c r="E7" s="12"/>
      <c r="F7" s="12"/>
      <c r="G7" s="12"/>
      <c r="H7" s="12"/>
      <c r="I7" s="12"/>
      <c r="J7" s="249"/>
      <c r="L7" s="230" t="s">
        <v>477</v>
      </c>
      <c r="M7" s="88"/>
      <c r="N7" s="88"/>
      <c r="O7" s="88"/>
      <c r="P7" s="88"/>
      <c r="Q7" s="88"/>
      <c r="R7" s="88"/>
      <c r="S7" s="88"/>
    </row>
    <row r="8" spans="1:19" x14ac:dyDescent="0.25">
      <c r="A8" s="184" t="s">
        <v>15</v>
      </c>
      <c r="B8" s="184"/>
      <c r="C8" s="12"/>
      <c r="D8" s="12"/>
      <c r="E8" s="12"/>
      <c r="F8" s="12"/>
      <c r="G8" s="12"/>
      <c r="H8" s="12"/>
      <c r="I8" s="12"/>
      <c r="J8" s="249"/>
      <c r="M8" s="150" t="s">
        <v>478</v>
      </c>
      <c r="N8" s="151"/>
      <c r="O8" s="151"/>
      <c r="P8" s="150" t="s">
        <v>479</v>
      </c>
      <c r="Q8" s="231"/>
    </row>
    <row r="9" spans="1:19" x14ac:dyDescent="0.25">
      <c r="A9" s="184"/>
      <c r="B9" s="184"/>
      <c r="C9" s="12"/>
      <c r="D9" s="12"/>
      <c r="E9" s="12"/>
      <c r="F9" s="12"/>
      <c r="G9" s="12"/>
      <c r="H9" s="12"/>
      <c r="I9" s="12"/>
      <c r="J9" s="249"/>
      <c r="M9" s="232" t="s">
        <v>289</v>
      </c>
      <c r="N9" s="232" t="s">
        <v>290</v>
      </c>
      <c r="O9" s="232" t="s">
        <v>291</v>
      </c>
      <c r="P9" s="233" t="s">
        <v>480</v>
      </c>
      <c r="Q9" s="233" t="s">
        <v>481</v>
      </c>
    </row>
    <row r="10" spans="1:19" x14ac:dyDescent="0.25">
      <c r="A10" s="250" t="s">
        <v>614</v>
      </c>
      <c r="B10" s="12"/>
      <c r="C10" s="12"/>
      <c r="D10" s="12"/>
      <c r="E10" s="12"/>
      <c r="F10" s="12"/>
      <c r="G10" s="12"/>
      <c r="H10" s="12"/>
      <c r="I10" s="12"/>
      <c r="J10" s="249"/>
      <c r="M10" s="72">
        <v>0</v>
      </c>
      <c r="N10" s="234">
        <v>0</v>
      </c>
      <c r="O10" s="235">
        <v>0.15</v>
      </c>
      <c r="P10" s="234">
        <f>MIN(N10,(N10-$B$18*12)*$B$19+$B$18*12,$B$20*12)</f>
        <v>0</v>
      </c>
      <c r="Q10" s="234">
        <f>MAX(0,(N10-$B$18*12)*(1-$B$19),N10-$B$20*12)</f>
        <v>0</v>
      </c>
    </row>
    <row r="11" spans="1:19" x14ac:dyDescent="0.25">
      <c r="A11" s="250" t="s">
        <v>615</v>
      </c>
      <c r="B11" s="12"/>
      <c r="C11" s="12"/>
      <c r="D11" s="12"/>
      <c r="E11" s="12"/>
      <c r="F11" s="12"/>
      <c r="G11" s="12"/>
      <c r="H11" s="12"/>
      <c r="I11" s="12"/>
      <c r="J11" s="249"/>
      <c r="M11" s="72" t="s">
        <v>292</v>
      </c>
      <c r="N11" s="234">
        <v>180</v>
      </c>
      <c r="O11" s="235">
        <v>0.2</v>
      </c>
      <c r="P11" s="234">
        <f t="shared" ref="P11:P19" si="0">MIN(N11,(N11-$B$18*12)*$B$19+$B$18*12,$B$20*12)</f>
        <v>180</v>
      </c>
      <c r="Q11" s="234">
        <f t="shared" ref="Q11:Q19" si="1">MAX(0,(N11-$B$18*12)*(1-$B$19),N11-$B$20*12)</f>
        <v>0</v>
      </c>
    </row>
    <row r="12" spans="1:19" x14ac:dyDescent="0.25">
      <c r="A12" s="250" t="s">
        <v>616</v>
      </c>
      <c r="B12" s="12"/>
      <c r="C12" s="12"/>
      <c r="D12" s="12"/>
      <c r="E12" s="12"/>
      <c r="F12" s="12"/>
      <c r="G12" s="12"/>
      <c r="H12" s="12"/>
      <c r="I12" s="12"/>
      <c r="J12" s="249"/>
      <c r="M12" s="72" t="s">
        <v>26</v>
      </c>
      <c r="N12" s="234">
        <v>360</v>
      </c>
      <c r="O12" s="235">
        <v>0.25</v>
      </c>
      <c r="P12" s="234">
        <f t="shared" si="0"/>
        <v>302.916</v>
      </c>
      <c r="Q12" s="234">
        <f t="shared" si="1"/>
        <v>57.084000000000024</v>
      </c>
    </row>
    <row r="13" spans="1:19" x14ac:dyDescent="0.25">
      <c r="A13" s="12"/>
      <c r="B13" s="12"/>
      <c r="C13" s="12"/>
      <c r="D13" s="12"/>
      <c r="E13" s="12"/>
      <c r="F13" s="12"/>
      <c r="G13" s="12"/>
      <c r="H13" s="12"/>
      <c r="I13" s="12"/>
      <c r="J13" s="249"/>
      <c r="M13" s="72" t="s">
        <v>293</v>
      </c>
      <c r="N13" s="234">
        <v>720</v>
      </c>
      <c r="O13" s="235">
        <v>0.2</v>
      </c>
      <c r="P13" s="234">
        <f t="shared" si="0"/>
        <v>421.71600000000001</v>
      </c>
      <c r="Q13" s="234">
        <f t="shared" si="1"/>
        <v>298.28399999999999</v>
      </c>
    </row>
    <row r="14" spans="1:19" x14ac:dyDescent="0.25">
      <c r="A14" s="12" t="s">
        <v>262</v>
      </c>
      <c r="B14" s="12"/>
      <c r="C14" s="12"/>
      <c r="D14" s="12"/>
      <c r="E14" s="12"/>
      <c r="F14" s="12"/>
      <c r="G14" s="12"/>
      <c r="H14" s="12"/>
      <c r="I14" s="12"/>
      <c r="J14" s="249"/>
      <c r="M14" s="72" t="s">
        <v>294</v>
      </c>
      <c r="N14" s="234">
        <v>1440</v>
      </c>
      <c r="O14" s="235">
        <v>0.1</v>
      </c>
      <c r="P14" s="234">
        <f t="shared" si="0"/>
        <v>659.31600000000003</v>
      </c>
      <c r="Q14" s="234">
        <f t="shared" si="1"/>
        <v>780.68399999999997</v>
      </c>
    </row>
    <row r="15" spans="1:19" x14ac:dyDescent="0.25">
      <c r="A15" s="12"/>
      <c r="B15" s="12"/>
      <c r="C15" s="12"/>
      <c r="D15" s="12"/>
      <c r="E15" s="12"/>
      <c r="F15" s="12"/>
      <c r="G15" s="12"/>
      <c r="H15" s="12"/>
      <c r="I15" s="12"/>
      <c r="J15" s="249"/>
      <c r="M15" s="72" t="s">
        <v>295</v>
      </c>
      <c r="N15" s="234">
        <v>3300</v>
      </c>
      <c r="O15" s="235">
        <v>0.05</v>
      </c>
      <c r="P15" s="234">
        <f t="shared" si="0"/>
        <v>1195.8000000000002</v>
      </c>
      <c r="Q15" s="234">
        <f t="shared" si="1"/>
        <v>2104.1999999999998</v>
      </c>
    </row>
    <row r="16" spans="1:19" x14ac:dyDescent="0.25">
      <c r="A16" s="15" t="s">
        <v>263</v>
      </c>
      <c r="B16" s="47"/>
      <c r="C16" s="48"/>
      <c r="D16" s="12"/>
      <c r="E16" s="12"/>
      <c r="F16" s="12"/>
      <c r="G16" s="12"/>
      <c r="H16" s="12"/>
      <c r="I16" s="12"/>
      <c r="J16" s="249"/>
      <c r="M16" s="72" t="s">
        <v>296</v>
      </c>
      <c r="N16" s="234">
        <v>6660</v>
      </c>
      <c r="O16" s="235">
        <v>2.5000000000000001E-2</v>
      </c>
      <c r="P16" s="234">
        <f t="shared" si="0"/>
        <v>1195.8000000000002</v>
      </c>
      <c r="Q16" s="234">
        <f t="shared" si="1"/>
        <v>5464.2</v>
      </c>
    </row>
    <row r="17" spans="1:18" x14ac:dyDescent="0.25">
      <c r="A17" s="49" t="s">
        <v>264</v>
      </c>
      <c r="B17" s="50">
        <v>731</v>
      </c>
      <c r="C17" s="48"/>
      <c r="D17" s="12"/>
      <c r="E17" s="12"/>
      <c r="F17" s="12"/>
      <c r="G17" s="12"/>
      <c r="H17" s="12"/>
      <c r="I17" s="12"/>
      <c r="J17" s="249"/>
      <c r="M17" s="72" t="s">
        <v>297</v>
      </c>
      <c r="N17" s="234">
        <v>12600</v>
      </c>
      <c r="O17" s="235">
        <v>0.01</v>
      </c>
      <c r="P17" s="234">
        <f t="shared" si="0"/>
        <v>1195.8000000000002</v>
      </c>
      <c r="Q17" s="234">
        <f t="shared" si="1"/>
        <v>11404.2</v>
      </c>
    </row>
    <row r="18" spans="1:18" x14ac:dyDescent="0.25">
      <c r="A18" s="49" t="s">
        <v>265</v>
      </c>
      <c r="B18" s="51">
        <v>22.9</v>
      </c>
      <c r="C18" s="48"/>
      <c r="D18" s="12"/>
      <c r="E18" s="12"/>
      <c r="F18" s="12"/>
      <c r="G18" s="12"/>
      <c r="H18" s="12"/>
      <c r="I18" s="12"/>
      <c r="J18" s="249"/>
      <c r="M18" s="72" t="s">
        <v>298</v>
      </c>
      <c r="N18" s="234">
        <v>25860</v>
      </c>
      <c r="O18" s="235">
        <v>0.01</v>
      </c>
      <c r="P18" s="234">
        <f t="shared" si="0"/>
        <v>1195.8000000000002</v>
      </c>
      <c r="Q18" s="234">
        <f t="shared" si="1"/>
        <v>24664.2</v>
      </c>
    </row>
    <row r="19" spans="1:18" x14ac:dyDescent="0.25">
      <c r="A19" s="49" t="s">
        <v>266</v>
      </c>
      <c r="B19" s="52">
        <v>0.33</v>
      </c>
      <c r="C19" s="48"/>
      <c r="D19" s="12"/>
      <c r="E19" s="12"/>
      <c r="F19" s="12"/>
      <c r="G19" s="12"/>
      <c r="H19" s="12"/>
      <c r="I19" s="12"/>
      <c r="J19" s="249"/>
      <c r="M19" s="72" t="s">
        <v>299</v>
      </c>
      <c r="N19" s="234">
        <v>71460</v>
      </c>
      <c r="O19" s="235">
        <v>5.0000000000000001E-3</v>
      </c>
      <c r="P19" s="234">
        <f t="shared" si="0"/>
        <v>1195.8000000000002</v>
      </c>
      <c r="Q19" s="234">
        <f t="shared" si="1"/>
        <v>70264.2</v>
      </c>
    </row>
    <row r="20" spans="1:18" x14ac:dyDescent="0.25">
      <c r="A20" s="49" t="s">
        <v>267</v>
      </c>
      <c r="B20" s="51">
        <v>99.65</v>
      </c>
      <c r="C20" s="48"/>
      <c r="D20" s="12"/>
      <c r="E20" s="12"/>
      <c r="F20" s="12"/>
      <c r="G20" s="12"/>
      <c r="H20" s="12"/>
      <c r="I20" s="12"/>
      <c r="J20" s="249"/>
      <c r="P20" s="236" t="s">
        <v>482</v>
      </c>
      <c r="Q20" s="237">
        <f>SUMPRODUCT(Q10:Q19,O10:O19)</f>
        <v>1105.8162</v>
      </c>
      <c r="R20" s="70" t="s">
        <v>365</v>
      </c>
    </row>
    <row r="21" spans="1:18" x14ac:dyDescent="0.25">
      <c r="A21" s="49" t="s">
        <v>268</v>
      </c>
      <c r="B21" s="50">
        <v>0</v>
      </c>
      <c r="C21" s="48"/>
      <c r="D21" s="12"/>
      <c r="E21" s="12"/>
      <c r="F21" s="12"/>
      <c r="G21" s="12"/>
      <c r="H21" s="12"/>
      <c r="I21" s="12"/>
      <c r="J21" s="249"/>
      <c r="P21" s="236" t="s">
        <v>483</v>
      </c>
      <c r="Q21" s="238">
        <f>B17</f>
        <v>731</v>
      </c>
      <c r="R21" s="70" t="s">
        <v>367</v>
      </c>
    </row>
    <row r="22" spans="1:18" x14ac:dyDescent="0.25">
      <c r="A22" s="49" t="s">
        <v>269</v>
      </c>
      <c r="B22" s="50">
        <v>0</v>
      </c>
      <c r="C22" s="48"/>
      <c r="D22" s="12"/>
      <c r="E22" s="12"/>
      <c r="F22" s="12"/>
      <c r="G22" s="12"/>
      <c r="H22" s="12"/>
      <c r="I22" s="12"/>
      <c r="J22" s="249"/>
      <c r="P22" s="236" t="s">
        <v>484</v>
      </c>
      <c r="Q22" s="238">
        <f>Q20-Q21</f>
        <v>374.81619999999998</v>
      </c>
      <c r="R22" s="70" t="s">
        <v>485</v>
      </c>
    </row>
    <row r="23" spans="1:18" x14ac:dyDescent="0.25">
      <c r="A23" s="12"/>
      <c r="B23" s="53"/>
      <c r="C23" s="48"/>
      <c r="D23" s="12"/>
      <c r="E23" s="12"/>
      <c r="F23" s="12"/>
      <c r="G23" s="12"/>
      <c r="H23" s="12"/>
      <c r="I23" s="12"/>
      <c r="J23" s="249"/>
      <c r="P23" s="236"/>
      <c r="Q23" s="238"/>
    </row>
    <row r="24" spans="1:18" x14ac:dyDescent="0.25">
      <c r="A24" s="15" t="s">
        <v>300</v>
      </c>
      <c r="B24" s="54"/>
      <c r="C24" s="55"/>
      <c r="D24" s="12"/>
      <c r="E24" s="12"/>
      <c r="F24" s="12"/>
      <c r="G24" s="12"/>
      <c r="H24" s="12"/>
      <c r="I24" s="12"/>
      <c r="J24" s="249"/>
      <c r="L24" s="229" t="s">
        <v>486</v>
      </c>
    </row>
    <row r="25" spans="1:18" x14ac:dyDescent="0.25">
      <c r="A25" s="43" t="s">
        <v>270</v>
      </c>
      <c r="B25" s="44" t="s">
        <v>271</v>
      </c>
      <c r="C25" s="44" t="s">
        <v>272</v>
      </c>
      <c r="D25" s="12"/>
      <c r="E25" s="12"/>
      <c r="F25" s="12"/>
      <c r="G25" s="12"/>
      <c r="H25" s="12"/>
      <c r="I25" s="12"/>
      <c r="J25" s="249"/>
      <c r="M25" s="150" t="s">
        <v>478</v>
      </c>
      <c r="N25" s="151"/>
      <c r="O25" s="151"/>
      <c r="P25" s="150" t="s">
        <v>487</v>
      </c>
      <c r="Q25" s="231"/>
    </row>
    <row r="26" spans="1:18" x14ac:dyDescent="0.25">
      <c r="A26" s="43" t="s">
        <v>273</v>
      </c>
      <c r="B26" s="67" t="s">
        <v>274</v>
      </c>
      <c r="C26" s="67" t="s">
        <v>275</v>
      </c>
      <c r="D26" s="12"/>
      <c r="E26" s="12"/>
      <c r="F26" s="12"/>
      <c r="G26" s="12"/>
      <c r="H26" s="12"/>
      <c r="I26" s="12"/>
      <c r="J26" s="249"/>
      <c r="M26" s="232" t="s">
        <v>289</v>
      </c>
      <c r="N26" s="232" t="s">
        <v>290</v>
      </c>
      <c r="O26" s="232" t="s">
        <v>291</v>
      </c>
      <c r="P26" s="233" t="s">
        <v>480</v>
      </c>
      <c r="Q26" s="233" t="s">
        <v>481</v>
      </c>
    </row>
    <row r="27" spans="1:18" x14ac:dyDescent="0.25">
      <c r="A27" s="43" t="s">
        <v>276</v>
      </c>
      <c r="B27" s="45">
        <v>0.1</v>
      </c>
      <c r="C27" s="45">
        <v>0.1</v>
      </c>
      <c r="D27" s="12"/>
      <c r="E27" s="12"/>
      <c r="F27" s="12"/>
      <c r="G27" s="12"/>
      <c r="H27" s="12"/>
      <c r="I27" s="12"/>
      <c r="J27" s="249"/>
      <c r="M27" s="72">
        <v>0</v>
      </c>
      <c r="N27" s="234">
        <v>0</v>
      </c>
      <c r="O27" s="235">
        <v>0.15</v>
      </c>
      <c r="P27" s="234">
        <f t="shared" ref="P27:P36" si="2">MIN(N27,(N27-$R$28)*$B$27+$R$28,$R$30)</f>
        <v>0</v>
      </c>
      <c r="Q27" s="234">
        <f t="shared" ref="Q27:Q36" si="3">MAX(0,(N27-$R$28)*(1-$B$27),N27-$R$30)</f>
        <v>0</v>
      </c>
      <c r="R27" s="239" t="s">
        <v>488</v>
      </c>
    </row>
    <row r="28" spans="1:18" ht="27.6" x14ac:dyDescent="0.25">
      <c r="A28" s="43" t="s">
        <v>277</v>
      </c>
      <c r="B28" s="67" t="s">
        <v>278</v>
      </c>
      <c r="C28" s="67" t="s">
        <v>279</v>
      </c>
      <c r="D28" s="12"/>
      <c r="E28" s="12"/>
      <c r="F28" s="12"/>
      <c r="G28" s="12"/>
      <c r="H28" s="12"/>
      <c r="I28" s="12"/>
      <c r="J28" s="249"/>
      <c r="M28" s="72" t="s">
        <v>292</v>
      </c>
      <c r="N28" s="234">
        <v>180</v>
      </c>
      <c r="O28" s="235">
        <v>0.2</v>
      </c>
      <c r="P28" s="234">
        <f t="shared" si="2"/>
        <v>153</v>
      </c>
      <c r="Q28" s="234">
        <f t="shared" si="3"/>
        <v>27</v>
      </c>
      <c r="R28" s="240">
        <v>150</v>
      </c>
    </row>
    <row r="29" spans="1:18" x14ac:dyDescent="0.25">
      <c r="A29" s="43" t="s">
        <v>280</v>
      </c>
      <c r="B29" s="56">
        <v>75</v>
      </c>
      <c r="C29" s="67" t="s">
        <v>281</v>
      </c>
      <c r="D29" s="12"/>
      <c r="E29" s="12"/>
      <c r="F29" s="12"/>
      <c r="G29" s="12"/>
      <c r="H29" s="12"/>
      <c r="I29" s="12"/>
      <c r="J29" s="249"/>
      <c r="M29" s="72" t="s">
        <v>26</v>
      </c>
      <c r="N29" s="234">
        <v>360</v>
      </c>
      <c r="O29" s="235">
        <v>0.25</v>
      </c>
      <c r="P29" s="234">
        <f t="shared" si="2"/>
        <v>171</v>
      </c>
      <c r="Q29" s="234">
        <f t="shared" si="3"/>
        <v>189</v>
      </c>
      <c r="R29" s="239" t="s">
        <v>489</v>
      </c>
    </row>
    <row r="30" spans="1:18" ht="41.4" x14ac:dyDescent="0.25">
      <c r="A30" s="43" t="s">
        <v>282</v>
      </c>
      <c r="B30" s="44" t="s">
        <v>283</v>
      </c>
      <c r="C30" s="44" t="s">
        <v>284</v>
      </c>
      <c r="D30" s="12"/>
      <c r="E30" s="12"/>
      <c r="F30" s="12"/>
      <c r="G30" s="12"/>
      <c r="H30" s="12"/>
      <c r="I30" s="12"/>
      <c r="J30" s="249"/>
      <c r="M30" s="72" t="s">
        <v>293</v>
      </c>
      <c r="N30" s="234">
        <v>720</v>
      </c>
      <c r="O30" s="235">
        <v>0.2</v>
      </c>
      <c r="P30" s="234">
        <f t="shared" si="2"/>
        <v>207</v>
      </c>
      <c r="Q30" s="234">
        <f t="shared" si="3"/>
        <v>513</v>
      </c>
      <c r="R30" s="240">
        <v>750</v>
      </c>
    </row>
    <row r="31" spans="1:18" x14ac:dyDescent="0.25">
      <c r="A31" s="12"/>
      <c r="B31" s="12"/>
      <c r="C31" s="12"/>
      <c r="D31" s="12"/>
      <c r="E31" s="12"/>
      <c r="F31" s="12"/>
      <c r="G31" s="12"/>
      <c r="H31" s="12"/>
      <c r="I31" s="12"/>
      <c r="J31" s="249"/>
      <c r="M31" s="72" t="s">
        <v>294</v>
      </c>
      <c r="N31" s="234">
        <v>1440</v>
      </c>
      <c r="O31" s="235">
        <v>0.1</v>
      </c>
      <c r="P31" s="234">
        <f t="shared" si="2"/>
        <v>279</v>
      </c>
      <c r="Q31" s="234">
        <f t="shared" si="3"/>
        <v>1161</v>
      </c>
    </row>
    <row r="32" spans="1:18" x14ac:dyDescent="0.25">
      <c r="A32" s="15" t="s">
        <v>285</v>
      </c>
      <c r="B32" s="16"/>
      <c r="C32" s="16"/>
      <c r="D32" s="16"/>
      <c r="E32" s="16"/>
      <c r="F32" s="16"/>
      <c r="G32" s="17"/>
      <c r="H32" s="12"/>
      <c r="I32" s="12"/>
      <c r="J32" s="249"/>
      <c r="M32" s="72" t="s">
        <v>295</v>
      </c>
      <c r="N32" s="234">
        <v>3300</v>
      </c>
      <c r="O32" s="235">
        <v>0.05</v>
      </c>
      <c r="P32" s="234">
        <f t="shared" si="2"/>
        <v>465</v>
      </c>
      <c r="Q32" s="234">
        <f t="shared" si="3"/>
        <v>2835</v>
      </c>
    </row>
    <row r="33" spans="1:18" x14ac:dyDescent="0.25">
      <c r="A33" s="49"/>
      <c r="B33" s="58" t="s">
        <v>286</v>
      </c>
      <c r="C33" s="59"/>
      <c r="D33" s="58" t="s">
        <v>287</v>
      </c>
      <c r="E33" s="59"/>
      <c r="F33" s="58" t="s">
        <v>288</v>
      </c>
      <c r="G33" s="59"/>
      <c r="H33" s="12"/>
      <c r="I33" s="12"/>
      <c r="J33" s="249"/>
      <c r="M33" s="72" t="s">
        <v>296</v>
      </c>
      <c r="N33" s="234">
        <v>6660</v>
      </c>
      <c r="O33" s="235">
        <v>2.5000000000000001E-2</v>
      </c>
      <c r="P33" s="234">
        <f t="shared" si="2"/>
        <v>750</v>
      </c>
      <c r="Q33" s="234">
        <f t="shared" si="3"/>
        <v>5910</v>
      </c>
    </row>
    <row r="34" spans="1:18" x14ac:dyDescent="0.25">
      <c r="A34" s="18" t="s">
        <v>289</v>
      </c>
      <c r="B34" s="18" t="s">
        <v>290</v>
      </c>
      <c r="C34" s="18" t="s">
        <v>291</v>
      </c>
      <c r="D34" s="18" t="s">
        <v>290</v>
      </c>
      <c r="E34" s="18" t="s">
        <v>291</v>
      </c>
      <c r="F34" s="18" t="s">
        <v>290</v>
      </c>
      <c r="G34" s="18" t="s">
        <v>291</v>
      </c>
      <c r="H34" s="12"/>
      <c r="I34" s="12"/>
      <c r="J34" s="249"/>
      <c r="M34" s="72" t="s">
        <v>297</v>
      </c>
      <c r="N34" s="234">
        <v>12600</v>
      </c>
      <c r="O34" s="235">
        <v>0.01</v>
      </c>
      <c r="P34" s="234">
        <f t="shared" si="2"/>
        <v>750</v>
      </c>
      <c r="Q34" s="234">
        <f t="shared" si="3"/>
        <v>11850</v>
      </c>
    </row>
    <row r="35" spans="1:18" x14ac:dyDescent="0.25">
      <c r="A35" s="18">
        <v>0</v>
      </c>
      <c r="B35" s="57">
        <v>0</v>
      </c>
      <c r="C35" s="19">
        <v>0.15</v>
      </c>
      <c r="D35" s="57">
        <v>0</v>
      </c>
      <c r="E35" s="19">
        <v>0.55000000000000004</v>
      </c>
      <c r="F35" s="57">
        <v>0</v>
      </c>
      <c r="G35" s="19">
        <v>3.0000000000000001E-3</v>
      </c>
      <c r="H35" s="12"/>
      <c r="I35" s="12"/>
      <c r="J35" s="249"/>
      <c r="M35" s="72" t="s">
        <v>298</v>
      </c>
      <c r="N35" s="234">
        <v>25860</v>
      </c>
      <c r="O35" s="235">
        <v>0.01</v>
      </c>
      <c r="P35" s="234">
        <f t="shared" si="2"/>
        <v>750</v>
      </c>
      <c r="Q35" s="234">
        <f t="shared" si="3"/>
        <v>25110</v>
      </c>
    </row>
    <row r="36" spans="1:18" x14ac:dyDescent="0.25">
      <c r="A36" s="18" t="s">
        <v>292</v>
      </c>
      <c r="B36" s="57">
        <v>180</v>
      </c>
      <c r="C36" s="19">
        <v>0.2</v>
      </c>
      <c r="D36" s="57">
        <v>180</v>
      </c>
      <c r="E36" s="19">
        <v>0.15</v>
      </c>
      <c r="F36" s="57">
        <f t="shared" ref="F36:F43" si="4">D36</f>
        <v>180</v>
      </c>
      <c r="G36" s="19">
        <v>5.5E-2</v>
      </c>
      <c r="H36" s="12"/>
      <c r="I36" s="12"/>
      <c r="J36" s="249"/>
      <c r="M36" s="72" t="s">
        <v>299</v>
      </c>
      <c r="N36" s="234">
        <v>71460</v>
      </c>
      <c r="O36" s="235">
        <v>5.0000000000000001E-3</v>
      </c>
      <c r="P36" s="234">
        <f t="shared" si="2"/>
        <v>750</v>
      </c>
      <c r="Q36" s="234">
        <f t="shared" si="3"/>
        <v>70710</v>
      </c>
    </row>
    <row r="37" spans="1:18" x14ac:dyDescent="0.25">
      <c r="A37" s="18" t="s">
        <v>26</v>
      </c>
      <c r="B37" s="57">
        <v>360</v>
      </c>
      <c r="C37" s="19">
        <v>0.25</v>
      </c>
      <c r="D37" s="57">
        <v>360</v>
      </c>
      <c r="E37" s="19">
        <v>0.15</v>
      </c>
      <c r="F37" s="57">
        <f t="shared" si="4"/>
        <v>360</v>
      </c>
      <c r="G37" s="19">
        <v>0.2</v>
      </c>
      <c r="H37" s="12"/>
      <c r="I37" s="12"/>
      <c r="J37" s="249"/>
      <c r="P37" s="236" t="s">
        <v>490</v>
      </c>
      <c r="Q37" s="237">
        <f>SUMPRODUCT(Q27:Q36,O27:O36)</f>
        <v>1284</v>
      </c>
      <c r="R37" s="70" t="s">
        <v>491</v>
      </c>
    </row>
    <row r="38" spans="1:18" x14ac:dyDescent="0.25">
      <c r="A38" s="18" t="s">
        <v>293</v>
      </c>
      <c r="B38" s="57">
        <v>720</v>
      </c>
      <c r="C38" s="19">
        <v>0.2</v>
      </c>
      <c r="D38" s="57">
        <v>720</v>
      </c>
      <c r="E38" s="19">
        <v>0.08</v>
      </c>
      <c r="F38" s="57">
        <f t="shared" si="4"/>
        <v>720</v>
      </c>
      <c r="G38" s="19">
        <v>0.21</v>
      </c>
      <c r="H38" s="12"/>
      <c r="I38" s="12"/>
      <c r="J38" s="249"/>
      <c r="P38" s="236" t="s">
        <v>483</v>
      </c>
      <c r="Q38" s="238">
        <f>B29*12</f>
        <v>900</v>
      </c>
      <c r="R38" s="70" t="s">
        <v>492</v>
      </c>
    </row>
    <row r="39" spans="1:18" x14ac:dyDescent="0.25">
      <c r="A39" s="18" t="s">
        <v>294</v>
      </c>
      <c r="B39" s="57">
        <v>1440</v>
      </c>
      <c r="C39" s="19">
        <v>0.1</v>
      </c>
      <c r="D39" s="57">
        <v>1440</v>
      </c>
      <c r="E39" s="19">
        <v>0.05</v>
      </c>
      <c r="F39" s="57">
        <f t="shared" si="4"/>
        <v>1440</v>
      </c>
      <c r="G39" s="19">
        <v>0.17</v>
      </c>
      <c r="H39" s="12"/>
      <c r="I39" s="12"/>
      <c r="J39" s="249"/>
      <c r="P39" s="236" t="s">
        <v>493</v>
      </c>
      <c r="Q39" s="238">
        <f>Q37-Q38</f>
        <v>384</v>
      </c>
      <c r="R39" s="70" t="s">
        <v>494</v>
      </c>
    </row>
    <row r="40" spans="1:18" x14ac:dyDescent="0.25">
      <c r="A40" s="18" t="s">
        <v>295</v>
      </c>
      <c r="B40" s="57">
        <v>3300</v>
      </c>
      <c r="C40" s="19">
        <v>0.05</v>
      </c>
      <c r="D40" s="57">
        <v>3300</v>
      </c>
      <c r="E40" s="19">
        <v>0.01</v>
      </c>
      <c r="F40" s="57">
        <f t="shared" si="4"/>
        <v>3300</v>
      </c>
      <c r="G40" s="19">
        <v>0.15</v>
      </c>
      <c r="H40" s="12"/>
      <c r="I40" s="12"/>
      <c r="J40" s="249"/>
      <c r="P40" s="236"/>
      <c r="Q40" s="238"/>
    </row>
    <row r="41" spans="1:18" x14ac:dyDescent="0.25">
      <c r="A41" s="18" t="s">
        <v>296</v>
      </c>
      <c r="B41" s="57">
        <v>6660</v>
      </c>
      <c r="C41" s="19">
        <v>2.5000000000000001E-2</v>
      </c>
      <c r="D41" s="57">
        <v>6660</v>
      </c>
      <c r="E41" s="19">
        <v>5.0000000000000001E-3</v>
      </c>
      <c r="F41" s="57">
        <f t="shared" si="4"/>
        <v>6660</v>
      </c>
      <c r="G41" s="19">
        <v>0.11</v>
      </c>
      <c r="H41" s="12"/>
      <c r="I41" s="12"/>
      <c r="J41" s="249"/>
      <c r="L41" s="229" t="s">
        <v>495</v>
      </c>
    </row>
    <row r="42" spans="1:18" x14ac:dyDescent="0.25">
      <c r="A42" s="18" t="s">
        <v>297</v>
      </c>
      <c r="B42" s="57">
        <v>12600</v>
      </c>
      <c r="C42" s="19">
        <v>0.01</v>
      </c>
      <c r="D42" s="57">
        <v>12600</v>
      </c>
      <c r="E42" s="19">
        <v>2E-3</v>
      </c>
      <c r="F42" s="57">
        <f t="shared" si="4"/>
        <v>12600</v>
      </c>
      <c r="G42" s="19">
        <v>7.0000000000000007E-2</v>
      </c>
      <c r="H42" s="12"/>
      <c r="I42" s="12"/>
      <c r="J42" s="249"/>
      <c r="L42" s="241"/>
      <c r="M42" s="236" t="s">
        <v>496</v>
      </c>
      <c r="N42" s="242">
        <f>Q39/Q22</f>
        <v>1.0245021426501844</v>
      </c>
    </row>
    <row r="43" spans="1:18" x14ac:dyDescent="0.25">
      <c r="A43" s="18" t="s">
        <v>298</v>
      </c>
      <c r="B43" s="57">
        <v>25860</v>
      </c>
      <c r="C43" s="19">
        <v>0.01</v>
      </c>
      <c r="D43" s="57">
        <v>25860</v>
      </c>
      <c r="E43" s="19">
        <v>2E-3</v>
      </c>
      <c r="F43" s="57">
        <f t="shared" si="4"/>
        <v>25860</v>
      </c>
      <c r="G43" s="19">
        <v>0.02</v>
      </c>
      <c r="H43" s="12"/>
      <c r="I43" s="12"/>
      <c r="J43" s="249"/>
      <c r="L43" s="241"/>
      <c r="M43" s="243"/>
    </row>
    <row r="44" spans="1:18" x14ac:dyDescent="0.25">
      <c r="A44" s="18" t="s">
        <v>299</v>
      </c>
      <c r="B44" s="57">
        <v>71460</v>
      </c>
      <c r="C44" s="19">
        <v>5.0000000000000001E-3</v>
      </c>
      <c r="D44" s="57">
        <v>71460</v>
      </c>
      <c r="E44" s="19">
        <v>1E-3</v>
      </c>
      <c r="F44" s="57">
        <v>72066</v>
      </c>
      <c r="G44" s="19">
        <v>0.01</v>
      </c>
      <c r="H44" s="12"/>
      <c r="I44" s="12"/>
      <c r="J44" s="249"/>
      <c r="L44" s="229" t="s">
        <v>497</v>
      </c>
    </row>
    <row r="45" spans="1:18" x14ac:dyDescent="0.25">
      <c r="A45" s="12"/>
      <c r="B45" s="12"/>
      <c r="C45" s="12"/>
      <c r="D45" s="12"/>
      <c r="E45" s="12"/>
      <c r="F45" s="12"/>
      <c r="G45" s="12"/>
      <c r="H45" s="12"/>
      <c r="I45" s="12"/>
      <c r="J45" s="249"/>
      <c r="L45" s="241"/>
      <c r="M45" s="70" t="s">
        <v>498</v>
      </c>
    </row>
    <row r="46" spans="1:18" x14ac:dyDescent="0.25">
      <c r="A46" s="12" t="s">
        <v>301</v>
      </c>
      <c r="B46" s="12"/>
      <c r="C46" s="12"/>
      <c r="D46" s="12"/>
      <c r="E46" s="12"/>
      <c r="F46" s="12"/>
      <c r="G46" s="12"/>
      <c r="H46" s="12"/>
      <c r="I46" s="12"/>
      <c r="J46" s="249"/>
      <c r="L46" s="241"/>
      <c r="M46" s="70" t="s">
        <v>499</v>
      </c>
    </row>
    <row r="47" spans="1:18" x14ac:dyDescent="0.25">
      <c r="A47" s="12"/>
      <c r="B47" s="177" t="s">
        <v>302</v>
      </c>
      <c r="C47" s="12"/>
      <c r="D47" s="12"/>
      <c r="E47" s="12"/>
      <c r="F47" s="12"/>
      <c r="G47" s="12"/>
      <c r="H47" s="12"/>
      <c r="I47" s="12"/>
      <c r="J47" s="249"/>
      <c r="L47" s="241"/>
      <c r="P47" s="236" t="s">
        <v>484</v>
      </c>
      <c r="Q47" s="244">
        <f>2*(Q22+P4)</f>
        <v>1600.1923999999999</v>
      </c>
      <c r="R47" s="70" t="s">
        <v>500</v>
      </c>
    </row>
    <row r="48" spans="1:18" x14ac:dyDescent="0.25">
      <c r="A48" s="12"/>
      <c r="B48" s="251" t="s">
        <v>364</v>
      </c>
      <c r="C48" s="12"/>
      <c r="D48" s="12"/>
      <c r="E48" s="12"/>
      <c r="F48" s="12"/>
      <c r="G48" s="12"/>
      <c r="H48" s="12"/>
      <c r="I48" s="12"/>
      <c r="J48" s="249"/>
      <c r="L48" s="241"/>
      <c r="P48" s="236"/>
    </row>
    <row r="49" spans="1:18" x14ac:dyDescent="0.25">
      <c r="A49" s="12"/>
      <c r="B49" s="177" t="s">
        <v>303</v>
      </c>
      <c r="C49" s="12"/>
      <c r="D49" s="12"/>
      <c r="E49" s="12"/>
      <c r="F49" s="12"/>
      <c r="G49" s="12"/>
      <c r="H49" s="12"/>
      <c r="I49" s="12"/>
      <c r="J49" s="249"/>
      <c r="L49" s="229" t="s">
        <v>501</v>
      </c>
    </row>
    <row r="50" spans="1:18" x14ac:dyDescent="0.25">
      <c r="A50" s="12"/>
      <c r="B50" s="12"/>
      <c r="C50" s="12"/>
      <c r="D50" s="12"/>
      <c r="E50" s="12"/>
      <c r="F50" s="12"/>
      <c r="G50" s="12"/>
      <c r="H50" s="12"/>
      <c r="I50" s="12"/>
      <c r="J50" s="249"/>
      <c r="M50" s="150" t="s">
        <v>502</v>
      </c>
      <c r="N50" s="151"/>
      <c r="O50" s="151"/>
      <c r="P50" s="150" t="s">
        <v>487</v>
      </c>
      <c r="Q50" s="231"/>
    </row>
    <row r="51" spans="1:18" x14ac:dyDescent="0.25">
      <c r="M51" s="232" t="s">
        <v>289</v>
      </c>
      <c r="N51" s="232" t="s">
        <v>290</v>
      </c>
      <c r="O51" s="232" t="s">
        <v>291</v>
      </c>
      <c r="P51" s="233" t="s">
        <v>480</v>
      </c>
      <c r="Q51" s="233" t="s">
        <v>481</v>
      </c>
    </row>
    <row r="52" spans="1:18" x14ac:dyDescent="0.25">
      <c r="M52" s="72">
        <v>0</v>
      </c>
      <c r="N52" s="234">
        <v>0</v>
      </c>
      <c r="O52" s="235">
        <v>3.0000000000000001E-3</v>
      </c>
      <c r="P52" s="234">
        <f t="shared" ref="P52:P61" si="5">MIN(N52,(N52-$R$53)*$C$27+$R$53,$R$55)</f>
        <v>0</v>
      </c>
      <c r="Q52" s="234">
        <f t="shared" ref="Q52:Q61" si="6">MAX(0,(N52-$R$53)*(1-$C$27),N52-$R$55)</f>
        <v>0</v>
      </c>
      <c r="R52" s="70" t="s">
        <v>503</v>
      </c>
    </row>
    <row r="53" spans="1:18" x14ac:dyDescent="0.25">
      <c r="M53" s="72" t="s">
        <v>292</v>
      </c>
      <c r="N53" s="234">
        <v>180</v>
      </c>
      <c r="O53" s="235">
        <v>5.5E-2</v>
      </c>
      <c r="P53" s="234">
        <f t="shared" si="5"/>
        <v>180</v>
      </c>
      <c r="Q53" s="234">
        <f t="shared" si="6"/>
        <v>0</v>
      </c>
      <c r="R53" s="77">
        <f>R28*2</f>
        <v>300</v>
      </c>
    </row>
    <row r="54" spans="1:18" x14ac:dyDescent="0.25">
      <c r="M54" s="72" t="s">
        <v>26</v>
      </c>
      <c r="N54" s="234">
        <v>360</v>
      </c>
      <c r="O54" s="235">
        <v>0.2</v>
      </c>
      <c r="P54" s="234">
        <f t="shared" si="5"/>
        <v>306</v>
      </c>
      <c r="Q54" s="234">
        <f t="shared" si="6"/>
        <v>54</v>
      </c>
      <c r="R54" s="70" t="s">
        <v>504</v>
      </c>
    </row>
    <row r="55" spans="1:18" x14ac:dyDescent="0.25">
      <c r="M55" s="72" t="s">
        <v>293</v>
      </c>
      <c r="N55" s="234">
        <v>720</v>
      </c>
      <c r="O55" s="235">
        <v>0.21</v>
      </c>
      <c r="P55" s="234">
        <f t="shared" si="5"/>
        <v>342</v>
      </c>
      <c r="Q55" s="234">
        <f t="shared" si="6"/>
        <v>378</v>
      </c>
      <c r="R55" s="77">
        <f>R30*1.5</f>
        <v>1125</v>
      </c>
    </row>
    <row r="56" spans="1:18" x14ac:dyDescent="0.25">
      <c r="M56" s="72" t="s">
        <v>294</v>
      </c>
      <c r="N56" s="234">
        <v>1440</v>
      </c>
      <c r="O56" s="235">
        <v>0.17</v>
      </c>
      <c r="P56" s="234">
        <f t="shared" si="5"/>
        <v>414</v>
      </c>
      <c r="Q56" s="234">
        <f t="shared" si="6"/>
        <v>1026</v>
      </c>
    </row>
    <row r="57" spans="1:18" x14ac:dyDescent="0.25">
      <c r="I57" s="88"/>
      <c r="J57" s="245"/>
      <c r="M57" s="72" t="s">
        <v>295</v>
      </c>
      <c r="N57" s="234">
        <v>3300</v>
      </c>
      <c r="O57" s="235">
        <v>0.15</v>
      </c>
      <c r="P57" s="234">
        <f t="shared" si="5"/>
        <v>600</v>
      </c>
      <c r="Q57" s="234">
        <f t="shared" si="6"/>
        <v>2700</v>
      </c>
    </row>
    <row r="58" spans="1:18" x14ac:dyDescent="0.25">
      <c r="I58" s="88"/>
      <c r="J58" s="245"/>
      <c r="M58" s="72" t="s">
        <v>296</v>
      </c>
      <c r="N58" s="234">
        <v>6660</v>
      </c>
      <c r="O58" s="235">
        <v>0.11</v>
      </c>
      <c r="P58" s="234">
        <f t="shared" si="5"/>
        <v>936</v>
      </c>
      <c r="Q58" s="234">
        <f t="shared" si="6"/>
        <v>5724</v>
      </c>
    </row>
    <row r="59" spans="1:18" x14ac:dyDescent="0.25">
      <c r="M59" s="72" t="s">
        <v>297</v>
      </c>
      <c r="N59" s="234">
        <v>12600</v>
      </c>
      <c r="O59" s="235">
        <v>7.0000000000000007E-2</v>
      </c>
      <c r="P59" s="234">
        <f t="shared" si="5"/>
        <v>1125</v>
      </c>
      <c r="Q59" s="234">
        <f t="shared" si="6"/>
        <v>11475</v>
      </c>
    </row>
    <row r="60" spans="1:18" x14ac:dyDescent="0.25">
      <c r="M60" s="72" t="s">
        <v>298</v>
      </c>
      <c r="N60" s="234">
        <v>25860</v>
      </c>
      <c r="O60" s="235">
        <v>0.02</v>
      </c>
      <c r="P60" s="234">
        <f t="shared" si="5"/>
        <v>1125</v>
      </c>
      <c r="Q60" s="234">
        <f t="shared" si="6"/>
        <v>24735</v>
      </c>
    </row>
    <row r="61" spans="1:18" x14ac:dyDescent="0.25">
      <c r="M61" s="72" t="s">
        <v>299</v>
      </c>
      <c r="N61" s="234">
        <v>72066</v>
      </c>
      <c r="O61" s="235">
        <v>0.01</v>
      </c>
      <c r="P61" s="234">
        <f t="shared" si="5"/>
        <v>1125</v>
      </c>
      <c r="Q61" s="234">
        <f t="shared" si="6"/>
        <v>70941</v>
      </c>
    </row>
    <row r="62" spans="1:18" x14ac:dyDescent="0.25">
      <c r="P62" s="236" t="s">
        <v>505</v>
      </c>
      <c r="Q62" s="237">
        <f>SUMPRODUCT(Q52:Q61,O52:O61)</f>
        <v>3306.6</v>
      </c>
      <c r="R62" s="70" t="s">
        <v>506</v>
      </c>
    </row>
    <row r="63" spans="1:18" x14ac:dyDescent="0.25">
      <c r="P63" s="247" t="s">
        <v>483</v>
      </c>
      <c r="Q63" s="248">
        <v>1260</v>
      </c>
      <c r="R63" s="239" t="s">
        <v>281</v>
      </c>
    </row>
    <row r="64" spans="1:18" x14ac:dyDescent="0.25">
      <c r="P64" s="236" t="s">
        <v>493</v>
      </c>
      <c r="Q64" s="238">
        <f>Q62-Q63</f>
        <v>2046.6</v>
      </c>
      <c r="R64" s="70" t="s">
        <v>507</v>
      </c>
    </row>
    <row r="65" spans="12:17" x14ac:dyDescent="0.25">
      <c r="P65" s="236"/>
      <c r="Q65" s="238"/>
    </row>
    <row r="66" spans="12:17" x14ac:dyDescent="0.25">
      <c r="L66" s="229" t="s">
        <v>508</v>
      </c>
    </row>
    <row r="67" spans="12:17" x14ac:dyDescent="0.25">
      <c r="M67" s="236" t="s">
        <v>509</v>
      </c>
      <c r="N67" s="242">
        <f>Q64/Q47</f>
        <v>1.2789712037127536</v>
      </c>
    </row>
    <row r="68" spans="12:17" x14ac:dyDescent="0.25">
      <c r="L68" s="147"/>
      <c r="M68" s="148"/>
      <c r="N68" s="149"/>
    </row>
    <row r="69" spans="12:17" x14ac:dyDescent="0.25">
      <c r="L69" s="70" t="s">
        <v>351</v>
      </c>
    </row>
    <row r="70" spans="12:17" x14ac:dyDescent="0.25">
      <c r="L70" s="230" t="s">
        <v>510</v>
      </c>
    </row>
    <row r="71" spans="12:17" x14ac:dyDescent="0.25">
      <c r="M71" s="236" t="s">
        <v>511</v>
      </c>
      <c r="N71" s="70" t="str">
        <f>IF((N42&lt;1)+(N42&gt;1.05),"NO","YES")</f>
        <v>YES</v>
      </c>
    </row>
    <row r="72" spans="12:17" x14ac:dyDescent="0.25">
      <c r="L72" s="230" t="s">
        <v>512</v>
      </c>
    </row>
    <row r="73" spans="12:17" x14ac:dyDescent="0.25">
      <c r="M73" s="236" t="s">
        <v>513</v>
      </c>
      <c r="N73" s="70" t="str">
        <f>IF((N67&lt;1.25)+(N67&gt;1.3),"NO","YES")</f>
        <v>YES</v>
      </c>
    </row>
    <row r="75" spans="12:17" x14ac:dyDescent="0.25">
      <c r="L75" s="150" t="s">
        <v>514</v>
      </c>
      <c r="M75" s="151"/>
      <c r="N75" s="152"/>
    </row>
    <row r="76" spans="12:17" x14ac:dyDescent="0.25">
      <c r="L76" s="153" t="s">
        <v>270</v>
      </c>
      <c r="M76" s="154" t="s">
        <v>515</v>
      </c>
      <c r="N76" s="154" t="s">
        <v>288</v>
      </c>
    </row>
    <row r="77" spans="12:17" x14ac:dyDescent="0.25">
      <c r="L77" s="155" t="s">
        <v>273</v>
      </c>
      <c r="M77" s="156">
        <f>R28</f>
        <v>150</v>
      </c>
      <c r="N77" s="156">
        <f>R53</f>
        <v>300</v>
      </c>
    </row>
    <row r="78" spans="12:17" x14ac:dyDescent="0.25">
      <c r="L78" s="155" t="s">
        <v>276</v>
      </c>
      <c r="M78" s="157">
        <v>0.1</v>
      </c>
      <c r="N78" s="157">
        <v>0.1</v>
      </c>
    </row>
    <row r="79" spans="12:17" x14ac:dyDescent="0.25">
      <c r="L79" s="155" t="s">
        <v>277</v>
      </c>
      <c r="M79" s="156">
        <f>R30</f>
        <v>750</v>
      </c>
      <c r="N79" s="156">
        <f>R55</f>
        <v>1125</v>
      </c>
    </row>
    <row r="80" spans="12:17" x14ac:dyDescent="0.25">
      <c r="L80" s="155" t="s">
        <v>280</v>
      </c>
      <c r="M80" s="158">
        <v>75</v>
      </c>
      <c r="N80" s="159">
        <f>Q63/12</f>
        <v>105</v>
      </c>
    </row>
    <row r="81" spans="12:14" x14ac:dyDescent="0.25">
      <c r="L81" s="155" t="s">
        <v>282</v>
      </c>
      <c r="M81" s="160">
        <f>N42</f>
        <v>1.0245021426501844</v>
      </c>
      <c r="N81" s="160">
        <f>N67</f>
        <v>1.2789712037127536</v>
      </c>
    </row>
    <row r="100" spans="11:11" x14ac:dyDescent="0.25">
      <c r="K100" s="182"/>
    </row>
    <row r="136" spans="1:21" s="181" customFormat="1" x14ac:dyDescent="0.25">
      <c r="A136" s="181" t="s">
        <v>2</v>
      </c>
      <c r="J136" s="252"/>
      <c r="K136" s="165"/>
      <c r="L136" s="253"/>
      <c r="M136" s="253"/>
      <c r="N136" s="253"/>
      <c r="O136" s="253"/>
      <c r="P136" s="253"/>
      <c r="Q136" s="253"/>
      <c r="R136" s="253"/>
      <c r="S136" s="253"/>
      <c r="T136" s="253"/>
      <c r="U136" s="25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14907-871A-411B-A0CB-C9BCCFF4DDD0}">
  <dimension ref="A1:Y41"/>
  <sheetViews>
    <sheetView zoomScaleNormal="100" workbookViewId="0"/>
  </sheetViews>
  <sheetFormatPr defaultColWidth="9.109375" defaultRowHeight="13.8" x14ac:dyDescent="0.25"/>
  <cols>
    <col min="1" max="2" width="9.109375" style="70"/>
    <col min="3" max="3" width="14.6640625" style="70" bestFit="1" customWidth="1"/>
    <col min="4" max="8" width="9.109375" style="70"/>
    <col min="9" max="9" width="15.6640625" style="70" bestFit="1" customWidth="1"/>
    <col min="10" max="10" width="17" style="70" bestFit="1" customWidth="1"/>
    <col min="11" max="11" width="1.6640625" style="254" customWidth="1"/>
    <col min="12" max="12" width="17" style="70" bestFit="1" customWidth="1"/>
    <col min="13" max="13" width="16.109375" style="70" bestFit="1" customWidth="1"/>
    <col min="14" max="14" width="20.109375" style="70" bestFit="1" customWidth="1"/>
    <col min="15" max="15" width="13.6640625" style="70" bestFit="1" customWidth="1"/>
    <col min="16" max="19" width="9.109375" style="70"/>
    <col min="20" max="24" width="16.6640625" style="70" customWidth="1"/>
    <col min="25" max="25" width="18.44140625" style="70" customWidth="1"/>
    <col min="26" max="16384" width="9.109375" style="70"/>
  </cols>
  <sheetData>
    <row r="1" spans="1:25" x14ac:dyDescent="0.25">
      <c r="A1" s="164" t="s">
        <v>11</v>
      </c>
      <c r="B1" s="12"/>
      <c r="C1" s="12"/>
      <c r="D1" s="12"/>
      <c r="E1" s="12"/>
      <c r="F1" s="12"/>
      <c r="G1" s="12"/>
      <c r="H1" s="12"/>
      <c r="I1" s="12"/>
      <c r="J1" s="12"/>
      <c r="L1" s="70" t="s">
        <v>0</v>
      </c>
    </row>
    <row r="2" spans="1:25" ht="27.6" x14ac:dyDescent="0.25">
      <c r="A2" s="12" t="s">
        <v>12</v>
      </c>
      <c r="B2" s="12"/>
      <c r="C2" s="12"/>
      <c r="D2" s="12"/>
      <c r="E2" s="12"/>
      <c r="F2" s="12"/>
      <c r="G2" s="12"/>
      <c r="H2" s="12"/>
      <c r="I2" s="12"/>
      <c r="J2" s="12"/>
      <c r="L2" s="70" t="s">
        <v>350</v>
      </c>
      <c r="M2" s="60"/>
      <c r="N2" s="61" t="s">
        <v>316</v>
      </c>
      <c r="O2" s="61"/>
      <c r="P2" s="61" t="s">
        <v>305</v>
      </c>
      <c r="Q2" s="61"/>
      <c r="R2" s="61" t="s">
        <v>306</v>
      </c>
      <c r="S2" s="61"/>
      <c r="T2" s="380" t="s">
        <v>516</v>
      </c>
      <c r="U2" s="379"/>
      <c r="V2" s="379"/>
      <c r="W2" s="379"/>
    </row>
    <row r="3" spans="1:25" ht="27.6" x14ac:dyDescent="0.25">
      <c r="M3" s="62" t="s">
        <v>307</v>
      </c>
      <c r="N3" s="44" t="s">
        <v>308</v>
      </c>
      <c r="O3" s="44" t="s">
        <v>309</v>
      </c>
      <c r="P3" s="44" t="s">
        <v>159</v>
      </c>
      <c r="Q3" s="44" t="s">
        <v>27</v>
      </c>
      <c r="R3" s="44" t="s">
        <v>310</v>
      </c>
      <c r="S3" s="44" t="s">
        <v>311</v>
      </c>
      <c r="T3" s="70" t="s">
        <v>621</v>
      </c>
      <c r="U3" s="70" t="s">
        <v>620</v>
      </c>
      <c r="V3" s="70" t="s">
        <v>619</v>
      </c>
      <c r="W3" s="70" t="s">
        <v>618</v>
      </c>
      <c r="X3" s="70" t="s">
        <v>517</v>
      </c>
      <c r="Y3" s="70" t="s">
        <v>518</v>
      </c>
    </row>
    <row r="4" spans="1:25" x14ac:dyDescent="0.25">
      <c r="A4" s="180" t="s">
        <v>24</v>
      </c>
      <c r="B4" s="12"/>
      <c r="C4" s="12"/>
      <c r="D4" s="12"/>
      <c r="E4" s="12"/>
      <c r="F4" s="12"/>
      <c r="G4" s="12"/>
      <c r="H4" s="12"/>
      <c r="I4" s="12"/>
      <c r="J4" s="12"/>
      <c r="M4" s="63" t="s">
        <v>312</v>
      </c>
      <c r="N4" s="64">
        <v>100000</v>
      </c>
      <c r="O4" s="64">
        <v>10000</v>
      </c>
      <c r="P4" s="65">
        <v>0</v>
      </c>
      <c r="Q4" s="65">
        <v>0</v>
      </c>
      <c r="R4" s="65">
        <v>0</v>
      </c>
      <c r="S4" s="65">
        <v>0</v>
      </c>
      <c r="T4" s="105">
        <f>N4*(1-P4)</f>
        <v>100000</v>
      </c>
      <c r="U4" s="105">
        <f>O4*(1-P4)</f>
        <v>10000</v>
      </c>
      <c r="V4" s="105">
        <f>N4*(1+R4)*(1-Q4)</f>
        <v>100000</v>
      </c>
      <c r="W4" s="105">
        <f>O4*(1+R4)*(1-Q4)</f>
        <v>10000</v>
      </c>
      <c r="X4" s="255">
        <f>V4-T4</f>
        <v>0</v>
      </c>
      <c r="Y4" s="255">
        <f>W4-U4</f>
        <v>0</v>
      </c>
    </row>
    <row r="5" spans="1:25" x14ac:dyDescent="0.25">
      <c r="M5" s="63" t="s">
        <v>313</v>
      </c>
      <c r="N5" s="64">
        <v>900000</v>
      </c>
      <c r="O5" s="64">
        <v>80000</v>
      </c>
      <c r="P5" s="65">
        <v>0</v>
      </c>
      <c r="Q5" s="65">
        <v>1</v>
      </c>
      <c r="R5" s="65">
        <v>0</v>
      </c>
      <c r="S5" s="65">
        <v>0</v>
      </c>
      <c r="T5" s="105">
        <f t="shared" ref="T5:T7" si="0">N5*(1-P5)</f>
        <v>900000</v>
      </c>
      <c r="U5" s="105">
        <f t="shared" ref="U5:U6" si="1">O5*(1-P5)</f>
        <v>80000</v>
      </c>
      <c r="V5" s="105">
        <f t="shared" ref="V5:V7" si="2">N5*(1+R5)*(1-Q5)</f>
        <v>0</v>
      </c>
      <c r="W5" s="105">
        <f t="shared" ref="W5:W7" si="3">O5*(1+R5)*(1-Q5)</f>
        <v>0</v>
      </c>
      <c r="X5" s="255">
        <f t="shared" ref="X5:Y7" si="4">V5-T5</f>
        <v>-900000</v>
      </c>
      <c r="Y5" s="255">
        <f t="shared" si="4"/>
        <v>-80000</v>
      </c>
    </row>
    <row r="6" spans="1:25" x14ac:dyDescent="0.25">
      <c r="A6" s="184" t="s">
        <v>304</v>
      </c>
      <c r="B6" s="12"/>
      <c r="C6" s="12"/>
      <c r="D6" s="12"/>
      <c r="E6" s="12"/>
      <c r="F6" s="12"/>
      <c r="G6" s="12"/>
      <c r="H6" s="12"/>
      <c r="I6" s="12"/>
      <c r="J6" s="12"/>
      <c r="M6" s="63" t="s">
        <v>314</v>
      </c>
      <c r="N6" s="64">
        <v>800000</v>
      </c>
      <c r="O6" s="64">
        <v>135000</v>
      </c>
      <c r="P6" s="65">
        <v>0.7</v>
      </c>
      <c r="Q6" s="65">
        <v>0.3</v>
      </c>
      <c r="R6" s="65">
        <v>0.06</v>
      </c>
      <c r="S6" s="65">
        <v>0</v>
      </c>
      <c r="T6" s="105">
        <f t="shared" si="0"/>
        <v>240000.00000000003</v>
      </c>
      <c r="U6" s="105">
        <f t="shared" si="1"/>
        <v>40500.000000000007</v>
      </c>
      <c r="V6" s="105">
        <f t="shared" si="2"/>
        <v>593600</v>
      </c>
      <c r="W6" s="105">
        <f t="shared" si="3"/>
        <v>100170</v>
      </c>
      <c r="X6" s="255">
        <f t="shared" si="4"/>
        <v>353600</v>
      </c>
      <c r="Y6" s="255">
        <f t="shared" si="4"/>
        <v>59669.999999999993</v>
      </c>
    </row>
    <row r="7" spans="1:25" x14ac:dyDescent="0.25">
      <c r="A7" s="184"/>
      <c r="B7" s="184"/>
      <c r="C7" s="12"/>
      <c r="D7" s="12"/>
      <c r="E7" s="12"/>
      <c r="F7" s="12"/>
      <c r="G7" s="12"/>
      <c r="H7" s="12"/>
      <c r="I7" s="12"/>
      <c r="J7" s="12"/>
      <c r="M7" s="63" t="s">
        <v>315</v>
      </c>
      <c r="N7" s="64">
        <v>600000</v>
      </c>
      <c r="O7" s="64">
        <v>95000</v>
      </c>
      <c r="P7" s="65">
        <v>0.7</v>
      </c>
      <c r="Q7" s="65">
        <v>0.3</v>
      </c>
      <c r="R7" s="65">
        <v>7.0000000000000007E-2</v>
      </c>
      <c r="S7" s="65">
        <v>0</v>
      </c>
      <c r="T7" s="105">
        <f t="shared" si="0"/>
        <v>180000.00000000003</v>
      </c>
      <c r="U7" s="105">
        <f>O7*(1-P7)</f>
        <v>28500.000000000004</v>
      </c>
      <c r="V7" s="105">
        <f t="shared" si="2"/>
        <v>449400</v>
      </c>
      <c r="W7" s="105">
        <f t="shared" si="3"/>
        <v>71155</v>
      </c>
      <c r="X7" s="255">
        <f t="shared" si="4"/>
        <v>269400</v>
      </c>
      <c r="Y7" s="255">
        <f t="shared" si="4"/>
        <v>42655</v>
      </c>
    </row>
    <row r="8" spans="1:25" ht="27.6" x14ac:dyDescent="0.25">
      <c r="A8" s="60"/>
      <c r="B8" s="61" t="s">
        <v>316</v>
      </c>
      <c r="C8" s="61"/>
      <c r="D8" s="61" t="s">
        <v>305</v>
      </c>
      <c r="E8" s="61"/>
      <c r="F8" s="61" t="s">
        <v>306</v>
      </c>
      <c r="G8" s="61"/>
      <c r="H8" s="12"/>
      <c r="I8" s="12"/>
      <c r="J8" s="12"/>
      <c r="S8" s="70" t="s">
        <v>519</v>
      </c>
      <c r="T8" s="255">
        <f>SUM(T4:T7)</f>
        <v>1420000</v>
      </c>
      <c r="U8" s="255">
        <f t="shared" ref="U8:Y8" si="5">SUM(U4:U7)</f>
        <v>159000</v>
      </c>
      <c r="V8" s="255">
        <f t="shared" si="5"/>
        <v>1143000</v>
      </c>
      <c r="W8" s="255">
        <f t="shared" si="5"/>
        <v>181325</v>
      </c>
      <c r="X8" s="256">
        <f t="shared" si="5"/>
        <v>-277000</v>
      </c>
      <c r="Y8" s="256">
        <f t="shared" si="5"/>
        <v>22324.999999999993</v>
      </c>
    </row>
    <row r="9" spans="1:25" ht="27.6" x14ac:dyDescent="0.25">
      <c r="A9" s="62" t="s">
        <v>307</v>
      </c>
      <c r="B9" s="44" t="s">
        <v>308</v>
      </c>
      <c r="C9" s="44" t="s">
        <v>309</v>
      </c>
      <c r="D9" s="44" t="s">
        <v>159</v>
      </c>
      <c r="E9" s="44" t="s">
        <v>27</v>
      </c>
      <c r="F9" s="44" t="s">
        <v>310</v>
      </c>
      <c r="G9" s="44" t="s">
        <v>311</v>
      </c>
      <c r="H9" s="12"/>
      <c r="I9" s="12"/>
      <c r="J9" s="12"/>
      <c r="T9" s="255"/>
      <c r="U9" s="255"/>
      <c r="V9" s="255"/>
      <c r="W9" s="255"/>
      <c r="X9" s="257">
        <f>X8/T8</f>
        <v>-0.19507042253521126</v>
      </c>
      <c r="Y9" s="257">
        <f>Y8/U8</f>
        <v>0.14040880503144648</v>
      </c>
    </row>
    <row r="10" spans="1:25" ht="14.4" thickBot="1" x14ac:dyDescent="0.3">
      <c r="A10" s="63" t="s">
        <v>312</v>
      </c>
      <c r="B10" s="64">
        <v>100000</v>
      </c>
      <c r="C10" s="64">
        <v>10000</v>
      </c>
      <c r="D10" s="65">
        <v>0</v>
      </c>
      <c r="E10" s="65">
        <v>0</v>
      </c>
      <c r="F10" s="65">
        <v>0</v>
      </c>
      <c r="G10" s="65">
        <v>0</v>
      </c>
      <c r="H10" s="12"/>
      <c r="I10" s="12"/>
      <c r="J10" s="12"/>
      <c r="V10" s="255"/>
    </row>
    <row r="11" spans="1:25" x14ac:dyDescent="0.25">
      <c r="A11" s="63" t="s">
        <v>313</v>
      </c>
      <c r="B11" s="64">
        <v>900000</v>
      </c>
      <c r="C11" s="64">
        <v>80000</v>
      </c>
      <c r="D11" s="65">
        <v>0</v>
      </c>
      <c r="E11" s="65">
        <v>1</v>
      </c>
      <c r="F11" s="65">
        <v>0</v>
      </c>
      <c r="G11" s="65">
        <v>0</v>
      </c>
      <c r="H11" s="12"/>
      <c r="I11" s="12"/>
      <c r="J11" s="12"/>
      <c r="L11" s="70" t="s">
        <v>350</v>
      </c>
      <c r="M11" s="70" t="s">
        <v>308</v>
      </c>
      <c r="N11" s="258"/>
      <c r="O11" s="259"/>
      <c r="P11" s="260"/>
      <c r="U11" s="255"/>
      <c r="V11" s="255"/>
    </row>
    <row r="12" spans="1:25" x14ac:dyDescent="0.25">
      <c r="A12" s="63" t="s">
        <v>314</v>
      </c>
      <c r="B12" s="64">
        <v>800000</v>
      </c>
      <c r="C12" s="64">
        <v>135000</v>
      </c>
      <c r="D12" s="65">
        <v>0.7</v>
      </c>
      <c r="E12" s="65">
        <v>0.3</v>
      </c>
      <c r="F12" s="65">
        <v>0.06</v>
      </c>
      <c r="G12" s="65">
        <v>0</v>
      </c>
      <c r="H12" s="12"/>
      <c r="I12" s="12"/>
      <c r="J12" s="12"/>
      <c r="N12" s="161" t="s">
        <v>307</v>
      </c>
      <c r="O12" s="70" t="s">
        <v>520</v>
      </c>
      <c r="P12" s="261" t="s">
        <v>521</v>
      </c>
      <c r="U12" s="255"/>
      <c r="V12" s="255"/>
    </row>
    <row r="13" spans="1:25" x14ac:dyDescent="0.25">
      <c r="A13" s="63" t="s">
        <v>315</v>
      </c>
      <c r="B13" s="64">
        <v>600000</v>
      </c>
      <c r="C13" s="64">
        <v>95000</v>
      </c>
      <c r="D13" s="65">
        <v>0.7</v>
      </c>
      <c r="E13" s="65">
        <v>0.3</v>
      </c>
      <c r="F13" s="65">
        <v>7.0000000000000007E-2</v>
      </c>
      <c r="G13" s="65">
        <v>0</v>
      </c>
      <c r="H13" s="12"/>
      <c r="I13" s="12"/>
      <c r="J13" s="12"/>
      <c r="N13" s="162" t="s">
        <v>312</v>
      </c>
      <c r="O13" s="255">
        <f>X4</f>
        <v>0</v>
      </c>
      <c r="P13" s="262">
        <f>V4/T4-1</f>
        <v>0</v>
      </c>
      <c r="U13" s="255"/>
      <c r="V13" s="255"/>
    </row>
    <row r="14" spans="1:25" x14ac:dyDescent="0.25">
      <c r="A14" s="184"/>
      <c r="B14" s="184"/>
      <c r="C14" s="12"/>
      <c r="D14" s="12"/>
      <c r="E14" s="12"/>
      <c r="F14" s="12"/>
      <c r="G14" s="12"/>
      <c r="H14" s="12"/>
      <c r="I14" s="12"/>
      <c r="J14" s="12"/>
      <c r="N14" s="162" t="s">
        <v>313</v>
      </c>
      <c r="O14" s="255">
        <f>X5</f>
        <v>-900000</v>
      </c>
      <c r="P14" s="262">
        <f>V5/T5-1</f>
        <v>-1</v>
      </c>
      <c r="S14" s="70" t="s">
        <v>522</v>
      </c>
      <c r="U14" s="255"/>
      <c r="V14" s="255"/>
    </row>
    <row r="15" spans="1:25" x14ac:dyDescent="0.25">
      <c r="A15" s="12" t="s">
        <v>317</v>
      </c>
      <c r="B15" s="183"/>
      <c r="C15" s="12"/>
      <c r="D15" s="12"/>
      <c r="E15" s="12"/>
      <c r="F15" s="12"/>
      <c r="G15" s="12"/>
      <c r="H15" s="12"/>
      <c r="I15" s="12"/>
      <c r="J15" s="12"/>
      <c r="N15" s="162" t="s">
        <v>314</v>
      </c>
      <c r="O15" s="255">
        <f>X6</f>
        <v>353600</v>
      </c>
      <c r="P15" s="262">
        <f>V6/T6-1</f>
        <v>1.4733333333333332</v>
      </c>
      <c r="U15" s="255"/>
      <c r="V15" s="255"/>
    </row>
    <row r="16" spans="1:25" x14ac:dyDescent="0.25">
      <c r="A16" s="12"/>
      <c r="B16" s="12" t="s">
        <v>318</v>
      </c>
      <c r="C16" s="12"/>
      <c r="D16" s="12"/>
      <c r="E16" s="12"/>
      <c r="F16" s="12"/>
      <c r="G16" s="12"/>
      <c r="H16" s="12"/>
      <c r="I16" s="12"/>
      <c r="J16" s="12"/>
      <c r="N16" s="162" t="s">
        <v>315</v>
      </c>
      <c r="O16" s="255">
        <f>X7</f>
        <v>269400</v>
      </c>
      <c r="P16" s="262">
        <f>V7/T7-1</f>
        <v>1.4966666666666661</v>
      </c>
      <c r="U16" s="255"/>
      <c r="V16" s="255"/>
    </row>
    <row r="17" spans="1:22" x14ac:dyDescent="0.25">
      <c r="A17" s="12"/>
      <c r="B17" s="177" t="s">
        <v>319</v>
      </c>
      <c r="C17" s="12"/>
      <c r="D17" s="12"/>
      <c r="E17" s="12"/>
      <c r="F17" s="12"/>
      <c r="G17" s="12"/>
      <c r="H17" s="12"/>
      <c r="I17" s="12"/>
      <c r="J17" s="12"/>
      <c r="N17" s="263" t="s">
        <v>51</v>
      </c>
      <c r="O17" s="255">
        <f>SUM(O13:O16)</f>
        <v>-277000</v>
      </c>
      <c r="P17" s="261"/>
      <c r="U17" s="255"/>
      <c r="V17" s="255"/>
    </row>
    <row r="18" spans="1:22" ht="14.4" thickBot="1" x14ac:dyDescent="0.3">
      <c r="A18" s="12"/>
      <c r="B18" s="177" t="s">
        <v>320</v>
      </c>
      <c r="C18" s="12"/>
      <c r="D18" s="12"/>
      <c r="E18" s="12"/>
      <c r="F18" s="12"/>
      <c r="G18" s="12"/>
      <c r="H18" s="12"/>
      <c r="I18" s="12"/>
      <c r="J18" s="12"/>
      <c r="N18" s="264"/>
      <c r="O18" s="265"/>
      <c r="P18" s="266"/>
    </row>
    <row r="19" spans="1:22" x14ac:dyDescent="0.25">
      <c r="A19" s="12"/>
      <c r="B19" s="197" t="s">
        <v>321</v>
      </c>
      <c r="C19" s="12"/>
      <c r="D19" s="12"/>
      <c r="E19" s="12"/>
      <c r="F19" s="12"/>
      <c r="G19" s="12"/>
      <c r="H19" s="12"/>
      <c r="I19" s="12"/>
      <c r="J19" s="12"/>
    </row>
    <row r="20" spans="1:22" x14ac:dyDescent="0.25">
      <c r="A20" s="12"/>
      <c r="B20" s="12"/>
      <c r="C20" s="12"/>
      <c r="D20" s="12"/>
      <c r="E20" s="12"/>
      <c r="F20" s="12"/>
      <c r="G20" s="12"/>
      <c r="H20" s="12"/>
      <c r="I20" s="12"/>
      <c r="J20" s="12"/>
    </row>
    <row r="21" spans="1:22" ht="14.4" thickBot="1" x14ac:dyDescent="0.3"/>
    <row r="22" spans="1:22" x14ac:dyDescent="0.25">
      <c r="A22" s="70" t="s">
        <v>0</v>
      </c>
      <c r="L22" s="70" t="s">
        <v>351</v>
      </c>
      <c r="M22" s="70" t="s">
        <v>617</v>
      </c>
      <c r="N22" s="163" t="s">
        <v>307</v>
      </c>
      <c r="O22" s="259" t="s">
        <v>520</v>
      </c>
      <c r="P22" s="260" t="s">
        <v>521</v>
      </c>
    </row>
    <row r="23" spans="1:22" x14ac:dyDescent="0.25">
      <c r="A23" s="70" t="s">
        <v>350</v>
      </c>
      <c r="N23" s="162" t="s">
        <v>312</v>
      </c>
      <c r="O23" s="255">
        <f>Y4</f>
        <v>0</v>
      </c>
      <c r="P23" s="262">
        <f>W4/U4-1</f>
        <v>0</v>
      </c>
    </row>
    <row r="24" spans="1:22" x14ac:dyDescent="0.25">
      <c r="N24" s="162" t="s">
        <v>313</v>
      </c>
      <c r="O24" s="255">
        <f>Y5</f>
        <v>-80000</v>
      </c>
      <c r="P24" s="262">
        <f>W5/U5-1</f>
        <v>-1</v>
      </c>
    </row>
    <row r="25" spans="1:22" x14ac:dyDescent="0.25">
      <c r="N25" s="162" t="s">
        <v>314</v>
      </c>
      <c r="O25" s="255">
        <f>Y6</f>
        <v>59669.999999999993</v>
      </c>
      <c r="P25" s="262">
        <f>W6/U6-1</f>
        <v>1.4733333333333327</v>
      </c>
    </row>
    <row r="26" spans="1:22" x14ac:dyDescent="0.25">
      <c r="N26" s="162" t="s">
        <v>315</v>
      </c>
      <c r="O26" s="255">
        <f>Y7</f>
        <v>42655</v>
      </c>
      <c r="P26" s="262">
        <f>W7/U7-1</f>
        <v>1.4966666666666661</v>
      </c>
    </row>
    <row r="27" spans="1:22" ht="14.4" thickBot="1" x14ac:dyDescent="0.3">
      <c r="A27" s="70" t="s">
        <v>351</v>
      </c>
      <c r="N27" s="264" t="s">
        <v>51</v>
      </c>
      <c r="O27" s="267">
        <f>SUM(O23:O26)</f>
        <v>22324.999999999993</v>
      </c>
      <c r="P27" s="266"/>
    </row>
    <row r="31" spans="1:22" x14ac:dyDescent="0.25">
      <c r="K31" s="268"/>
      <c r="L31" s="255"/>
      <c r="M31" s="255"/>
      <c r="N31" s="255"/>
    </row>
    <row r="39" spans="1:11" x14ac:dyDescent="0.25">
      <c r="A39" s="180" t="s">
        <v>322</v>
      </c>
      <c r="B39" s="12"/>
      <c r="C39" s="12"/>
      <c r="D39" s="12"/>
      <c r="E39" s="12"/>
      <c r="F39" s="12"/>
      <c r="G39" s="12"/>
      <c r="H39" s="12"/>
      <c r="I39" s="12"/>
      <c r="J39" s="12"/>
    </row>
    <row r="40" spans="1:11" s="181" customFormat="1" x14ac:dyDescent="0.25">
      <c r="A40" s="70"/>
      <c r="B40" s="70"/>
      <c r="C40" s="70"/>
      <c r="D40" s="70"/>
      <c r="E40" s="70"/>
      <c r="F40" s="70"/>
      <c r="G40" s="70"/>
      <c r="H40" s="70"/>
      <c r="I40" s="70"/>
      <c r="J40" s="70"/>
      <c r="K40" s="269"/>
    </row>
    <row r="41" spans="1:11" x14ac:dyDescent="0.25">
      <c r="A41" s="181" t="s">
        <v>2</v>
      </c>
      <c r="B41" s="181"/>
      <c r="C41" s="181"/>
      <c r="D41" s="181"/>
      <c r="E41" s="181"/>
      <c r="F41" s="181"/>
      <c r="G41" s="181"/>
      <c r="H41" s="181"/>
      <c r="I41" s="181"/>
      <c r="J41" s="181"/>
    </row>
  </sheetData>
  <mergeCells count="1">
    <mergeCell ref="T2:W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C53A4-42E1-4509-868A-ED5B3A1ED463}">
  <dimension ref="A1:R100"/>
  <sheetViews>
    <sheetView workbookViewId="0"/>
  </sheetViews>
  <sheetFormatPr defaultColWidth="9.109375" defaultRowHeight="13.8" x14ac:dyDescent="0.25"/>
  <cols>
    <col min="1" max="1" width="9.109375" style="70"/>
    <col min="2" max="2" width="14.109375" style="70" customWidth="1"/>
    <col min="3" max="3" width="12.33203125" style="70" bestFit="1" customWidth="1"/>
    <col min="4" max="4" width="14" style="70" bestFit="1" customWidth="1"/>
    <col min="5" max="10" width="9.109375" style="70"/>
    <col min="11" max="11" width="2.33203125" style="165" customWidth="1"/>
    <col min="12" max="12" width="9.109375" style="70"/>
    <col min="13" max="13" width="9.77734375" style="70" bestFit="1" customWidth="1"/>
    <col min="14" max="14" width="16.109375" style="70" bestFit="1" customWidth="1"/>
    <col min="15" max="15" width="14.6640625" style="70" bestFit="1" customWidth="1"/>
    <col min="16" max="16" width="16.44140625" style="70" bestFit="1" customWidth="1"/>
    <col min="17" max="17" width="16.6640625" style="70" bestFit="1" customWidth="1"/>
    <col min="18" max="18" width="21.6640625" style="70" customWidth="1"/>
    <col min="19" max="16384" width="9.109375" style="70"/>
  </cols>
  <sheetData>
    <row r="1" spans="1:18" x14ac:dyDescent="0.25">
      <c r="A1" s="164" t="s">
        <v>13</v>
      </c>
      <c r="B1" s="12"/>
      <c r="C1" s="12"/>
      <c r="D1" s="12"/>
      <c r="E1" s="12"/>
      <c r="F1" s="12"/>
      <c r="G1" s="12"/>
      <c r="H1" s="12"/>
      <c r="I1" s="12"/>
      <c r="J1" s="12"/>
      <c r="L1" s="70" t="s">
        <v>0</v>
      </c>
    </row>
    <row r="2" spans="1:18" x14ac:dyDescent="0.25">
      <c r="A2" s="12" t="s">
        <v>3</v>
      </c>
      <c r="B2" s="12"/>
      <c r="C2" s="12"/>
      <c r="D2" s="12"/>
      <c r="E2" s="12"/>
      <c r="F2" s="12"/>
      <c r="G2" s="12"/>
      <c r="H2" s="12"/>
      <c r="I2" s="12"/>
      <c r="J2" s="12"/>
      <c r="M2" s="70" t="s">
        <v>217</v>
      </c>
    </row>
    <row r="3" spans="1:18" x14ac:dyDescent="0.25">
      <c r="M3" s="70" t="s">
        <v>350</v>
      </c>
    </row>
    <row r="4" spans="1:18" x14ac:dyDescent="0.25">
      <c r="A4" s="180" t="s">
        <v>21</v>
      </c>
      <c r="B4" s="12"/>
      <c r="C4" s="12"/>
      <c r="D4" s="12"/>
      <c r="E4" s="12"/>
      <c r="F4" s="12"/>
      <c r="G4" s="12"/>
      <c r="H4" s="12"/>
      <c r="I4" s="12"/>
      <c r="J4" s="12"/>
    </row>
    <row r="5" spans="1:18" ht="27.6" x14ac:dyDescent="0.25">
      <c r="M5" s="270" t="s">
        <v>329</v>
      </c>
      <c r="N5" s="270" t="s">
        <v>330</v>
      </c>
      <c r="O5" s="270" t="s">
        <v>331</v>
      </c>
      <c r="P5" s="270" t="s">
        <v>332</v>
      </c>
      <c r="Q5" s="270" t="s">
        <v>622</v>
      </c>
      <c r="R5" s="270" t="s">
        <v>623</v>
      </c>
    </row>
    <row r="6" spans="1:18" x14ac:dyDescent="0.25">
      <c r="A6" s="184" t="s">
        <v>15</v>
      </c>
      <c r="B6" s="12"/>
      <c r="C6" s="12"/>
      <c r="D6" s="12"/>
      <c r="E6" s="12"/>
      <c r="F6" s="12"/>
      <c r="G6" s="12"/>
      <c r="H6" s="12"/>
      <c r="I6" s="12"/>
      <c r="J6" s="12"/>
      <c r="M6" s="271" t="s">
        <v>333</v>
      </c>
      <c r="N6" s="272">
        <f>B16</f>
        <v>11000</v>
      </c>
      <c r="O6" s="272">
        <f t="shared" ref="O6:P6" si="0">C16</f>
        <v>19800</v>
      </c>
      <c r="P6" s="273">
        <f t="shared" si="0"/>
        <v>35640000</v>
      </c>
      <c r="Q6" s="273">
        <f>P6/(O6*3)</f>
        <v>600</v>
      </c>
    </row>
    <row r="7" spans="1:18" x14ac:dyDescent="0.25">
      <c r="A7" s="184"/>
      <c r="B7" s="184"/>
      <c r="C7" s="12"/>
      <c r="D7" s="12"/>
      <c r="E7" s="12"/>
      <c r="F7" s="12"/>
      <c r="G7" s="12"/>
      <c r="H7" s="12"/>
      <c r="I7" s="12"/>
      <c r="J7" s="12"/>
      <c r="M7" s="271" t="s">
        <v>334</v>
      </c>
      <c r="N7" s="272">
        <f t="shared" ref="N7:P21" si="1">B17</f>
        <v>11000</v>
      </c>
      <c r="O7" s="272">
        <f t="shared" si="1"/>
        <v>19800</v>
      </c>
      <c r="P7" s="273">
        <f t="shared" si="1"/>
        <v>36234000</v>
      </c>
      <c r="Q7" s="273">
        <f t="shared" ref="Q7:Q21" si="2">P7/(O7*3)</f>
        <v>610</v>
      </c>
    </row>
    <row r="8" spans="1:18" x14ac:dyDescent="0.25">
      <c r="A8" s="250" t="s">
        <v>629</v>
      </c>
      <c r="B8" s="184"/>
      <c r="C8" s="12"/>
      <c r="D8" s="12"/>
      <c r="E8" s="12"/>
      <c r="F8" s="12"/>
      <c r="G8" s="12"/>
      <c r="H8" s="12"/>
      <c r="I8" s="12"/>
      <c r="J8" s="12"/>
      <c r="M8" s="271" t="s">
        <v>335</v>
      </c>
      <c r="N8" s="272">
        <f t="shared" si="1"/>
        <v>11000</v>
      </c>
      <c r="O8" s="272">
        <f t="shared" si="1"/>
        <v>19800</v>
      </c>
      <c r="P8" s="273">
        <f t="shared" si="1"/>
        <v>35640000</v>
      </c>
      <c r="Q8" s="273">
        <f t="shared" si="2"/>
        <v>600</v>
      </c>
    </row>
    <row r="9" spans="1:18" x14ac:dyDescent="0.25">
      <c r="A9" s="250" t="s">
        <v>630</v>
      </c>
      <c r="B9" s="184"/>
      <c r="C9" s="12"/>
      <c r="D9" s="12"/>
      <c r="E9" s="12"/>
      <c r="F9" s="12"/>
      <c r="G9" s="12"/>
      <c r="H9" s="12"/>
      <c r="I9" s="12"/>
      <c r="J9" s="12"/>
      <c r="M9" s="274" t="s">
        <v>336</v>
      </c>
      <c r="N9" s="275">
        <f t="shared" si="1"/>
        <v>11000</v>
      </c>
      <c r="O9" s="275">
        <f t="shared" si="1"/>
        <v>19800</v>
      </c>
      <c r="P9" s="276">
        <f t="shared" si="1"/>
        <v>36531000</v>
      </c>
      <c r="Q9" s="276">
        <f t="shared" si="2"/>
        <v>615</v>
      </c>
      <c r="R9" s="208"/>
    </row>
    <row r="10" spans="1:18" x14ac:dyDescent="0.25">
      <c r="A10" s="250" t="s">
        <v>631</v>
      </c>
      <c r="B10" s="184"/>
      <c r="C10" s="12"/>
      <c r="D10" s="12"/>
      <c r="E10" s="12"/>
      <c r="F10" s="12"/>
      <c r="G10" s="12"/>
      <c r="H10" s="12"/>
      <c r="I10" s="12"/>
      <c r="J10" s="12"/>
      <c r="M10" s="271" t="s">
        <v>337</v>
      </c>
      <c r="N10" s="272">
        <f t="shared" si="1"/>
        <v>11500</v>
      </c>
      <c r="O10" s="272">
        <f t="shared" si="1"/>
        <v>23000</v>
      </c>
      <c r="P10" s="273">
        <f t="shared" si="1"/>
        <v>44981100</v>
      </c>
      <c r="Q10" s="273">
        <f t="shared" si="2"/>
        <v>651.9</v>
      </c>
      <c r="R10" s="277">
        <f>Q10/Q6-1</f>
        <v>8.6500000000000021E-2</v>
      </c>
    </row>
    <row r="11" spans="1:18" x14ac:dyDescent="0.25">
      <c r="A11" s="184"/>
      <c r="B11" s="184"/>
      <c r="C11" s="12"/>
      <c r="D11" s="12"/>
      <c r="E11" s="12"/>
      <c r="F11" s="12"/>
      <c r="G11" s="12"/>
      <c r="H11" s="12"/>
      <c r="I11" s="12"/>
      <c r="J11" s="12"/>
      <c r="M11" s="271" t="s">
        <v>338</v>
      </c>
      <c r="N11" s="272">
        <f t="shared" si="1"/>
        <v>11500</v>
      </c>
      <c r="O11" s="272">
        <f t="shared" si="1"/>
        <v>23000</v>
      </c>
      <c r="P11" s="273">
        <f t="shared" si="1"/>
        <v>45880722</v>
      </c>
      <c r="Q11" s="273">
        <f t="shared" si="2"/>
        <v>664.93799999999999</v>
      </c>
      <c r="R11" s="277">
        <f t="shared" ref="R11:R21" si="3">Q11/Q7-1</f>
        <v>9.006229508196717E-2</v>
      </c>
    </row>
    <row r="12" spans="1:18" x14ac:dyDescent="0.25">
      <c r="A12" s="184" t="s">
        <v>327</v>
      </c>
      <c r="B12" s="184"/>
      <c r="C12" s="12"/>
      <c r="D12" s="12"/>
      <c r="E12" s="12"/>
      <c r="F12" s="12"/>
      <c r="G12" s="12"/>
      <c r="H12" s="12"/>
      <c r="I12" s="12"/>
      <c r="J12" s="12"/>
      <c r="M12" s="271" t="s">
        <v>339</v>
      </c>
      <c r="N12" s="272">
        <f t="shared" si="1"/>
        <v>11500</v>
      </c>
      <c r="O12" s="272">
        <f t="shared" si="1"/>
        <v>23000</v>
      </c>
      <c r="P12" s="273">
        <f t="shared" si="1"/>
        <v>46339529</v>
      </c>
      <c r="Q12" s="273">
        <f t="shared" si="2"/>
        <v>671.58737681159425</v>
      </c>
      <c r="R12" s="277">
        <f t="shared" si="3"/>
        <v>0.11931229468599036</v>
      </c>
    </row>
    <row r="13" spans="1:18" x14ac:dyDescent="0.25">
      <c r="A13" s="184"/>
      <c r="B13" s="184"/>
      <c r="C13" s="12"/>
      <c r="D13" s="12"/>
      <c r="E13" s="12"/>
      <c r="F13" s="12"/>
      <c r="G13" s="12"/>
      <c r="H13" s="12"/>
      <c r="I13" s="12"/>
      <c r="J13" s="12"/>
      <c r="M13" s="274" t="s">
        <v>340</v>
      </c>
      <c r="N13" s="275">
        <f t="shared" si="1"/>
        <v>11500</v>
      </c>
      <c r="O13" s="275">
        <f t="shared" si="1"/>
        <v>23000</v>
      </c>
      <c r="P13" s="276">
        <f t="shared" si="1"/>
        <v>50973482</v>
      </c>
      <c r="Q13" s="276">
        <f t="shared" si="2"/>
        <v>738.74611594202895</v>
      </c>
      <c r="R13" s="278">
        <f t="shared" si="3"/>
        <v>0.20121319665370563</v>
      </c>
    </row>
    <row r="14" spans="1:18" x14ac:dyDescent="0.25">
      <c r="A14" s="381" t="s">
        <v>328</v>
      </c>
      <c r="B14" s="381"/>
      <c r="C14" s="381"/>
      <c r="D14" s="381"/>
      <c r="E14" s="12"/>
      <c r="F14" s="12"/>
      <c r="G14" s="12"/>
      <c r="H14" s="12"/>
      <c r="I14" s="12"/>
      <c r="J14" s="12"/>
      <c r="M14" s="271" t="s">
        <v>341</v>
      </c>
      <c r="N14" s="272">
        <f t="shared" si="1"/>
        <v>12000</v>
      </c>
      <c r="O14" s="272">
        <f t="shared" si="1"/>
        <v>25200</v>
      </c>
      <c r="P14" s="273">
        <f t="shared" si="1"/>
        <v>47471826</v>
      </c>
      <c r="Q14" s="273">
        <f t="shared" si="2"/>
        <v>627.93420634920631</v>
      </c>
      <c r="R14" s="277">
        <f t="shared" si="3"/>
        <v>-3.6762990720652922E-2</v>
      </c>
    </row>
    <row r="15" spans="1:18" x14ac:dyDescent="0.25">
      <c r="A15" s="29" t="s">
        <v>329</v>
      </c>
      <c r="B15" s="29" t="s">
        <v>330</v>
      </c>
      <c r="C15" s="29" t="s">
        <v>331</v>
      </c>
      <c r="D15" s="29" t="s">
        <v>332</v>
      </c>
      <c r="E15" s="12"/>
      <c r="F15" s="12"/>
      <c r="G15" s="12"/>
      <c r="H15" s="12"/>
      <c r="I15" s="12"/>
      <c r="J15" s="12"/>
      <c r="M15" s="271" t="s">
        <v>342</v>
      </c>
      <c r="N15" s="272">
        <f t="shared" si="1"/>
        <v>12000</v>
      </c>
      <c r="O15" s="272">
        <f t="shared" si="1"/>
        <v>25200</v>
      </c>
      <c r="P15" s="273">
        <f t="shared" si="1"/>
        <v>47946544</v>
      </c>
      <c r="Q15" s="273">
        <f t="shared" si="2"/>
        <v>634.21354497354503</v>
      </c>
      <c r="R15" s="277">
        <f t="shared" si="3"/>
        <v>-4.6206495983768359E-2</v>
      </c>
    </row>
    <row r="16" spans="1:18" x14ac:dyDescent="0.25">
      <c r="A16" s="279" t="s">
        <v>333</v>
      </c>
      <c r="B16" s="280">
        <v>11000</v>
      </c>
      <c r="C16" s="280">
        <v>19800</v>
      </c>
      <c r="D16" s="281">
        <v>35640000</v>
      </c>
      <c r="E16" s="12"/>
      <c r="F16" s="12"/>
      <c r="G16" s="12"/>
      <c r="H16" s="12"/>
      <c r="I16" s="12"/>
      <c r="J16" s="12"/>
      <c r="M16" s="271" t="s">
        <v>343</v>
      </c>
      <c r="N16" s="272">
        <f t="shared" si="1"/>
        <v>12000</v>
      </c>
      <c r="O16" s="272">
        <f t="shared" si="1"/>
        <v>25200</v>
      </c>
      <c r="P16" s="273">
        <f t="shared" si="1"/>
        <v>48426009</v>
      </c>
      <c r="Q16" s="273">
        <f t="shared" si="2"/>
        <v>640.55567460317457</v>
      </c>
      <c r="R16" s="277">
        <f t="shared" si="3"/>
        <v>-4.6206500121763416E-2</v>
      </c>
    </row>
    <row r="17" spans="1:18" x14ac:dyDescent="0.25">
      <c r="A17" s="279" t="s">
        <v>334</v>
      </c>
      <c r="B17" s="280">
        <v>11000</v>
      </c>
      <c r="C17" s="280">
        <v>19800</v>
      </c>
      <c r="D17" s="281">
        <v>36234000</v>
      </c>
      <c r="E17" s="12"/>
      <c r="F17" s="12"/>
      <c r="G17" s="12"/>
      <c r="H17" s="12"/>
      <c r="I17" s="12"/>
      <c r="J17" s="12"/>
      <c r="M17" s="274" t="s">
        <v>344</v>
      </c>
      <c r="N17" s="275">
        <f t="shared" si="1"/>
        <v>12000</v>
      </c>
      <c r="O17" s="275">
        <f t="shared" si="1"/>
        <v>25200</v>
      </c>
      <c r="P17" s="276">
        <f t="shared" si="1"/>
        <v>50847310</v>
      </c>
      <c r="Q17" s="276">
        <f t="shared" si="2"/>
        <v>672.58346560846564</v>
      </c>
      <c r="R17" s="278">
        <f t="shared" si="3"/>
        <v>-8.9560742054385578E-2</v>
      </c>
    </row>
    <row r="18" spans="1:18" x14ac:dyDescent="0.25">
      <c r="A18" s="279" t="s">
        <v>335</v>
      </c>
      <c r="B18" s="280">
        <v>11000</v>
      </c>
      <c r="C18" s="280">
        <v>19800</v>
      </c>
      <c r="D18" s="281">
        <v>35640000</v>
      </c>
      <c r="E18" s="12"/>
      <c r="F18" s="12"/>
      <c r="G18" s="12"/>
      <c r="H18" s="12"/>
      <c r="I18" s="12"/>
      <c r="J18" s="12"/>
      <c r="M18" s="271" t="s">
        <v>345</v>
      </c>
      <c r="N18" s="272">
        <f t="shared" si="1"/>
        <v>12500</v>
      </c>
      <c r="O18" s="272">
        <f t="shared" si="1"/>
        <v>27500</v>
      </c>
      <c r="P18" s="273">
        <f t="shared" si="1"/>
        <v>55488136</v>
      </c>
      <c r="Q18" s="273">
        <f t="shared" si="2"/>
        <v>672.58346666666671</v>
      </c>
      <c r="R18" s="277">
        <f t="shared" si="3"/>
        <v>7.1104997730654151E-2</v>
      </c>
    </row>
    <row r="19" spans="1:18" x14ac:dyDescent="0.25">
      <c r="A19" s="279" t="s">
        <v>336</v>
      </c>
      <c r="B19" s="280">
        <v>11000</v>
      </c>
      <c r="C19" s="280">
        <v>19800</v>
      </c>
      <c r="D19" s="281">
        <v>36531000</v>
      </c>
      <c r="E19" s="12"/>
      <c r="F19" s="12"/>
      <c r="G19" s="12"/>
      <c r="H19" s="12"/>
      <c r="I19" s="12"/>
      <c r="J19" s="12"/>
      <c r="M19" s="271" t="s">
        <v>346</v>
      </c>
      <c r="N19" s="272">
        <f t="shared" si="1"/>
        <v>12500</v>
      </c>
      <c r="O19" s="272">
        <f t="shared" si="1"/>
        <v>27500</v>
      </c>
      <c r="P19" s="273">
        <f t="shared" si="1"/>
        <v>57152780</v>
      </c>
      <c r="Q19" s="273">
        <f t="shared" si="2"/>
        <v>692.76096969696971</v>
      </c>
      <c r="R19" s="277">
        <f t="shared" si="3"/>
        <v>9.2315002080043618E-2</v>
      </c>
    </row>
    <row r="20" spans="1:18" x14ac:dyDescent="0.25">
      <c r="A20" s="279" t="s">
        <v>337</v>
      </c>
      <c r="B20" s="280">
        <v>11500</v>
      </c>
      <c r="C20" s="280">
        <v>23000</v>
      </c>
      <c r="D20" s="281">
        <v>44981100</v>
      </c>
      <c r="E20" s="12"/>
      <c r="F20" s="12"/>
      <c r="G20" s="12"/>
      <c r="H20" s="12"/>
      <c r="I20" s="12"/>
      <c r="J20" s="12"/>
      <c r="M20" s="271" t="s">
        <v>347</v>
      </c>
      <c r="N20" s="272">
        <f t="shared" si="1"/>
        <v>12500</v>
      </c>
      <c r="O20" s="272">
        <f t="shared" si="1"/>
        <v>27500</v>
      </c>
      <c r="P20" s="273">
        <f t="shared" si="1"/>
        <v>59438891</v>
      </c>
      <c r="Q20" s="273">
        <f t="shared" si="2"/>
        <v>720.47140606060611</v>
      </c>
      <c r="R20" s="277">
        <f t="shared" si="3"/>
        <v>0.12476000857683367</v>
      </c>
    </row>
    <row r="21" spans="1:18" x14ac:dyDescent="0.25">
      <c r="A21" s="279" t="s">
        <v>338</v>
      </c>
      <c r="B21" s="280">
        <v>11500</v>
      </c>
      <c r="C21" s="280">
        <v>23000</v>
      </c>
      <c r="D21" s="281">
        <v>45880722</v>
      </c>
      <c r="E21" s="12"/>
      <c r="F21" s="12"/>
      <c r="G21" s="12"/>
      <c r="H21" s="12"/>
      <c r="I21" s="12"/>
      <c r="J21" s="12"/>
      <c r="M21" s="271" t="s">
        <v>348</v>
      </c>
      <c r="N21" s="272">
        <f t="shared" si="1"/>
        <v>12500</v>
      </c>
      <c r="O21" s="272">
        <f t="shared" si="1"/>
        <v>27500</v>
      </c>
      <c r="P21" s="273">
        <f t="shared" si="1"/>
        <v>65977169</v>
      </c>
      <c r="Q21" s="273">
        <f t="shared" si="2"/>
        <v>799.72326060606065</v>
      </c>
      <c r="R21" s="277">
        <f t="shared" si="3"/>
        <v>0.18903199602531928</v>
      </c>
    </row>
    <row r="22" spans="1:18" x14ac:dyDescent="0.25">
      <c r="A22" s="279" t="s">
        <v>339</v>
      </c>
      <c r="B22" s="280">
        <v>11500</v>
      </c>
      <c r="C22" s="280">
        <v>23000</v>
      </c>
      <c r="D22" s="281">
        <v>46339529</v>
      </c>
      <c r="E22" s="12"/>
      <c r="F22" s="12"/>
      <c r="G22" s="12"/>
      <c r="H22" s="12"/>
      <c r="I22" s="12"/>
      <c r="J22" s="12"/>
    </row>
    <row r="23" spans="1:18" x14ac:dyDescent="0.25">
      <c r="A23" s="279" t="s">
        <v>340</v>
      </c>
      <c r="B23" s="280">
        <v>11500</v>
      </c>
      <c r="C23" s="280">
        <v>23000</v>
      </c>
      <c r="D23" s="281">
        <v>50973482</v>
      </c>
      <c r="E23" s="12"/>
      <c r="F23" s="12"/>
      <c r="G23" s="12"/>
      <c r="H23" s="12"/>
      <c r="I23" s="12"/>
      <c r="J23" s="12"/>
      <c r="M23" s="282" t="s">
        <v>152</v>
      </c>
      <c r="N23" s="282"/>
      <c r="O23" s="282" t="s">
        <v>624</v>
      </c>
      <c r="P23" s="282" t="s">
        <v>332</v>
      </c>
      <c r="Q23" s="282" t="s">
        <v>576</v>
      </c>
      <c r="R23" s="282" t="s">
        <v>310</v>
      </c>
    </row>
    <row r="24" spans="1:18" x14ac:dyDescent="0.25">
      <c r="A24" s="279" t="s">
        <v>341</v>
      </c>
      <c r="B24" s="280">
        <v>12000</v>
      </c>
      <c r="C24" s="280">
        <v>25200</v>
      </c>
      <c r="D24" s="281">
        <v>47471826</v>
      </c>
      <c r="E24" s="12"/>
      <c r="F24" s="12"/>
      <c r="G24" s="12"/>
      <c r="H24" s="12"/>
      <c r="I24" s="12"/>
      <c r="J24" s="12"/>
      <c r="M24" s="70" t="s">
        <v>625</v>
      </c>
      <c r="N24" s="201"/>
      <c r="O24" s="201">
        <f>O6</f>
        <v>19800</v>
      </c>
      <c r="P24" s="169">
        <f>SUM(P6:P9)</f>
        <v>144045000</v>
      </c>
      <c r="Q24" s="198">
        <f>P24/(O24*12)</f>
        <v>606.25</v>
      </c>
    </row>
    <row r="25" spans="1:18" x14ac:dyDescent="0.25">
      <c r="A25" s="279" t="s">
        <v>342</v>
      </c>
      <c r="B25" s="280">
        <v>12000</v>
      </c>
      <c r="C25" s="280">
        <v>25200</v>
      </c>
      <c r="D25" s="281">
        <v>47946544</v>
      </c>
      <c r="E25" s="12"/>
      <c r="F25" s="12"/>
      <c r="G25" s="12"/>
      <c r="H25" s="12"/>
      <c r="I25" s="12"/>
      <c r="J25" s="12"/>
      <c r="M25" s="70" t="s">
        <v>626</v>
      </c>
      <c r="O25" s="201">
        <f>O10</f>
        <v>23000</v>
      </c>
      <c r="P25" s="169">
        <f>SUM(P10:P13)</f>
        <v>188174833</v>
      </c>
      <c r="Q25" s="198">
        <f t="shared" ref="Q25:Q27" si="4">P25/(O25*12)</f>
        <v>681.79287318840579</v>
      </c>
      <c r="R25" s="277">
        <f>Q25/Q24-1</f>
        <v>0.12460680113551481</v>
      </c>
    </row>
    <row r="26" spans="1:18" x14ac:dyDescent="0.25">
      <c r="A26" s="279" t="s">
        <v>343</v>
      </c>
      <c r="B26" s="280">
        <v>12000</v>
      </c>
      <c r="C26" s="280">
        <v>25200</v>
      </c>
      <c r="D26" s="281">
        <v>48426009</v>
      </c>
      <c r="E26" s="12"/>
      <c r="F26" s="12"/>
      <c r="G26" s="12"/>
      <c r="H26" s="12"/>
      <c r="I26" s="12"/>
      <c r="J26" s="12"/>
      <c r="M26" s="70" t="s">
        <v>627</v>
      </c>
      <c r="O26" s="201">
        <f>O14</f>
        <v>25200</v>
      </c>
      <c r="P26" s="169">
        <f>SUM(P14:P17)</f>
        <v>194691689</v>
      </c>
      <c r="Q26" s="198">
        <f t="shared" si="4"/>
        <v>643.82172288359789</v>
      </c>
      <c r="R26" s="277">
        <f t="shared" ref="R26:R27" si="5">Q26/Q25-1</f>
        <v>-5.5693087736801594E-2</v>
      </c>
    </row>
    <row r="27" spans="1:18" x14ac:dyDescent="0.25">
      <c r="A27" s="279" t="s">
        <v>344</v>
      </c>
      <c r="B27" s="280">
        <v>12000</v>
      </c>
      <c r="C27" s="280">
        <v>25200</v>
      </c>
      <c r="D27" s="281">
        <v>50847310</v>
      </c>
      <c r="E27" s="12"/>
      <c r="F27" s="12"/>
      <c r="G27" s="12"/>
      <c r="H27" s="12"/>
      <c r="I27" s="12"/>
      <c r="J27" s="12"/>
      <c r="M27" s="70" t="s">
        <v>628</v>
      </c>
      <c r="O27" s="201">
        <f>O18</f>
        <v>27500</v>
      </c>
      <c r="P27" s="169">
        <f>SUM(P18:P21)</f>
        <v>238056976</v>
      </c>
      <c r="Q27" s="198">
        <f t="shared" si="4"/>
        <v>721.38477575757577</v>
      </c>
      <c r="R27" s="277">
        <f t="shared" si="5"/>
        <v>0.12047287333919487</v>
      </c>
    </row>
    <row r="28" spans="1:18" x14ac:dyDescent="0.25">
      <c r="A28" s="279" t="s">
        <v>345</v>
      </c>
      <c r="B28" s="280">
        <v>12500</v>
      </c>
      <c r="C28" s="280">
        <v>27500</v>
      </c>
      <c r="D28" s="281">
        <v>55488136</v>
      </c>
      <c r="E28" s="12"/>
      <c r="F28" s="12"/>
      <c r="G28" s="12"/>
      <c r="H28" s="12"/>
      <c r="I28" s="12"/>
      <c r="J28" s="12"/>
    </row>
    <row r="29" spans="1:18" x14ac:dyDescent="0.25">
      <c r="A29" s="279" t="s">
        <v>346</v>
      </c>
      <c r="B29" s="280">
        <v>12500</v>
      </c>
      <c r="C29" s="280">
        <v>27500</v>
      </c>
      <c r="D29" s="281">
        <v>57152780</v>
      </c>
      <c r="E29" s="12"/>
      <c r="F29" s="12"/>
      <c r="G29" s="12"/>
      <c r="H29" s="12"/>
      <c r="I29" s="12"/>
      <c r="J29" s="12"/>
    </row>
    <row r="30" spans="1:18" x14ac:dyDescent="0.25">
      <c r="A30" s="279" t="s">
        <v>347</v>
      </c>
      <c r="B30" s="280">
        <v>12500</v>
      </c>
      <c r="C30" s="280">
        <v>27500</v>
      </c>
      <c r="D30" s="281">
        <v>59438891</v>
      </c>
      <c r="E30" s="12"/>
      <c r="F30" s="12"/>
      <c r="G30" s="12"/>
      <c r="H30" s="12"/>
      <c r="I30" s="12"/>
      <c r="J30" s="12"/>
    </row>
    <row r="31" spans="1:18" x14ac:dyDescent="0.25">
      <c r="A31" s="279" t="s">
        <v>348</v>
      </c>
      <c r="B31" s="280">
        <v>12500</v>
      </c>
      <c r="C31" s="280">
        <v>27500</v>
      </c>
      <c r="D31" s="281">
        <v>65977169</v>
      </c>
      <c r="E31" s="12"/>
      <c r="F31" s="12"/>
      <c r="G31" s="12"/>
      <c r="H31" s="12"/>
      <c r="I31" s="12"/>
      <c r="J31" s="12"/>
      <c r="M31" s="70" t="s">
        <v>351</v>
      </c>
    </row>
    <row r="32" spans="1:18" x14ac:dyDescent="0.25">
      <c r="A32" s="184"/>
      <c r="B32" s="184"/>
      <c r="C32" s="12"/>
      <c r="D32" s="12"/>
      <c r="E32" s="12"/>
      <c r="F32" s="12"/>
      <c r="G32" s="12"/>
      <c r="H32" s="12"/>
      <c r="I32" s="12"/>
      <c r="J32" s="12"/>
      <c r="M32" s="283" t="s">
        <v>632</v>
      </c>
    </row>
    <row r="33" spans="1:13" x14ac:dyDescent="0.25">
      <c r="A33" s="12" t="s">
        <v>16</v>
      </c>
      <c r="B33" s="183"/>
      <c r="C33" s="12"/>
      <c r="D33" s="12"/>
      <c r="E33" s="12"/>
      <c r="F33" s="12"/>
      <c r="G33" s="12"/>
      <c r="H33" s="12"/>
      <c r="I33" s="12"/>
      <c r="J33" s="12"/>
      <c r="M33" s="283" t="s">
        <v>633</v>
      </c>
    </row>
    <row r="34" spans="1:13" x14ac:dyDescent="0.25">
      <c r="A34" s="12"/>
      <c r="B34" s="177" t="s">
        <v>323</v>
      </c>
      <c r="C34" s="12"/>
      <c r="D34" s="12"/>
      <c r="E34" s="12"/>
      <c r="F34" s="12"/>
      <c r="G34" s="12"/>
      <c r="H34" s="12"/>
      <c r="I34" s="12"/>
      <c r="J34" s="12"/>
      <c r="M34" s="283" t="s">
        <v>634</v>
      </c>
    </row>
    <row r="35" spans="1:13" x14ac:dyDescent="0.25">
      <c r="A35" s="12"/>
      <c r="B35" s="177" t="s">
        <v>324</v>
      </c>
      <c r="C35" s="12"/>
      <c r="D35" s="12"/>
      <c r="E35" s="12"/>
      <c r="F35" s="12"/>
      <c r="G35" s="12"/>
      <c r="H35" s="12"/>
      <c r="I35" s="12"/>
      <c r="J35" s="12"/>
      <c r="M35" s="283" t="s">
        <v>635</v>
      </c>
    </row>
    <row r="36" spans="1:13" x14ac:dyDescent="0.25">
      <c r="A36" s="12"/>
      <c r="B36" s="12"/>
      <c r="C36" s="12"/>
      <c r="D36" s="12"/>
      <c r="E36" s="12"/>
      <c r="F36" s="12"/>
      <c r="G36" s="12"/>
      <c r="H36" s="12"/>
      <c r="I36" s="12"/>
      <c r="J36" s="12"/>
      <c r="M36" s="283" t="s">
        <v>636</v>
      </c>
    </row>
    <row r="37" spans="1:13" x14ac:dyDescent="0.25">
      <c r="M37" s="284"/>
    </row>
    <row r="38" spans="1:13" x14ac:dyDescent="0.25">
      <c r="A38" s="70" t="s">
        <v>0</v>
      </c>
      <c r="M38" s="285"/>
    </row>
    <row r="39" spans="1:13" x14ac:dyDescent="0.25">
      <c r="A39" s="70" t="s">
        <v>350</v>
      </c>
      <c r="M39" s="286"/>
    </row>
    <row r="43" spans="1:13" x14ac:dyDescent="0.25">
      <c r="A43" s="70" t="s">
        <v>351</v>
      </c>
    </row>
    <row r="49" spans="1:10" x14ac:dyDescent="0.25">
      <c r="A49" s="180" t="s">
        <v>325</v>
      </c>
      <c r="B49" s="12"/>
      <c r="C49" s="12"/>
      <c r="D49" s="12"/>
      <c r="E49" s="12"/>
      <c r="F49" s="12"/>
      <c r="G49" s="12"/>
      <c r="H49" s="12"/>
      <c r="I49" s="12"/>
      <c r="J49" s="12"/>
    </row>
    <row r="51" spans="1:10" x14ac:dyDescent="0.25">
      <c r="A51" s="181" t="s">
        <v>2</v>
      </c>
      <c r="B51" s="181"/>
      <c r="C51" s="181"/>
      <c r="D51" s="181"/>
      <c r="E51" s="181"/>
      <c r="F51" s="181"/>
      <c r="G51" s="181"/>
      <c r="H51" s="181"/>
      <c r="I51" s="181"/>
      <c r="J51" s="181"/>
    </row>
    <row r="100" spans="11:11" x14ac:dyDescent="0.25">
      <c r="K100" s="182"/>
    </row>
  </sheetData>
  <mergeCells count="1">
    <mergeCell ref="A14:D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Q01</vt:lpstr>
      <vt:lpstr>Q02</vt:lpstr>
      <vt:lpstr>Q03</vt:lpstr>
      <vt:lpstr>Q04</vt:lpstr>
      <vt:lpstr>Q05</vt:lpstr>
      <vt:lpstr>Q06</vt:lpstr>
      <vt:lpstr>Q07</vt:lpstr>
      <vt:lpstr>Q08</vt:lpstr>
      <vt:lpstr>Q09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Dulceak</dc:creator>
  <cp:lastModifiedBy>Mark Dulceak</cp:lastModifiedBy>
  <dcterms:created xsi:type="dcterms:W3CDTF">2021-01-24T18:45:40Z</dcterms:created>
  <dcterms:modified xsi:type="dcterms:W3CDTF">2024-07-31T13:49:43Z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37230a-460a-4aec-98a3-ac101fb30b10_Enabled">
    <vt:lpwstr>true</vt:lpwstr>
  </property>
  <property fmtid="{D5CDD505-2E9C-101B-9397-08002B2CF9AE}" pid="3" name="MSIP_Label_7837230a-460a-4aec-98a3-ac101fb30b10_SetDate">
    <vt:lpwstr>2022-01-22T18:32:37Z</vt:lpwstr>
  </property>
  <property fmtid="{D5CDD505-2E9C-101B-9397-08002B2CF9AE}" pid="4" name="MSIP_Label_7837230a-460a-4aec-98a3-ac101fb30b10_Method">
    <vt:lpwstr>Privileged</vt:lpwstr>
  </property>
  <property fmtid="{D5CDD505-2E9C-101B-9397-08002B2CF9AE}" pid="5" name="MSIP_Label_7837230a-460a-4aec-98a3-ac101fb30b10_Name">
    <vt:lpwstr>7837230a-460a-4aec-98a3-ac101fb30b10</vt:lpwstr>
  </property>
  <property fmtid="{D5CDD505-2E9C-101B-9397-08002B2CF9AE}" pid="6" name="MSIP_Label_7837230a-460a-4aec-98a3-ac101fb30b10_SiteId">
    <vt:lpwstr>fabb61b8-3afe-4e75-b934-a47f782b8cd7</vt:lpwstr>
  </property>
  <property fmtid="{D5CDD505-2E9C-101B-9397-08002B2CF9AE}" pid="7" name="MSIP_Label_7837230a-460a-4aec-98a3-ac101fb30b10_ActionId">
    <vt:lpwstr/>
  </property>
  <property fmtid="{D5CDD505-2E9C-101B-9397-08002B2CF9AE}" pid="8" name="MSIP_Label_7837230a-460a-4aec-98a3-ac101fb30b10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