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Q:\Aleshia\Spring 2021 solutions\"/>
    </mc:Choice>
  </mc:AlternateContent>
  <xr:revisionPtr revIDLastSave="0" documentId="8_{0221AF00-C9FF-4423-A41B-BE73AD9B2C9D}" xr6:coauthVersionLast="46" xr6:coauthVersionMax="46" xr10:uidLastSave="{00000000-0000-0000-0000-000000000000}"/>
  <bookViews>
    <workbookView xWindow="32460" yWindow="1770" windowWidth="19170" windowHeight="10770" activeTab="3" xr2:uid="{00000000-000D-0000-FFFF-FFFF00000000}"/>
  </bookViews>
  <sheets>
    <sheet name="Question 5" sheetId="11" r:id="rId1"/>
    <sheet name="Question 6" sheetId="9" r:id="rId2"/>
    <sheet name="Question 7" sheetId="10" r:id="rId3"/>
    <sheet name="Question 9" sheetId="12" r:id="rId4"/>
  </sheets>
  <definedNames>
    <definedName name="__nAxPro_column__" localSheetId="3" hidden="1">'Question 9'!$XFD:$XFD</definedName>
    <definedName name="__nAxPro_row__" localSheetId="3" hidden="1">'Question 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12" l="1"/>
  <c r="L28" i="12"/>
  <c r="L27" i="12"/>
  <c r="L20" i="12"/>
  <c r="X1" i="11" l="1"/>
  <c r="X2" i="11"/>
  <c r="X3" i="11"/>
  <c r="P7" i="11"/>
  <c r="Y7" i="11"/>
  <c r="Q18" i="11"/>
  <c r="Q20" i="11"/>
  <c r="Q36" i="11" s="1"/>
  <c r="AA21" i="11"/>
  <c r="AB21" i="11"/>
  <c r="AC21" i="11"/>
  <c r="Q22" i="11"/>
  <c r="Z31" i="11" s="1"/>
  <c r="Z23" i="11"/>
  <c r="AA23" i="11"/>
  <c r="AB23" i="11"/>
  <c r="AC23" i="11" s="1"/>
  <c r="P31" i="11"/>
  <c r="Y61" i="11" s="1"/>
  <c r="R31" i="11"/>
  <c r="P32" i="11"/>
  <c r="R32" i="11"/>
  <c r="Z62" i="11" s="1"/>
  <c r="P33" i="11"/>
  <c r="Y63" i="11" s="1"/>
  <c r="R33" i="11"/>
  <c r="P34" i="11"/>
  <c r="Y64" i="11" s="1"/>
  <c r="R34" i="11"/>
  <c r="P35" i="11"/>
  <c r="P36" i="11" s="1"/>
  <c r="P37" i="11" s="1"/>
  <c r="P38" i="11" s="1"/>
  <c r="P39" i="11" s="1"/>
  <c r="R35" i="11"/>
  <c r="R36" i="11"/>
  <c r="R37" i="11" s="1"/>
  <c r="R38" i="11" s="1"/>
  <c r="R39" i="11" s="1"/>
  <c r="R40" i="11" s="1"/>
  <c r="R41" i="11" s="1"/>
  <c r="R42" i="11" s="1"/>
  <c r="R43" i="11" s="1"/>
  <c r="P40" i="11"/>
  <c r="P41" i="11" s="1"/>
  <c r="P42" i="11" s="1"/>
  <c r="P43" i="11" s="1"/>
  <c r="P44" i="11" s="1"/>
  <c r="P45" i="11" s="1"/>
  <c r="P46" i="11" s="1"/>
  <c r="P47" i="11" s="1"/>
  <c r="P48" i="11" s="1"/>
  <c r="Z49" i="11"/>
  <c r="Z50" i="11"/>
  <c r="Z51" i="11" s="1"/>
  <c r="Z61" i="11"/>
  <c r="Z56" i="11" s="1"/>
  <c r="Z69" i="11" s="1"/>
  <c r="Y62" i="11"/>
  <c r="Z63" i="11"/>
  <c r="Z64" i="11"/>
  <c r="Y65" i="11"/>
  <c r="Z65" i="11"/>
  <c r="Z66" i="11"/>
  <c r="Q73" i="11"/>
  <c r="Q74" i="11"/>
  <c r="Q23" i="11" l="1"/>
  <c r="R44" i="11"/>
  <c r="R45" i="11" s="1"/>
  <c r="R46" i="11" s="1"/>
  <c r="R47" i="11" s="1"/>
  <c r="Z36" i="11"/>
  <c r="Z37" i="11" s="1"/>
  <c r="Z57" i="11"/>
  <c r="Z70" i="11" s="1"/>
  <c r="Z75" i="11" s="1"/>
  <c r="Z76" i="11" s="1"/>
  <c r="Q37" i="1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35" i="11"/>
  <c r="Q34" i="11" s="1"/>
  <c r="Q33" i="11" s="1"/>
  <c r="Q32" i="11" s="1"/>
  <c r="Q31" i="11" s="1"/>
  <c r="Q75" i="11"/>
  <c r="Q55" i="11"/>
  <c r="Q60" i="11" s="1"/>
  <c r="Q61" i="11" s="1"/>
  <c r="Q54" i="11" l="1"/>
  <c r="Z30" i="11"/>
  <c r="Z71" i="11"/>
  <c r="Z72" i="11" s="1"/>
  <c r="Z78" i="11" s="1"/>
  <c r="AC20" i="11" s="1"/>
  <c r="AA14" i="11" l="1"/>
  <c r="AC22" i="11"/>
  <c r="Z43" i="11"/>
  <c r="Z45" i="11" s="1"/>
  <c r="Z46" i="11" s="1"/>
  <c r="Z40" i="11" s="1"/>
  <c r="Z32" i="11"/>
  <c r="Q67" i="11"/>
  <c r="Q69" i="11" s="1"/>
  <c r="Q70" i="11" s="1"/>
  <c r="Q64" i="11" s="1"/>
  <c r="Q13" i="11" s="1"/>
  <c r="Q56" i="11"/>
  <c r="Q57" i="11" l="1"/>
  <c r="Q51" i="11" s="1"/>
  <c r="Z33" i="11"/>
  <c r="Z27" i="11" s="1"/>
  <c r="AB20" i="11" s="1"/>
  <c r="Z13" i="11"/>
  <c r="AB22" i="11" l="1"/>
  <c r="AA15" i="11"/>
  <c r="AB13" i="11"/>
  <c r="Q14" i="11"/>
  <c r="Z20" i="11"/>
  <c r="AB15" i="11" l="1"/>
  <c r="AA16" i="11"/>
  <c r="Z22" i="11"/>
  <c r="Z14" i="11"/>
  <c r="Q15" i="11"/>
  <c r="AB14" i="11" l="1"/>
  <c r="AB16" i="11" s="1"/>
  <c r="Z16" i="11"/>
  <c r="AA20" i="11" s="1"/>
  <c r="AA22" i="11" s="1"/>
  <c r="M15" i="10" l="1"/>
  <c r="N15" i="10"/>
  <c r="Q15" i="10"/>
  <c r="S15" i="10"/>
  <c r="T15" i="10" s="1"/>
  <c r="X15" i="10"/>
  <c r="Y15" i="10" s="1"/>
  <c r="L16" i="10"/>
  <c r="L17" i="10" s="1"/>
  <c r="L18" i="10" s="1"/>
  <c r="L19" i="10" s="1"/>
  <c r="L20" i="10" s="1"/>
  <c r="L21" i="10" s="1"/>
  <c r="L22" i="10" s="1"/>
  <c r="L23" i="10" s="1"/>
  <c r="M16" i="10"/>
  <c r="N16" i="10"/>
  <c r="O16" i="10" s="1"/>
  <c r="P16" i="10" s="1"/>
  <c r="S16" i="10"/>
  <c r="T16" i="10" s="1"/>
  <c r="X16" i="10"/>
  <c r="Y16" i="10" s="1"/>
  <c r="M17" i="10"/>
  <c r="S17" i="10" s="1"/>
  <c r="T17" i="10" s="1"/>
  <c r="L24" i="10"/>
  <c r="L25" i="10" s="1"/>
  <c r="L26" i="10" s="1"/>
  <c r="L27" i="10" s="1"/>
  <c r="L28" i="10"/>
  <c r="L29" i="10" s="1"/>
  <c r="V34" i="10"/>
  <c r="U35" i="10"/>
  <c r="V35" i="10"/>
  <c r="O36" i="10"/>
  <c r="T36" i="10"/>
  <c r="U36" i="10"/>
  <c r="V36" i="10"/>
  <c r="T37" i="10"/>
  <c r="U37" i="10" s="1"/>
  <c r="V37" i="10"/>
  <c r="U15" i="10" l="1"/>
  <c r="V15" i="10"/>
  <c r="U17" i="10"/>
  <c r="V17" i="10" s="1"/>
  <c r="Q16" i="10"/>
  <c r="Z16" i="10"/>
  <c r="U16" i="10"/>
  <c r="V16" i="10"/>
  <c r="T38" i="10"/>
  <c r="M18" i="10"/>
  <c r="X17" i="10"/>
  <c r="N17" i="10"/>
  <c r="N31" i="9"/>
  <c r="N23" i="9"/>
  <c r="N44" i="9" s="1"/>
  <c r="AB17" i="10" l="1"/>
  <c r="V38" i="10"/>
  <c r="T39" i="10"/>
  <c r="U38" i="10"/>
  <c r="O17" i="10"/>
  <c r="P17" i="10" s="1"/>
  <c r="N18" i="10"/>
  <c r="Z15" i="10"/>
  <c r="AA15" i="10" s="1"/>
  <c r="AA16" i="10" s="1"/>
  <c r="Q17" i="10"/>
  <c r="Y17" i="10"/>
  <c r="Z17" i="10" s="1"/>
  <c r="X18" i="10"/>
  <c r="AB16" i="10"/>
  <c r="S18" i="10"/>
  <c r="T18" i="10" s="1"/>
  <c r="M19" i="10"/>
  <c r="N37" i="9"/>
  <c r="O18" i="10" l="1"/>
  <c r="P18" i="10" s="1"/>
  <c r="N19" i="10"/>
  <c r="S19" i="10"/>
  <c r="T19" i="10" s="1"/>
  <c r="M20" i="10"/>
  <c r="AA17" i="10"/>
  <c r="U39" i="10"/>
  <c r="V39" i="10"/>
  <c r="T40" i="10"/>
  <c r="Y18" i="10"/>
  <c r="X19" i="10"/>
  <c r="U18" i="10"/>
  <c r="V18" i="10" s="1"/>
  <c r="AB15" i="10"/>
  <c r="AC15" i="10" s="1"/>
  <c r="AD15" i="10" s="1"/>
  <c r="Y19" i="10" l="1"/>
  <c r="Z19" i="10" s="1"/>
  <c r="AA19" i="10" s="1"/>
  <c r="X20" i="10"/>
  <c r="Z18" i="10"/>
  <c r="AA18" i="10" s="1"/>
  <c r="U19" i="10"/>
  <c r="V19" i="10"/>
  <c r="U40" i="10"/>
  <c r="V40" i="10"/>
  <c r="T41" i="10"/>
  <c r="S20" i="10"/>
  <c r="T20" i="10" s="1"/>
  <c r="M21" i="10"/>
  <c r="Q18" i="10"/>
  <c r="AC16" i="10"/>
  <c r="O19" i="10"/>
  <c r="P19" i="10" s="1"/>
  <c r="N20" i="10"/>
  <c r="AD16" i="10" l="1"/>
  <c r="AC17" i="10"/>
  <c r="AD17" i="10" s="1"/>
  <c r="V41" i="10"/>
  <c r="U41" i="10"/>
  <c r="T42" i="10"/>
  <c r="U20" i="10"/>
  <c r="V20" i="10" s="1"/>
  <c r="AB19" i="10"/>
  <c r="Q19" i="10"/>
  <c r="O20" i="10"/>
  <c r="P20" i="10" s="1"/>
  <c r="N21" i="10"/>
  <c r="S21" i="10"/>
  <c r="T21" i="10" s="1"/>
  <c r="M22" i="10"/>
  <c r="Y20" i="10"/>
  <c r="X21" i="10"/>
  <c r="AB18" i="10"/>
  <c r="AC18" i="10" s="1"/>
  <c r="AD18" i="10" s="1"/>
  <c r="V21" i="10" l="1"/>
  <c r="U21" i="10"/>
  <c r="Y21" i="10"/>
  <c r="Z21" i="10" s="1"/>
  <c r="AA21" i="10" s="1"/>
  <c r="X22" i="10"/>
  <c r="N22" i="10"/>
  <c r="O21" i="10"/>
  <c r="P21" i="10" s="1"/>
  <c r="AC19" i="10"/>
  <c r="AD19" i="10" s="1"/>
  <c r="Z20" i="10"/>
  <c r="AA20" i="10" s="1"/>
  <c r="M23" i="10"/>
  <c r="S22" i="10"/>
  <c r="T22" i="10" s="1"/>
  <c r="Q20" i="10"/>
  <c r="Q21" i="10" s="1"/>
  <c r="U42" i="10"/>
  <c r="V42" i="10"/>
  <c r="T43" i="10"/>
  <c r="T44" i="10" l="1"/>
  <c r="U43" i="10"/>
  <c r="V43" i="10"/>
  <c r="U22" i="10"/>
  <c r="V22" i="10"/>
  <c r="S23" i="10"/>
  <c r="T23" i="10" s="1"/>
  <c r="M24" i="10"/>
  <c r="O22" i="10"/>
  <c r="P22" i="10" s="1"/>
  <c r="N23" i="10"/>
  <c r="AB21" i="10"/>
  <c r="Q22" i="10"/>
  <c r="Y22" i="10"/>
  <c r="X23" i="10"/>
  <c r="AB20" i="10"/>
  <c r="AC20" i="10" s="1"/>
  <c r="AD20" i="10" s="1"/>
  <c r="Y23" i="10" l="1"/>
  <c r="X24" i="10"/>
  <c r="AB22" i="10"/>
  <c r="AC22" i="10" s="1"/>
  <c r="AD22" i="10" s="1"/>
  <c r="Z22" i="10"/>
  <c r="AA22" i="10" s="1"/>
  <c r="O23" i="10"/>
  <c r="P23" i="10" s="1"/>
  <c r="N24" i="10"/>
  <c r="T45" i="10"/>
  <c r="V44" i="10"/>
  <c r="U44" i="10"/>
  <c r="S24" i="10"/>
  <c r="T24" i="10" s="1"/>
  <c r="M25" i="10"/>
  <c r="AC21" i="10"/>
  <c r="AD21" i="10" s="1"/>
  <c r="U23" i="10"/>
  <c r="V23" i="10"/>
  <c r="S25" i="10" l="1"/>
  <c r="T25" i="10" s="1"/>
  <c r="M26" i="10"/>
  <c r="V24" i="10"/>
  <c r="U24" i="10"/>
  <c r="Q23" i="10"/>
  <c r="Q24" i="10" s="1"/>
  <c r="O24" i="10"/>
  <c r="P24" i="10" s="1"/>
  <c r="N25" i="10"/>
  <c r="Y24" i="10"/>
  <c r="X25" i="10"/>
  <c r="U45" i="10"/>
  <c r="T46" i="10"/>
  <c r="V45" i="10"/>
  <c r="Z23" i="10"/>
  <c r="AA23" i="10" s="1"/>
  <c r="Y25" i="10" l="1"/>
  <c r="X26" i="10"/>
  <c r="V46" i="10"/>
  <c r="U46" i="10"/>
  <c r="T47" i="10"/>
  <c r="Z24" i="10"/>
  <c r="AA24" i="10" s="1"/>
  <c r="O25" i="10"/>
  <c r="P25" i="10" s="1"/>
  <c r="N26" i="10"/>
  <c r="AB23" i="10"/>
  <c r="AC23" i="10" s="1"/>
  <c r="AD23" i="10" s="1"/>
  <c r="S26" i="10"/>
  <c r="T26" i="10" s="1"/>
  <c r="M27" i="10"/>
  <c r="U25" i="10"/>
  <c r="V25" i="10" s="1"/>
  <c r="S27" i="10" l="1"/>
  <c r="T27" i="10" s="1"/>
  <c r="M28" i="10"/>
  <c r="O26" i="10"/>
  <c r="P26" i="10" s="1"/>
  <c r="N27" i="10"/>
  <c r="Y26" i="10"/>
  <c r="Z26" i="10" s="1"/>
  <c r="X27" i="10"/>
  <c r="U26" i="10"/>
  <c r="V26" i="10"/>
  <c r="Q25" i="10"/>
  <c r="Q26" i="10" s="1"/>
  <c r="AB24" i="10"/>
  <c r="AC24" i="10" s="1"/>
  <c r="AD24" i="10" s="1"/>
  <c r="V47" i="10"/>
  <c r="T48" i="10"/>
  <c r="U47" i="10"/>
  <c r="Z25" i="10"/>
  <c r="AA25" i="10" s="1"/>
  <c r="Y27" i="10" l="1"/>
  <c r="X28" i="10"/>
  <c r="S28" i="10"/>
  <c r="T28" i="10" s="1"/>
  <c r="M29" i="10"/>
  <c r="S29" i="10" s="1"/>
  <c r="T29" i="10" s="1"/>
  <c r="AA26" i="10"/>
  <c r="U27" i="10"/>
  <c r="V27" i="10"/>
  <c r="V48" i="10"/>
  <c r="T49" i="10"/>
  <c r="U48" i="10"/>
  <c r="AB26" i="10"/>
  <c r="AC26" i="10" s="1"/>
  <c r="AD26" i="10" s="1"/>
  <c r="O27" i="10"/>
  <c r="P27" i="10" s="1"/>
  <c r="N28" i="10"/>
  <c r="AB25" i="10"/>
  <c r="AC25" i="10" s="1"/>
  <c r="AD25" i="10" s="1"/>
  <c r="U29" i="10" l="1"/>
  <c r="V29" i="10" s="1"/>
  <c r="V28" i="10"/>
  <c r="U28" i="10"/>
  <c r="O28" i="10"/>
  <c r="P28" i="10" s="1"/>
  <c r="N29" i="10"/>
  <c r="O29" i="10" s="1"/>
  <c r="P29" i="10" s="1"/>
  <c r="U49" i="10"/>
  <c r="T50" i="10"/>
  <c r="V49" i="10"/>
  <c r="Y28" i="10"/>
  <c r="Z28" i="10" s="1"/>
  <c r="AA28" i="10" s="1"/>
  <c r="X29" i="10"/>
  <c r="Y29" i="10" s="1"/>
  <c r="Q27" i="10"/>
  <c r="Q28" i="10" s="1"/>
  <c r="Z27" i="10"/>
  <c r="AA27" i="10" s="1"/>
  <c r="Z29" i="10" l="1"/>
  <c r="AA29" i="10" s="1"/>
  <c r="AA30" i="10" s="1"/>
  <c r="N33" i="10" s="1"/>
  <c r="AB28" i="10"/>
  <c r="Q29" i="10"/>
  <c r="Q30" i="10" s="1"/>
  <c r="N32" i="10" s="1"/>
  <c r="U50" i="10"/>
  <c r="V50" i="10"/>
  <c r="T51" i="10"/>
  <c r="AB27" i="10"/>
  <c r="AC27" i="10" s="1"/>
  <c r="AD27" i="10" s="1"/>
  <c r="T52" i="10" l="1"/>
  <c r="U51" i="10"/>
  <c r="V51" i="10"/>
  <c r="AC28" i="10"/>
  <c r="AD28" i="10" s="1"/>
  <c r="AB29" i="10"/>
  <c r="AC29" i="10" s="1"/>
  <c r="AD29" i="10" l="1"/>
  <c r="AD30" i="10" s="1"/>
  <c r="AC30" i="10"/>
  <c r="N34" i="10" s="1"/>
  <c r="T53" i="10"/>
  <c r="V52" i="10"/>
  <c r="U52" i="10"/>
  <c r="U53" i="10" l="1"/>
  <c r="T54" i="10"/>
  <c r="V53" i="10"/>
  <c r="V54" i="10" l="1"/>
  <c r="V56" i="10" s="1"/>
  <c r="O37" i="10" s="1"/>
  <c r="N42" i="10" s="1"/>
  <c r="U54" i="10"/>
  <c r="U56" i="10" s="1"/>
  <c r="N37" i="10" s="1"/>
  <c r="T55" i="10"/>
  <c r="N39" i="10" l="1"/>
  <c r="N41" i="10"/>
  <c r="N43" i="10" s="1"/>
</calcChain>
</file>

<file path=xl/sharedStrings.xml><?xml version="1.0" encoding="utf-8"?>
<sst xmlns="http://schemas.openxmlformats.org/spreadsheetml/2006/main" count="279" uniqueCount="201">
  <si>
    <t>Excerpt from question:</t>
  </si>
  <si>
    <t>Show all work.</t>
  </si>
  <si>
    <t>Exam RETDAUC:  Spring 2021</t>
  </si>
  <si>
    <t>Design and Accounting Exam – Canada &amp; US</t>
  </si>
  <si>
    <t>Question 6</t>
  </si>
  <si>
    <t>Provide answer here for part (a).  Show and label all work.</t>
  </si>
  <si>
    <t xml:space="preserve">Company ABC sponsors a defined benefit pension plan. The assets of the pension plan </t>
  </si>
  <si>
    <t xml:space="preserve">(a)  </t>
  </si>
  <si>
    <r>
      <t>(2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Calculate the following for the pension plan portfolio:</t>
    </r>
  </si>
  <si>
    <t>are invested according to the following investment strategy:</t>
  </si>
  <si>
    <t>(i) Arithmetic return</t>
  </si>
  <si>
    <t>Asset Class</t>
  </si>
  <si>
    <t>Portfolio Allocation</t>
  </si>
  <si>
    <t>Arithmetic Return</t>
  </si>
  <si>
    <t>Geometric Return</t>
  </si>
  <si>
    <t>Standard Deviation</t>
  </si>
  <si>
    <t>Bond</t>
  </si>
  <si>
    <t>Equity</t>
  </si>
  <si>
    <t>(i) Arithmetic Return</t>
  </si>
  <si>
    <t>= r(b) * w(b) + r(e) * w(e)</t>
  </si>
  <si>
    <t>= 3.2% * 0.4 + 7.7% * 0.6</t>
  </si>
  <si>
    <t>= 5.9%</t>
  </si>
  <si>
    <t>(i) Geometric Return</t>
  </si>
  <si>
    <t>= 11.55%</t>
  </si>
  <si>
    <t>Expected Return = e ^ (ln(1+AR) – ln(1+(sd^2)/((1+AR)^2))/2)-1</t>
  </si>
  <si>
    <t>= 5.27%</t>
  </si>
  <si>
    <t>= (AR – (sd^2)/2)</t>
  </si>
  <si>
    <t>= 5.23%</t>
  </si>
  <si>
    <t>The correlation between bonds and equities is</t>
  </si>
  <si>
    <t>Formula =</t>
  </si>
  <si>
    <t>= e ^ (ln(1.059)-ln(1+(.1155^2)/(1.059^2))/2-1</t>
  </si>
  <si>
    <t>= (.059 – (.1155^2)/2)</t>
  </si>
  <si>
    <t>(ii) Geometric return</t>
  </si>
  <si>
    <t>= [.055^2 * .40^2 + .18^2 * .6^2 + 2*.4*.6*.055*.18*.25]^.5</t>
  </si>
  <si>
    <t>Standard deviation = [ sd(b)^2 * w(b)^2 + sd(e)^2 * w(e)^2 + 2*w(b)*w(e)*sd(b)*sd(e)*correlation(b,e)]^.5</t>
  </si>
  <si>
    <t>Full credit also provided if candidate calculated the expected geometric return using the approximation method.</t>
  </si>
  <si>
    <t xml:space="preserve">while the expected total employee contribution is lower. </t>
  </si>
  <si>
    <t>Therefore, the Option A provides a higher expected annual retirement income for the new hire</t>
  </si>
  <si>
    <t xml:space="preserve">Total from TFSA/Bank </t>
  </si>
  <si>
    <t>Income from Bank</t>
  </si>
  <si>
    <t>Income from TFSA</t>
  </si>
  <si>
    <t xml:space="preserve">Income from RRSP </t>
  </si>
  <si>
    <t>20 Year Annuity Certain</t>
  </si>
  <si>
    <t>Total Bank</t>
  </si>
  <si>
    <t>Total TFSA</t>
  </si>
  <si>
    <t>Total RRSP</t>
  </si>
  <si>
    <t>Total</t>
  </si>
  <si>
    <t>End of year</t>
  </si>
  <si>
    <t>Timing of contributions</t>
  </si>
  <si>
    <t>Average income tax rate after retirement</t>
  </si>
  <si>
    <t>Average income tax rate before retirement</t>
  </si>
  <si>
    <t>Annual RRSP and TFSA limits increase</t>
  </si>
  <si>
    <t>Annual salary increase</t>
  </si>
  <si>
    <t>Investment rate of return</t>
  </si>
  <si>
    <t>Current TFSA maximum annual contribution</t>
  </si>
  <si>
    <t>Current RRSP maximum annual dollar limit</t>
  </si>
  <si>
    <t>Current annual salary</t>
  </si>
  <si>
    <t>20 years</t>
  </si>
  <si>
    <t>Life expectancy at age 65</t>
  </si>
  <si>
    <t>Planned retirement age</t>
  </si>
  <si>
    <t>Current age</t>
  </si>
  <si>
    <t>You are provided with the following information for a new hire:</t>
  </si>
  <si>
    <t>match</t>
  </si>
  <si>
    <t>Employer Matching Contribution</t>
  </si>
  <si>
    <t>Total EOY Balance</t>
  </si>
  <si>
    <t>Bank EOY Balance</t>
  </si>
  <si>
    <t>Bank Cont</t>
  </si>
  <si>
    <t>TFSA EOY Balance</t>
  </si>
  <si>
    <t>TFSA Cont</t>
  </si>
  <si>
    <t>Rounded Limit</t>
  </si>
  <si>
    <t>TFSA Limit</t>
  </si>
  <si>
    <t>ER Cont</t>
  </si>
  <si>
    <t>EE Cont</t>
  </si>
  <si>
    <t>After Tax Income</t>
  </si>
  <si>
    <t>Balance at EOY</t>
  </si>
  <si>
    <t>Limit</t>
  </si>
  <si>
    <t>Salary</t>
  </si>
  <si>
    <t>Age</t>
  </si>
  <si>
    <t>Invested in bank account earning guaranteed interest of 2% per year</t>
  </si>
  <si>
    <t>None</t>
  </si>
  <si>
    <t>Contributions in Excess of Maximum Allowable Amount under the ITA</t>
  </si>
  <si>
    <t>TFSA</t>
  </si>
  <si>
    <t>RRSP</t>
  </si>
  <si>
    <t>7% of salary after income tax up to $16,000</t>
  </si>
  <si>
    <t>Between $1,000 and 50% of the Maximum Allowable Amount under the Income Tax Act (ITA)</t>
  </si>
  <si>
    <t>Annual Employee Contribution</t>
  </si>
  <si>
    <t>Immediate</t>
  </si>
  <si>
    <t>1 year</t>
  </si>
  <si>
    <t>Eligibility</t>
  </si>
  <si>
    <t>Type of Arrangement</t>
  </si>
  <si>
    <t>Option B</t>
  </si>
  <si>
    <t>Option A</t>
  </si>
  <si>
    <t>Feature</t>
  </si>
  <si>
    <t>Company A offers a retirement savings plan that has the following two options for their Canadian employees:</t>
  </si>
  <si>
    <t>(6 points)  Assess which option provides the higher expected annual retirement income for the new hire.</t>
  </si>
  <si>
    <t xml:space="preserve">(b)  </t>
  </si>
  <si>
    <t>Part (b)</t>
  </si>
  <si>
    <t>Provide answer here for part (b).  Show and label all work.</t>
  </si>
  <si>
    <t>Question 7</t>
  </si>
  <si>
    <t>Design and Accounting Exam – Canada</t>
  </si>
  <si>
    <t>Exam RETDAC:  Spring</t>
  </si>
  <si>
    <t>SRP DBO at 4/1/2021</t>
  </si>
  <si>
    <t>Limited DBO at 4/1/2021</t>
  </si>
  <si>
    <t>Limited benefit</t>
  </si>
  <si>
    <t>Limited SC at 1/1/2021</t>
  </si>
  <si>
    <t>Limited DBO:</t>
  </si>
  <si>
    <t>Increase in Limited Benefit</t>
  </si>
  <si>
    <t>Service Increase</t>
  </si>
  <si>
    <t>Unlimited DBO at 4/1/2021</t>
  </si>
  <si>
    <t>Limited SC:</t>
  </si>
  <si>
    <t>Unlimited benefit</t>
  </si>
  <si>
    <t>Benefit Service at AA</t>
  </si>
  <si>
    <t>Unlimited SC at 1/1/2021</t>
  </si>
  <si>
    <t>Best Average Earnings at 4/31/2021</t>
  </si>
  <si>
    <t>Increase in Unlimited Benefit</t>
  </si>
  <si>
    <t>DBO Post Curtailment</t>
  </si>
  <si>
    <t>Best Average Earnings at RA</t>
  </si>
  <si>
    <t>2021 (to date)</t>
  </si>
  <si>
    <t>Unlimited SC:</t>
  </si>
  <si>
    <t>SRP Service Cost</t>
  </si>
  <si>
    <t>Limited DBO at 1/1/2021</t>
  </si>
  <si>
    <t>Earnings</t>
  </si>
  <si>
    <t>Year</t>
  </si>
  <si>
    <t>Earnings History:</t>
  </si>
  <si>
    <t>Benefit Service</t>
  </si>
  <si>
    <t>Unlimited DBO at 1/1/2021</t>
  </si>
  <si>
    <t>Best Average Earnings</t>
  </si>
  <si>
    <t>Accrued Benefit at 3/31/2021</t>
  </si>
  <si>
    <t>Remeasured Post Plan Freeze</t>
  </si>
  <si>
    <t>Unlimited DBO:</t>
  </si>
  <si>
    <t>SRP DBO:</t>
  </si>
  <si>
    <t>Defined Benefit Obligation (DBO) calculations:</t>
  </si>
  <si>
    <t>The response to this part is to be provided in the Excel spreadsheet.</t>
  </si>
  <si>
    <r>
      <t>(5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Calculate the revised 2021 Defined Benefit Cost, including the change to Other Comprehensive Income, for the SRP under IAS 19 reflecting the plan freeze.
Show all work.</t>
    </r>
  </si>
  <si>
    <t>(b)</t>
  </si>
  <si>
    <t>All other assumptions remain the same.  No other gains, losses, or assumption changes occurred during 2021.</t>
  </si>
  <si>
    <t>SRP Service Cost at 1/1/2021</t>
  </si>
  <si>
    <t>Earnings through March 31, 2021</t>
  </si>
  <si>
    <t>Age 62 Annuity Factor at 3.25%</t>
  </si>
  <si>
    <t>Discount Rate</t>
  </si>
  <si>
    <t>SRP assumptions as of March 31, 2021 under IAS 19:</t>
  </si>
  <si>
    <t>Limited:</t>
  </si>
  <si>
    <t>Unlimited at 1/1/2021</t>
  </si>
  <si>
    <t xml:space="preserve">NOC has decided to freeze benefit accruals in both the National Oil Pension Plan and the SRP effective March 31, 2021.  </t>
  </si>
  <si>
    <t>Unlimited:</t>
  </si>
  <si>
    <r>
      <t>(5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Calculate the 2021 Defined Benefit Cost for the SRP under IAS 19.</t>
    </r>
  </si>
  <si>
    <t>Remeasured SRP DBO at 1/1/2021:</t>
  </si>
  <si>
    <t>2021 Assets</t>
  </si>
  <si>
    <t>Age 62 Annuity Factor at 3.75%</t>
  </si>
  <si>
    <t xml:space="preserve">2021 Expected Benefit Payments </t>
  </si>
  <si>
    <t>Salary Scale</t>
  </si>
  <si>
    <t>Funded Status</t>
  </si>
  <si>
    <t>Pre-retirement decrements</t>
  </si>
  <si>
    <t>Assets</t>
  </si>
  <si>
    <t>Assumed Retirement Age (RA)</t>
  </si>
  <si>
    <t>Retirement age</t>
  </si>
  <si>
    <t>DBO</t>
  </si>
  <si>
    <t>Attained Age (AA)</t>
  </si>
  <si>
    <t>Val Date</t>
  </si>
  <si>
    <t>Post Amendment</t>
  </si>
  <si>
    <t>Remeasured</t>
  </si>
  <si>
    <t>Expected</t>
  </si>
  <si>
    <t>Hire Age</t>
  </si>
  <si>
    <t>SRP assumptions under International Accounting Standard IAS 19, Rev. 2011 (IAS 19) as of December 31, 2020:</t>
  </si>
  <si>
    <t>Participant Data:</t>
  </si>
  <si>
    <t>2021 Defined Benefit Cost</t>
  </si>
  <si>
    <t>Net Interest Cost</t>
  </si>
  <si>
    <t>Service Cost</t>
  </si>
  <si>
    <t>4/1/21 - 12/31/2021</t>
  </si>
  <si>
    <t>1/1/21 - 3/31/21</t>
  </si>
  <si>
    <t>Earnings History</t>
  </si>
  <si>
    <t>Date of Hire</t>
  </si>
  <si>
    <t>Date of Birth</t>
  </si>
  <si>
    <t>CEO Employee Data:</t>
  </si>
  <si>
    <t>Provide answer here.  Show and label all work.</t>
  </si>
  <si>
    <t xml:space="preserve">NOC sponsors an unfunded Supplemental Retirement Plan (SRP) for its CEO.  The SRP restores the annuity benefit not payable from the National Oil Pension Plan.  </t>
  </si>
  <si>
    <t>Question 5</t>
  </si>
  <si>
    <t>Question 9</t>
  </si>
  <si>
    <t>Provide answer here for part (c).  Show and label all work.</t>
  </si>
  <si>
    <t>Part (c)</t>
  </si>
  <si>
    <t xml:space="preserve">(c)  </t>
  </si>
  <si>
    <r>
      <t>(2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Derive the credibility factors to be applied to the standard mortality table for the following:</t>
    </r>
  </si>
  <si>
    <t xml:space="preserve">You are provided the following data from Plan A's 2017-2020 annuitant experience study.  </t>
  </si>
  <si>
    <t>(i) Males</t>
  </si>
  <si>
    <t>Male</t>
  </si>
  <si>
    <t>Female</t>
  </si>
  <si>
    <t>(ii) Females</t>
  </si>
  <si>
    <t>Actual deaths during period</t>
  </si>
  <si>
    <t>Expected deaths during period, based on standard mortality table</t>
  </si>
  <si>
    <t>Number of deaths on a counts-weighted basis for full credibility</t>
  </si>
  <si>
    <t>Actual deaths (1650) &gt; 1537.  Therefore fully credible</t>
  </si>
  <si>
    <t>Formula:</t>
  </si>
  <si>
    <t>=actual deaths / expected deaths since fully credible</t>
  </si>
  <si>
    <t>Factor:</t>
  </si>
  <si>
    <t>Actual deaths (201) &lt; 1537.  Therefore not fully credible (partial credibility only)</t>
  </si>
  <si>
    <t>Z</t>
  </si>
  <si>
    <t>(square root of actual deaths over fully credible amount)</t>
  </si>
  <si>
    <t>f</t>
  </si>
  <si>
    <t>(actual deaths over expected deaths)</t>
  </si>
  <si>
    <t>=(Z * f) + (1-Z)</t>
  </si>
  <si>
    <t>Curtailment Charge / (Credit)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</si>
</sst>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00%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"/>
    <numFmt numFmtId="170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Protection="1">
      <protection locked="0"/>
    </xf>
    <xf numFmtId="0" fontId="1" fillId="3" borderId="0" xfId="0" applyFont="1" applyFill="1" applyProtection="1"/>
    <xf numFmtId="0" fontId="4" fillId="3" borderId="0" xfId="0" applyFont="1" applyFill="1" applyProtection="1"/>
    <xf numFmtId="0" fontId="3" fillId="3" borderId="0" xfId="0" applyFont="1" applyFill="1" applyProtection="1"/>
    <xf numFmtId="10" fontId="1" fillId="3" borderId="0" xfId="0" applyNumberFormat="1" applyFont="1" applyFill="1" applyProtection="1"/>
    <xf numFmtId="0" fontId="1" fillId="3" borderId="0" xfId="0" applyFont="1" applyFill="1" applyAlignment="1" applyProtection="1">
      <alignment vertical="top" wrapText="1"/>
    </xf>
    <xf numFmtId="0" fontId="1" fillId="2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indent="10"/>
    </xf>
    <xf numFmtId="0" fontId="1" fillId="3" borderId="0" xfId="0" applyFont="1" applyFill="1" applyAlignment="1" applyProtection="1">
      <alignment horizontal="left" indent="3"/>
    </xf>
    <xf numFmtId="9" fontId="1" fillId="3" borderId="0" xfId="0" applyNumberFormat="1" applyFont="1" applyFill="1" applyProtection="1"/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right"/>
    </xf>
    <xf numFmtId="164" fontId="1" fillId="0" borderId="0" xfId="0" applyNumberFormat="1" applyFont="1" applyProtection="1">
      <protection locked="0"/>
    </xf>
    <xf numFmtId="10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43" fontId="6" fillId="0" borderId="0" xfId="1" applyFont="1" applyProtection="1">
      <protection locked="0"/>
    </xf>
    <xf numFmtId="43" fontId="1" fillId="0" borderId="0" xfId="0" applyNumberFormat="1" applyFont="1" applyProtection="1">
      <protection locked="0"/>
    </xf>
    <xf numFmtId="0" fontId="1" fillId="0" borderId="0" xfId="0" quotePrefix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2" fillId="3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indent="4"/>
      <protection locked="0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vertical="center" wrapText="1"/>
    </xf>
    <xf numFmtId="10" fontId="1" fillId="3" borderId="0" xfId="0" applyNumberFormat="1" applyFont="1" applyFill="1" applyBorder="1" applyAlignment="1" applyProtection="1">
      <alignment vertical="center" wrapText="1"/>
    </xf>
    <xf numFmtId="9" fontId="1" fillId="3" borderId="0" xfId="0" applyNumberFormat="1" applyFont="1" applyFill="1" applyBorder="1" applyProtection="1"/>
    <xf numFmtId="0" fontId="1" fillId="3" borderId="0" xfId="0" applyFont="1" applyFill="1" applyBorder="1" applyProtection="1"/>
    <xf numFmtId="0" fontId="2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166" fontId="1" fillId="0" borderId="0" xfId="0" applyNumberFormat="1" applyFont="1" applyProtection="1">
      <protection locked="0"/>
    </xf>
    <xf numFmtId="10" fontId="1" fillId="0" borderId="0" xfId="2" applyNumberFormat="1" applyFont="1" applyProtection="1">
      <protection locked="0"/>
    </xf>
    <xf numFmtId="0" fontId="1" fillId="0" borderId="0" xfId="0" quotePrefix="1" applyFont="1"/>
    <xf numFmtId="0" fontId="1" fillId="3" borderId="0" xfId="0" applyFont="1" applyFill="1" applyAlignment="1" applyProtection="1">
      <alignment horizontal="left" vertical="top" wrapText="1"/>
    </xf>
    <xf numFmtId="0" fontId="1" fillId="2" borderId="0" xfId="0" applyFont="1" applyFill="1" applyProtection="1"/>
    <xf numFmtId="9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166" fontId="1" fillId="4" borderId="0" xfId="0" applyNumberFormat="1" applyFont="1" applyFill="1" applyProtection="1">
      <protection locked="0"/>
    </xf>
    <xf numFmtId="10" fontId="1" fillId="4" borderId="0" xfId="2" applyNumberFormat="1" applyFont="1" applyFill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4" fontId="1" fillId="0" borderId="0" xfId="0" applyNumberFormat="1" applyFont="1" applyProtection="1">
      <protection locked="0"/>
    </xf>
    <xf numFmtId="44" fontId="1" fillId="0" borderId="8" xfId="3" applyFont="1" applyBorder="1" applyProtection="1">
      <protection locked="0"/>
    </xf>
    <xf numFmtId="0" fontId="1" fillId="0" borderId="8" xfId="0" applyFont="1" applyBorder="1" applyProtection="1">
      <protection locked="0"/>
    </xf>
    <xf numFmtId="44" fontId="1" fillId="0" borderId="0" xfId="3" applyFont="1" applyProtection="1">
      <protection locked="0"/>
    </xf>
    <xf numFmtId="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167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6" fontId="1" fillId="0" borderId="0" xfId="0" applyNumberFormat="1" applyFont="1" applyProtection="1">
      <protection locked="0"/>
    </xf>
    <xf numFmtId="167" fontId="1" fillId="0" borderId="0" xfId="3" applyNumberFormat="1" applyFont="1" applyProtection="1">
      <protection locked="0"/>
    </xf>
    <xf numFmtId="0" fontId="1" fillId="5" borderId="1" xfId="0" applyFont="1" applyFill="1" applyBorder="1" applyAlignment="1">
      <alignment horizontal="left" vertical="center" wrapText="1" indent="2"/>
    </xf>
    <xf numFmtId="44" fontId="1" fillId="0" borderId="8" xfId="0" applyNumberFormat="1" applyFont="1" applyBorder="1" applyProtection="1">
      <protection locked="0"/>
    </xf>
    <xf numFmtId="6" fontId="1" fillId="0" borderId="8" xfId="0" applyNumberFormat="1" applyFont="1" applyBorder="1" applyProtection="1">
      <protection locked="0"/>
    </xf>
    <xf numFmtId="167" fontId="1" fillId="0" borderId="8" xfId="0" applyNumberFormat="1" applyFont="1" applyBorder="1" applyProtection="1">
      <protection locked="0"/>
    </xf>
    <xf numFmtId="167" fontId="1" fillId="0" borderId="8" xfId="3" applyNumberFormat="1" applyFont="1" applyBorder="1" applyProtection="1">
      <protection locked="0"/>
    </xf>
    <xf numFmtId="0" fontId="1" fillId="0" borderId="8" xfId="0" quotePrefix="1" applyFont="1" applyBorder="1" applyProtection="1">
      <protection locked="0"/>
    </xf>
    <xf numFmtId="0" fontId="1" fillId="3" borderId="0" xfId="0" applyFont="1" applyFill="1" applyAlignment="1">
      <alignment horizontal="left" indent="3"/>
    </xf>
    <xf numFmtId="8" fontId="1" fillId="0" borderId="0" xfId="0" applyNumberFormat="1" applyFont="1" applyProtection="1">
      <protection locked="0"/>
    </xf>
    <xf numFmtId="0" fontId="1" fillId="3" borderId="0" xfId="0" applyFont="1" applyFill="1" applyAlignment="1">
      <alignment horizontal="left" vertical="center" indent="10"/>
    </xf>
    <xf numFmtId="6" fontId="1" fillId="5" borderId="9" xfId="0" applyNumberFormat="1" applyFont="1" applyFill="1" applyBorder="1" applyAlignment="1">
      <alignment horizontal="left" vertical="center"/>
    </xf>
    <xf numFmtId="9" fontId="1" fillId="5" borderId="10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3" borderId="0" xfId="0" applyFont="1" applyFill="1" applyAlignment="1">
      <alignment vertical="top" wrapText="1"/>
    </xf>
    <xf numFmtId="9" fontId="1" fillId="3" borderId="0" xfId="0" applyNumberFormat="1" applyFont="1" applyFill="1"/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5" borderId="1" xfId="0" applyFont="1" applyFill="1" applyBorder="1" applyAlignment="1">
      <alignment horizontal="left" vertical="center" wrapText="1" indent="2"/>
    </xf>
    <xf numFmtId="10" fontId="1" fillId="3" borderId="0" xfId="0" applyNumberFormat="1" applyFont="1" applyFill="1"/>
    <xf numFmtId="0" fontId="1" fillId="3" borderId="0" xfId="0" applyFont="1" applyFill="1" applyAlignment="1">
      <alignment horizontal="left" vertical="center"/>
    </xf>
    <xf numFmtId="0" fontId="3" fillId="3" borderId="0" xfId="0" applyFont="1" applyFill="1"/>
    <xf numFmtId="0" fontId="4" fillId="3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7" fontId="11" fillId="0" borderId="0" xfId="3" applyNumberFormat="1" applyFont="1"/>
    <xf numFmtId="168" fontId="9" fillId="0" borderId="0" xfId="3" applyNumberFormat="1" applyFont="1"/>
    <xf numFmtId="0" fontId="12" fillId="0" borderId="0" xfId="0" applyFont="1"/>
    <xf numFmtId="37" fontId="10" fillId="0" borderId="0" xfId="3" applyNumberFormat="1" applyFont="1"/>
    <xf numFmtId="0" fontId="13" fillId="0" borderId="0" xfId="0" applyFont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4" fillId="0" borderId="0" xfId="0" applyFont="1"/>
    <xf numFmtId="168" fontId="10" fillId="0" borderId="0" xfId="0" applyNumberFormat="1" applyFont="1"/>
    <xf numFmtId="169" fontId="10" fillId="0" borderId="0" xfId="0" applyNumberFormat="1" applyFont="1"/>
    <xf numFmtId="167" fontId="10" fillId="0" borderId="0" xfId="0" applyNumberFormat="1" applyFont="1"/>
    <xf numFmtId="0" fontId="15" fillId="0" borderId="0" xfId="0" applyFont="1"/>
    <xf numFmtId="168" fontId="9" fillId="0" borderId="0" xfId="0" applyNumberFormat="1" applyFont="1"/>
    <xf numFmtId="0" fontId="16" fillId="0" borderId="0" xfId="0" applyFont="1"/>
    <xf numFmtId="0" fontId="4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wrapText="1"/>
    </xf>
    <xf numFmtId="0" fontId="1" fillId="3" borderId="1" xfId="0" applyFont="1" applyFill="1" applyBorder="1"/>
    <xf numFmtId="0" fontId="1" fillId="3" borderId="0" xfId="0" applyFont="1" applyFill="1" applyAlignment="1">
      <alignment horizontal="center"/>
    </xf>
    <xf numFmtId="37" fontId="11" fillId="0" borderId="0" xfId="3" applyNumberFormat="1" applyFont="1"/>
    <xf numFmtId="0" fontId="17" fillId="0" borderId="0" xfId="0" applyFont="1"/>
    <xf numFmtId="10" fontId="9" fillId="0" borderId="0" xfId="0" applyNumberFormat="1" applyFont="1"/>
    <xf numFmtId="10" fontId="10" fillId="0" borderId="0" xfId="0" applyNumberFormat="1" applyFont="1"/>
    <xf numFmtId="0" fontId="9" fillId="0" borderId="8" xfId="0" applyFont="1" applyBorder="1"/>
    <xf numFmtId="0" fontId="10" fillId="0" borderId="8" xfId="0" applyFont="1" applyBorder="1"/>
    <xf numFmtId="14" fontId="9" fillId="0" borderId="8" xfId="0" applyNumberFormat="1" applyFont="1" applyBorder="1"/>
    <xf numFmtId="14" fontId="10" fillId="0" borderId="8" xfId="0" applyNumberFormat="1" applyFont="1" applyBorder="1"/>
    <xf numFmtId="14" fontId="10" fillId="0" borderId="0" xfId="0" applyNumberFormat="1" applyFont="1"/>
    <xf numFmtId="168" fontId="12" fillId="0" borderId="0" xfId="0" applyNumberFormat="1" applyFont="1"/>
    <xf numFmtId="168" fontId="9" fillId="0" borderId="11" xfId="0" applyNumberFormat="1" applyFont="1" applyBorder="1"/>
    <xf numFmtId="167" fontId="1" fillId="3" borderId="12" xfId="3" applyNumberFormat="1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8" fontId="9" fillId="0" borderId="8" xfId="0" applyNumberFormat="1" applyFont="1" applyBorder="1"/>
    <xf numFmtId="168" fontId="9" fillId="0" borderId="12" xfId="0" applyNumberFormat="1" applyFont="1" applyBorder="1"/>
    <xf numFmtId="167" fontId="1" fillId="3" borderId="15" xfId="3" applyNumberFormat="1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168" fontId="9" fillId="0" borderId="15" xfId="0" applyNumberFormat="1" applyFont="1" applyBorder="1"/>
    <xf numFmtId="0" fontId="9" fillId="0" borderId="8" xfId="0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167" fontId="1" fillId="3" borderId="11" xfId="3" applyNumberFormat="1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vertical="center" wrapText="1"/>
    </xf>
    <xf numFmtId="3" fontId="1" fillId="3" borderId="2" xfId="0" applyNumberFormat="1" applyFont="1" applyFill="1" applyBorder="1" applyAlignment="1">
      <alignment horizontal="right" vertical="center" wrapText="1"/>
    </xf>
    <xf numFmtId="0" fontId="1" fillId="3" borderId="24" xfId="0" applyFont="1" applyFill="1" applyBorder="1" applyAlignment="1">
      <alignment horizontal="right" vertical="center" wrapText="1"/>
    </xf>
    <xf numFmtId="10" fontId="1" fillId="3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21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right"/>
    </xf>
    <xf numFmtId="0" fontId="3" fillId="0" borderId="0" xfId="0" applyFont="1" applyProtection="1"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0" xfId="0" applyFont="1" applyFill="1" applyAlignment="1">
      <alignment horizontal="left" wrapText="1"/>
    </xf>
    <xf numFmtId="14" fontId="1" fillId="3" borderId="1" xfId="0" applyNumberFormat="1" applyFont="1" applyFill="1" applyBorder="1" applyAlignment="1">
      <alignment horizontal="center"/>
    </xf>
    <xf numFmtId="164" fontId="1" fillId="3" borderId="10" xfId="3" applyNumberFormat="1" applyFont="1" applyFill="1" applyBorder="1" applyAlignment="1">
      <alignment horizontal="center"/>
    </xf>
    <xf numFmtId="164" fontId="1" fillId="3" borderId="9" xfId="3" applyNumberFormat="1" applyFont="1" applyFill="1" applyBorder="1" applyAlignment="1">
      <alignment horizontal="center"/>
    </xf>
    <xf numFmtId="170" fontId="1" fillId="3" borderId="1" xfId="2" applyNumberFormat="1" applyFont="1" applyFill="1" applyBorder="1" applyAlignment="1">
      <alignment horizontal="center"/>
    </xf>
    <xf numFmtId="10" fontId="1" fillId="3" borderId="1" xfId="2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top" wrapText="1"/>
    </xf>
    <xf numFmtId="2" fontId="1" fillId="3" borderId="1" xfId="2" applyNumberFormat="1" applyFont="1" applyFill="1" applyBorder="1" applyAlignment="1">
      <alignment horizontal="center"/>
    </xf>
    <xf numFmtId="170" fontId="18" fillId="3" borderId="1" xfId="2" applyNumberFormat="1" applyFont="1" applyFill="1" applyBorder="1" applyAlignment="1">
      <alignment horizontal="center"/>
    </xf>
    <xf numFmtId="0" fontId="1" fillId="3" borderId="0" xfId="0" applyFont="1" applyFill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right" vertical="center" wrapText="1"/>
    </xf>
    <xf numFmtId="164" fontId="1" fillId="3" borderId="0" xfId="0" applyNumberFormat="1" applyFont="1" applyFill="1" applyBorder="1" applyAlignment="1" applyProtection="1">
      <alignment horizontal="right" vertical="center" wrapText="1"/>
    </xf>
    <xf numFmtId="9" fontId="1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6" fontId="1" fillId="5" borderId="1" xfId="0" applyNumberFormat="1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9" fontId="1" fillId="5" borderId="10" xfId="0" applyNumberFormat="1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164" fontId="1" fillId="3" borderId="0" xfId="0" applyNumberFormat="1" applyFont="1" applyFill="1" applyAlignment="1">
      <alignment horizontal="righ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6FC23-F519-45B7-B364-25C730EF7FB3}">
  <dimension ref="A1:AF88"/>
  <sheetViews>
    <sheetView zoomScale="90" zoomScaleNormal="90" workbookViewId="0"/>
  </sheetViews>
  <sheetFormatPr defaultRowHeight="15.75" x14ac:dyDescent="0.25"/>
  <cols>
    <col min="1" max="1" width="3.7109375" style="22" customWidth="1"/>
    <col min="2" max="2" width="36.42578125" style="22" customWidth="1"/>
    <col min="3" max="4" width="14.140625" style="22" customWidth="1"/>
    <col min="5" max="5" width="10.42578125" style="22" customWidth="1"/>
    <col min="6" max="6" width="10" style="22" hidden="1" customWidth="1"/>
    <col min="7" max="7" width="6.85546875" style="22" hidden="1" customWidth="1"/>
    <col min="8" max="8" width="10" style="22" hidden="1" customWidth="1"/>
    <col min="9" max="9" width="6.85546875" style="22" hidden="1" customWidth="1"/>
    <col min="10" max="10" width="10" style="22" hidden="1" customWidth="1"/>
    <col min="11" max="11" width="6.85546875" style="22" hidden="1" customWidth="1"/>
    <col min="12" max="12" width="1.7109375" style="22" customWidth="1"/>
    <col min="13" max="13" width="13.85546875" style="22" customWidth="1"/>
    <col min="14" max="14" width="1" style="23" customWidth="1"/>
    <col min="15" max="15" width="4.5703125" customWidth="1"/>
    <col min="16" max="16" width="48.140625" customWidth="1"/>
    <col min="17" max="17" width="17.28515625" customWidth="1"/>
    <col min="18" max="18" width="13.42578125" customWidth="1"/>
    <col min="19" max="19" width="12.5703125" bestFit="1" customWidth="1"/>
    <col min="20" max="22" width="14.7109375" customWidth="1"/>
    <col min="23" max="23" width="1" style="23" customWidth="1"/>
    <col min="24" max="24" width="5" customWidth="1"/>
    <col min="25" max="25" width="36.85546875" style="85" customWidth="1"/>
    <col min="26" max="26" width="16" style="85" customWidth="1"/>
    <col min="27" max="27" width="17.7109375" customWidth="1"/>
    <col min="28" max="28" width="15.85546875" customWidth="1"/>
    <col min="29" max="31" width="14.42578125" customWidth="1"/>
    <col min="32" max="32" width="1" style="23" customWidth="1"/>
  </cols>
  <sheetData>
    <row r="1" spans="1:31" x14ac:dyDescent="0.25">
      <c r="A1" s="21" t="s">
        <v>100</v>
      </c>
      <c r="O1" s="21" t="s">
        <v>100</v>
      </c>
      <c r="P1" s="22"/>
      <c r="Q1" s="22"/>
      <c r="R1" s="22"/>
      <c r="S1" s="22"/>
      <c r="T1" s="22"/>
      <c r="U1" s="22"/>
      <c r="V1" s="22"/>
      <c r="X1" s="21" t="str">
        <f>O1</f>
        <v>Exam RETDAC:  Spring</v>
      </c>
      <c r="Y1" s="22"/>
      <c r="Z1" s="22"/>
      <c r="AA1" s="22"/>
      <c r="AB1" s="22"/>
      <c r="AC1" s="22"/>
      <c r="AD1" s="22"/>
      <c r="AE1" s="22"/>
    </row>
    <row r="2" spans="1:31" x14ac:dyDescent="0.25">
      <c r="A2" s="21" t="s">
        <v>99</v>
      </c>
      <c r="O2" s="21" t="s">
        <v>99</v>
      </c>
      <c r="P2" s="22"/>
      <c r="Q2" s="22"/>
      <c r="R2" s="22"/>
      <c r="S2" s="22"/>
      <c r="T2" s="22"/>
      <c r="U2" s="22"/>
      <c r="V2" s="22"/>
      <c r="X2" s="21" t="str">
        <f>O2</f>
        <v>Design and Accounting Exam – Canada</v>
      </c>
      <c r="Y2" s="22"/>
      <c r="Z2" s="22"/>
      <c r="AA2" s="22"/>
      <c r="AB2" s="22"/>
      <c r="AC2" s="22"/>
      <c r="AD2" s="22"/>
      <c r="AE2" s="22"/>
    </row>
    <row r="3" spans="1:31" x14ac:dyDescent="0.25">
      <c r="A3" s="21" t="s">
        <v>176</v>
      </c>
      <c r="O3" s="21" t="s">
        <v>176</v>
      </c>
      <c r="P3" s="22"/>
      <c r="Q3" s="22"/>
      <c r="R3" s="22"/>
      <c r="S3" s="22"/>
      <c r="T3" s="22"/>
      <c r="U3" s="22"/>
      <c r="V3" s="22"/>
      <c r="X3" s="21" t="str">
        <f>O3</f>
        <v>Question 5</v>
      </c>
      <c r="Y3" s="22"/>
      <c r="Z3" s="22"/>
      <c r="AA3" s="22"/>
      <c r="AB3" s="22"/>
      <c r="AC3" s="22"/>
      <c r="AD3" s="22"/>
      <c r="AE3" s="22"/>
    </row>
    <row r="4" spans="1:31" x14ac:dyDescent="0.25">
      <c r="O4" s="22"/>
      <c r="P4" s="22"/>
      <c r="Q4" s="22"/>
      <c r="R4" s="22"/>
      <c r="S4" s="22"/>
      <c r="T4" s="22"/>
      <c r="U4" s="22"/>
      <c r="V4" s="22"/>
      <c r="X4" s="22"/>
      <c r="Y4" s="22"/>
      <c r="Z4" s="22"/>
      <c r="AA4" s="22"/>
      <c r="AB4" s="22"/>
      <c r="AC4" s="22"/>
      <c r="AD4" s="22"/>
      <c r="AE4" s="22"/>
    </row>
    <row r="5" spans="1:31" x14ac:dyDescent="0.25">
      <c r="A5" s="147" t="s">
        <v>175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O5" s="84" t="s">
        <v>174</v>
      </c>
      <c r="P5" s="22"/>
      <c r="Q5" s="22"/>
      <c r="R5" s="22"/>
      <c r="S5" s="22"/>
      <c r="T5" s="22"/>
      <c r="U5" s="22"/>
      <c r="V5" s="22"/>
      <c r="X5" s="84" t="s">
        <v>174</v>
      </c>
      <c r="Y5" s="22"/>
      <c r="Z5" s="22"/>
      <c r="AA5" s="22"/>
      <c r="AB5" s="22"/>
      <c r="AC5" s="22"/>
      <c r="AD5" s="22"/>
      <c r="AE5" s="22"/>
    </row>
    <row r="6" spans="1:3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O6" s="22"/>
      <c r="P6" s="22"/>
      <c r="Q6" s="22"/>
      <c r="R6" s="22"/>
      <c r="S6" s="22"/>
      <c r="T6" s="22"/>
      <c r="U6" s="22"/>
      <c r="V6" s="22"/>
      <c r="X6" s="22"/>
      <c r="Y6" s="22"/>
      <c r="Z6" s="22"/>
      <c r="AA6" s="22"/>
      <c r="AB6" s="22"/>
      <c r="AC6" s="22"/>
      <c r="AD6" s="22"/>
      <c r="AE6" s="22"/>
    </row>
    <row r="7" spans="1:31" ht="15.75" customHeight="1" x14ac:dyDescent="0.25">
      <c r="A7" s="84"/>
      <c r="O7" s="22" t="s">
        <v>7</v>
      </c>
      <c r="P7" s="153" t="str">
        <f>B28</f>
        <v>(5 points)  Calculate the 2021 Defined Benefit Cost for the SRP under IAS 19.</v>
      </c>
      <c r="Q7" s="153"/>
      <c r="R7" s="153"/>
      <c r="S7" s="153"/>
      <c r="T7" s="153"/>
      <c r="U7" s="153"/>
      <c r="V7" s="153"/>
      <c r="X7" s="22" t="s">
        <v>134</v>
      </c>
      <c r="Y7" s="153" t="str">
        <f>B45</f>
        <v>(5 points)  Calculate the revised 2021 Defined Benefit Cost, including the change to Other Comprehensive Income, for the SRP under IAS 19 reflecting the plan freeze.
Show all work.</v>
      </c>
      <c r="Z7" s="153"/>
      <c r="AA7" s="153"/>
      <c r="AB7" s="153"/>
      <c r="AC7" s="153"/>
      <c r="AD7" s="153"/>
      <c r="AE7" s="153"/>
    </row>
    <row r="8" spans="1:31" x14ac:dyDescent="0.25">
      <c r="A8" s="22" t="s">
        <v>173</v>
      </c>
      <c r="O8" s="22"/>
      <c r="P8" s="79"/>
      <c r="Q8" s="79"/>
      <c r="R8" s="79"/>
      <c r="S8" s="79"/>
      <c r="T8" s="79"/>
      <c r="U8" s="79"/>
      <c r="V8" s="79"/>
      <c r="X8" s="22"/>
      <c r="Y8" s="153"/>
      <c r="Z8" s="153"/>
      <c r="AA8" s="153"/>
      <c r="AB8" s="153"/>
      <c r="AC8" s="153"/>
      <c r="AD8" s="153"/>
      <c r="AE8" s="153"/>
    </row>
    <row r="9" spans="1:31" ht="15.75" customHeight="1" x14ac:dyDescent="0.25">
      <c r="O9" s="22"/>
      <c r="P9" s="78" t="s">
        <v>1</v>
      </c>
      <c r="Q9" s="79"/>
      <c r="R9" s="79"/>
      <c r="S9" s="79"/>
      <c r="T9" s="79"/>
      <c r="U9" s="79"/>
      <c r="V9" s="79"/>
      <c r="X9" s="22"/>
      <c r="Y9" s="153"/>
      <c r="Z9" s="153"/>
      <c r="AA9" s="153"/>
      <c r="AB9" s="153"/>
      <c r="AC9" s="153"/>
      <c r="AD9" s="153"/>
      <c r="AE9" s="153"/>
    </row>
    <row r="10" spans="1:31" x14ac:dyDescent="0.25">
      <c r="B10" s="105" t="s">
        <v>172</v>
      </c>
      <c r="C10" s="148">
        <v>25934</v>
      </c>
      <c r="D10" s="148"/>
      <c r="E10" s="82"/>
      <c r="F10" s="82"/>
      <c r="G10" s="82"/>
      <c r="H10" s="82"/>
      <c r="I10" s="82"/>
      <c r="J10" s="82"/>
      <c r="K10" s="82"/>
      <c r="L10" s="82"/>
      <c r="O10" s="22"/>
      <c r="P10" s="78"/>
      <c r="Q10" s="79"/>
      <c r="R10" s="79"/>
      <c r="S10" s="79"/>
      <c r="T10" s="79"/>
      <c r="U10" s="79"/>
      <c r="V10" s="79"/>
      <c r="X10" s="22"/>
      <c r="Y10" s="153"/>
      <c r="Z10" s="153"/>
      <c r="AA10" s="153"/>
      <c r="AB10" s="153"/>
      <c r="AC10" s="153"/>
      <c r="AD10" s="153"/>
      <c r="AE10" s="153"/>
    </row>
    <row r="11" spans="1:31" x14ac:dyDescent="0.25">
      <c r="B11" s="105" t="s">
        <v>171</v>
      </c>
      <c r="C11" s="148">
        <v>40544</v>
      </c>
      <c r="D11" s="148"/>
      <c r="E11" s="82"/>
      <c r="F11" s="82"/>
      <c r="G11" s="82"/>
      <c r="H11" s="82"/>
      <c r="I11" s="82"/>
      <c r="J11" s="82"/>
      <c r="K11" s="82"/>
      <c r="L11" s="82"/>
      <c r="O11" s="86"/>
      <c r="P11" s="86"/>
      <c r="Q11" s="86"/>
      <c r="R11" s="86"/>
      <c r="S11" s="86"/>
      <c r="T11" s="86"/>
      <c r="U11" s="86"/>
      <c r="V11" s="86"/>
      <c r="X11" s="86"/>
      <c r="Y11" s="87"/>
      <c r="Z11" s="87"/>
      <c r="AA11" s="86"/>
      <c r="AB11" s="86"/>
      <c r="AC11" s="86"/>
      <c r="AD11" s="86"/>
    </row>
    <row r="12" spans="1:31" x14ac:dyDescent="0.25">
      <c r="B12" s="131" t="s">
        <v>170</v>
      </c>
      <c r="C12" s="130">
        <v>2016</v>
      </c>
      <c r="D12" s="129">
        <v>800000</v>
      </c>
      <c r="E12" s="82"/>
      <c r="F12" s="82"/>
      <c r="G12" s="82"/>
      <c r="H12" s="82"/>
      <c r="I12" s="82"/>
      <c r="J12" s="82"/>
      <c r="K12" s="82"/>
      <c r="L12" s="82"/>
      <c r="O12" s="91"/>
      <c r="P12" s="86"/>
      <c r="Q12" s="86"/>
      <c r="R12" s="93"/>
      <c r="S12" s="86"/>
      <c r="T12" s="86"/>
      <c r="U12" s="86"/>
      <c r="V12" s="86"/>
      <c r="X12" s="86"/>
      <c r="Y12" s="86"/>
      <c r="Z12" s="128" t="s">
        <v>169</v>
      </c>
      <c r="AA12" s="127" t="s">
        <v>168</v>
      </c>
      <c r="AB12" s="127" t="s">
        <v>46</v>
      </c>
      <c r="AC12" s="86"/>
      <c r="AD12" s="86"/>
    </row>
    <row r="13" spans="1:31" x14ac:dyDescent="0.25">
      <c r="B13" s="125"/>
      <c r="C13" s="124">
        <v>2017</v>
      </c>
      <c r="D13" s="123">
        <v>850000</v>
      </c>
      <c r="E13" s="82"/>
      <c r="F13" s="82"/>
      <c r="G13" s="82"/>
      <c r="H13" s="82"/>
      <c r="I13" s="82"/>
      <c r="J13" s="82"/>
      <c r="K13" s="82"/>
      <c r="L13" s="82"/>
      <c r="O13" s="86"/>
      <c r="P13" s="86" t="s">
        <v>167</v>
      </c>
      <c r="Q13" s="101">
        <f>Q64*(1+C24)</f>
        <v>242328.98136833834</v>
      </c>
      <c r="R13" s="108"/>
      <c r="S13" s="86"/>
      <c r="T13" s="86"/>
      <c r="U13" s="86"/>
      <c r="V13" s="86"/>
      <c r="X13" s="86"/>
      <c r="Y13" s="86" t="s">
        <v>167</v>
      </c>
      <c r="Z13" s="101">
        <f>0.25*Q13</f>
        <v>60582.245342084585</v>
      </c>
      <c r="AA13" s="126">
        <v>0</v>
      </c>
      <c r="AB13" s="101">
        <f>AA13+Z13</f>
        <v>60582.245342084585</v>
      </c>
      <c r="AC13" s="86"/>
      <c r="AD13" s="86"/>
    </row>
    <row r="14" spans="1:31" x14ac:dyDescent="0.25">
      <c r="B14" s="125"/>
      <c r="C14" s="124">
        <v>2018</v>
      </c>
      <c r="D14" s="123">
        <v>900000</v>
      </c>
      <c r="E14" s="82"/>
      <c r="F14" s="82"/>
      <c r="G14" s="82"/>
      <c r="H14" s="82"/>
      <c r="I14" s="82"/>
      <c r="J14" s="82"/>
      <c r="K14" s="82"/>
      <c r="L14" s="82"/>
      <c r="O14" s="86"/>
      <c r="P14" s="86" t="s">
        <v>166</v>
      </c>
      <c r="Q14" s="121">
        <f>(Q51*C24)</f>
        <v>87588.788446387363</v>
      </c>
      <c r="R14" s="108"/>
      <c r="S14" s="86"/>
      <c r="T14" s="86"/>
      <c r="U14" s="86"/>
      <c r="V14" s="86"/>
      <c r="X14" s="86"/>
      <c r="Y14" s="86" t="s">
        <v>166</v>
      </c>
      <c r="Z14" s="101">
        <f>0.25*Q14</f>
        <v>21897.197111596841</v>
      </c>
      <c r="AA14" s="126">
        <f>-0.75*AC20*C38</f>
        <v>41045.182864901239</v>
      </c>
      <c r="AB14" s="101">
        <f>AA14+Z14</f>
        <v>62942.379976498079</v>
      </c>
      <c r="AC14" s="86"/>
      <c r="AD14" s="86"/>
    </row>
    <row r="15" spans="1:31" x14ac:dyDescent="0.25">
      <c r="B15" s="125"/>
      <c r="C15" s="124">
        <v>2019</v>
      </c>
      <c r="D15" s="123">
        <v>950000</v>
      </c>
      <c r="E15" s="82"/>
      <c r="F15" s="82"/>
      <c r="G15" s="82"/>
      <c r="H15" s="82"/>
      <c r="I15" s="82"/>
      <c r="J15" s="82"/>
      <c r="K15" s="82"/>
      <c r="L15" s="82"/>
      <c r="O15" s="86"/>
      <c r="P15" s="86" t="s">
        <v>165</v>
      </c>
      <c r="Q15" s="101">
        <f>Q13+Q14</f>
        <v>329917.76981472573</v>
      </c>
      <c r="R15" s="86"/>
      <c r="S15" s="86"/>
      <c r="T15" s="86"/>
      <c r="U15" s="86"/>
      <c r="V15" s="86"/>
      <c r="X15" s="86"/>
      <c r="Y15" s="87" t="s">
        <v>200</v>
      </c>
      <c r="Z15" s="121">
        <v>0</v>
      </c>
      <c r="AA15" s="122">
        <f>-(AC20-AB20)</f>
        <v>-1026725.8522742316</v>
      </c>
      <c r="AB15" s="121">
        <f>AA15+Z15</f>
        <v>-1026725.8522742316</v>
      </c>
      <c r="AC15" s="86"/>
      <c r="AD15" s="86"/>
    </row>
    <row r="16" spans="1:31" x14ac:dyDescent="0.25">
      <c r="B16" s="120"/>
      <c r="C16" s="119">
        <v>2020</v>
      </c>
      <c r="D16" s="118">
        <v>1000000</v>
      </c>
      <c r="E16" s="82"/>
      <c r="F16" s="82"/>
      <c r="G16" s="82"/>
      <c r="H16" s="82"/>
      <c r="I16" s="82"/>
      <c r="J16" s="82"/>
      <c r="K16" s="82"/>
      <c r="L16" s="82"/>
      <c r="O16" s="86"/>
      <c r="P16" s="86"/>
      <c r="Q16" s="86"/>
      <c r="R16" s="86"/>
      <c r="S16" s="86"/>
      <c r="T16" s="86"/>
      <c r="U16" s="86"/>
      <c r="V16" s="86"/>
      <c r="X16" s="86"/>
      <c r="Y16" s="86" t="s">
        <v>165</v>
      </c>
      <c r="Z16" s="101">
        <f>SUM(Z13:Z15)</f>
        <v>82479.442453681433</v>
      </c>
      <c r="AA16" s="117">
        <f>SUM(AA13:AA15)</f>
        <v>-985680.66940933035</v>
      </c>
      <c r="AB16" s="116">
        <f>SUM(AB13:AB15)</f>
        <v>-903201.22695564898</v>
      </c>
      <c r="AC16" s="86"/>
      <c r="AD16" s="86"/>
    </row>
    <row r="17" spans="1:30" x14ac:dyDescent="0.25">
      <c r="O17" s="86"/>
      <c r="P17" s="93" t="s">
        <v>164</v>
      </c>
      <c r="Q17" s="86"/>
      <c r="R17" s="86"/>
      <c r="S17" s="86"/>
      <c r="T17" s="86"/>
      <c r="U17" s="86"/>
      <c r="V17" s="86"/>
      <c r="X17" s="86"/>
      <c r="Y17" s="87"/>
      <c r="Z17" s="87"/>
      <c r="AA17" s="86"/>
      <c r="AB17" s="86"/>
      <c r="AC17" s="86"/>
      <c r="AD17" s="86"/>
    </row>
    <row r="18" spans="1:30" x14ac:dyDescent="0.25">
      <c r="A18" s="147" t="s">
        <v>163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O18" s="86"/>
      <c r="P18" s="87" t="s">
        <v>162</v>
      </c>
      <c r="Q18" s="87">
        <f>+DATEDIF(C10,C11,"M")/12</f>
        <v>40</v>
      </c>
      <c r="R18" s="86"/>
      <c r="S18" s="86"/>
      <c r="T18" s="86"/>
      <c r="U18" s="86"/>
      <c r="V18" s="86"/>
      <c r="X18" s="86"/>
      <c r="Y18" s="87"/>
      <c r="Z18" s="87"/>
      <c r="AA18" s="86" t="s">
        <v>161</v>
      </c>
      <c r="AB18" s="86" t="s">
        <v>160</v>
      </c>
      <c r="AC18" s="86" t="s">
        <v>159</v>
      </c>
      <c r="AD18" s="86"/>
    </row>
    <row r="19" spans="1:30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O19" s="86"/>
      <c r="P19" s="87" t="s">
        <v>158</v>
      </c>
      <c r="Q19" s="115">
        <v>44197</v>
      </c>
      <c r="R19" s="86"/>
      <c r="S19" s="86"/>
      <c r="T19" s="86"/>
      <c r="U19" s="86"/>
      <c r="V19" s="86"/>
      <c r="X19" s="86"/>
      <c r="Y19" s="87"/>
      <c r="Z19" s="114">
        <v>44197</v>
      </c>
      <c r="AA19" s="113">
        <v>44286</v>
      </c>
      <c r="AB19" s="113">
        <v>44286</v>
      </c>
      <c r="AC19" s="113">
        <v>44287</v>
      </c>
      <c r="AD19" s="86"/>
    </row>
    <row r="20" spans="1:30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O20" s="86"/>
      <c r="P20" s="87" t="s">
        <v>157</v>
      </c>
      <c r="Q20" s="87">
        <f>+DATEDIF(C10,Q19,"M")/12</f>
        <v>50</v>
      </c>
      <c r="R20" s="88"/>
      <c r="S20" s="86"/>
      <c r="T20" s="88"/>
      <c r="U20" s="86"/>
      <c r="V20" s="86"/>
      <c r="X20" s="86"/>
      <c r="Y20" s="87" t="s">
        <v>156</v>
      </c>
      <c r="Z20" s="97">
        <f>-Q51</f>
        <v>-2335701.0252369964</v>
      </c>
      <c r="AA20" s="101">
        <f>Z20-Z16</f>
        <v>-2418180.4676906778</v>
      </c>
      <c r="AB20" s="101">
        <f>-(Z27+Z40/4+(Z27+Z40)*C38/4)</f>
        <v>-2710630.7903214619</v>
      </c>
      <c r="AC20" s="101">
        <f>-Z78</f>
        <v>-1683904.9380472302</v>
      </c>
      <c r="AD20" s="86"/>
    </row>
    <row r="21" spans="1:30" x14ac:dyDescent="0.25">
      <c r="B21" s="105" t="s">
        <v>155</v>
      </c>
      <c r="C21" s="155">
        <v>62</v>
      </c>
      <c r="D21" s="155"/>
      <c r="G21" s="69"/>
      <c r="H21" s="69"/>
      <c r="I21" s="69"/>
      <c r="J21" s="69"/>
      <c r="K21" s="69"/>
      <c r="L21" s="69"/>
      <c r="O21" s="86"/>
      <c r="P21" s="87" t="s">
        <v>154</v>
      </c>
      <c r="Q21" s="87">
        <v>62</v>
      </c>
      <c r="R21" s="88"/>
      <c r="S21" s="86"/>
      <c r="T21" s="88"/>
      <c r="U21" s="86"/>
      <c r="V21" s="86"/>
      <c r="X21" s="86"/>
      <c r="Y21" s="87" t="s">
        <v>153</v>
      </c>
      <c r="Z21" s="112">
        <v>0</v>
      </c>
      <c r="AA21" s="111">
        <f>Z21</f>
        <v>0</v>
      </c>
      <c r="AB21" s="111">
        <f>AA21</f>
        <v>0</v>
      </c>
      <c r="AC21" s="111">
        <f>AB21</f>
        <v>0</v>
      </c>
      <c r="AD21" s="86"/>
    </row>
    <row r="22" spans="1:30" x14ac:dyDescent="0.25">
      <c r="B22" s="105" t="s">
        <v>152</v>
      </c>
      <c r="C22" s="155" t="s">
        <v>79</v>
      </c>
      <c r="D22" s="155"/>
      <c r="G22" s="69"/>
      <c r="H22" s="69"/>
      <c r="I22" s="69"/>
      <c r="J22" s="69"/>
      <c r="K22" s="69"/>
      <c r="L22" s="69"/>
      <c r="O22" s="86"/>
      <c r="P22" s="87" t="s">
        <v>111</v>
      </c>
      <c r="Q22" s="86">
        <f>Q20-Q18</f>
        <v>10</v>
      </c>
      <c r="R22" s="88"/>
      <c r="S22" s="86"/>
      <c r="T22" s="88"/>
      <c r="U22" s="86"/>
      <c r="V22" s="86"/>
      <c r="X22" s="86"/>
      <c r="Y22" s="87" t="s">
        <v>151</v>
      </c>
      <c r="Z22" s="97">
        <f>SUM(Z20:Z21)</f>
        <v>-2335701.0252369964</v>
      </c>
      <c r="AA22" s="97">
        <f>SUM(AA20:AA21)</f>
        <v>-2418180.4676906778</v>
      </c>
      <c r="AB22" s="97">
        <f>SUM(AB20:AB21)</f>
        <v>-2710630.7903214619</v>
      </c>
      <c r="AC22" s="97">
        <f>SUM(AC20:AC21)</f>
        <v>-1683904.9380472302</v>
      </c>
      <c r="AD22" s="86"/>
    </row>
    <row r="23" spans="1:30" x14ac:dyDescent="0.25">
      <c r="B23" s="105" t="s">
        <v>150</v>
      </c>
      <c r="C23" s="152">
        <v>0.03</v>
      </c>
      <c r="D23" s="152"/>
      <c r="G23" s="69"/>
      <c r="H23" s="69"/>
      <c r="I23" s="69"/>
      <c r="J23" s="69"/>
      <c r="K23" s="69"/>
      <c r="L23" s="69"/>
      <c r="O23" s="86"/>
      <c r="P23" s="87" t="s">
        <v>116</v>
      </c>
      <c r="Q23" s="92">
        <f>AVERAGE(R43:R47)</f>
        <v>1345090.8804263216</v>
      </c>
      <c r="R23" s="88"/>
      <c r="S23" s="88"/>
      <c r="T23" s="88"/>
      <c r="U23" s="86"/>
      <c r="V23" s="86"/>
      <c r="X23" s="86"/>
      <c r="Y23" s="85" t="s">
        <v>139</v>
      </c>
      <c r="Z23" s="110">
        <f>C24</f>
        <v>3.7499999999999999E-2</v>
      </c>
      <c r="AA23" s="109">
        <f>Z23</f>
        <v>3.7499999999999999E-2</v>
      </c>
      <c r="AB23" s="109">
        <f>C38</f>
        <v>3.2500000000000001E-2</v>
      </c>
      <c r="AC23" s="109">
        <f>AB23</f>
        <v>3.2500000000000001E-2</v>
      </c>
      <c r="AD23" s="86"/>
    </row>
    <row r="24" spans="1:30" x14ac:dyDescent="0.25">
      <c r="B24" s="105" t="s">
        <v>139</v>
      </c>
      <c r="C24" s="152">
        <v>3.7499999999999999E-2</v>
      </c>
      <c r="D24" s="152"/>
      <c r="O24" s="88"/>
      <c r="P24" s="87" t="s">
        <v>149</v>
      </c>
      <c r="Q24" s="87">
        <v>0</v>
      </c>
      <c r="R24" s="108"/>
      <c r="S24" s="88"/>
      <c r="T24" s="88"/>
      <c r="U24" s="88"/>
      <c r="V24" s="86"/>
      <c r="X24" s="86"/>
      <c r="AD24" s="86"/>
    </row>
    <row r="25" spans="1:30" x14ac:dyDescent="0.25">
      <c r="B25" s="105" t="s">
        <v>148</v>
      </c>
      <c r="C25" s="151">
        <v>15.2</v>
      </c>
      <c r="D25" s="151"/>
      <c r="O25" s="88"/>
      <c r="P25" s="87" t="s">
        <v>147</v>
      </c>
      <c r="Q25" s="87">
        <v>0</v>
      </c>
      <c r="R25" s="108"/>
      <c r="T25" s="88"/>
      <c r="U25" s="88"/>
      <c r="V25" s="86"/>
      <c r="X25" s="86"/>
      <c r="AD25" s="86"/>
    </row>
    <row r="26" spans="1:30" x14ac:dyDescent="0.25">
      <c r="B26" s="106"/>
      <c r="C26" s="106"/>
      <c r="D26" s="106"/>
      <c r="O26" s="88"/>
      <c r="T26" s="88"/>
      <c r="U26" s="88"/>
      <c r="V26" s="86"/>
      <c r="X26" s="86"/>
      <c r="AD26" s="86"/>
    </row>
    <row r="27" spans="1:30" x14ac:dyDescent="0.25">
      <c r="B27" s="106"/>
      <c r="C27" s="106"/>
      <c r="D27" s="106"/>
      <c r="O27" s="88"/>
      <c r="T27" s="88"/>
      <c r="U27" s="88"/>
      <c r="V27" s="86"/>
      <c r="X27" s="86"/>
      <c r="Y27" s="91" t="s">
        <v>146</v>
      </c>
      <c r="Z27" s="101">
        <f>Z33-Z37</f>
        <v>2621658.2630202132</v>
      </c>
      <c r="AA27" s="86"/>
      <c r="AB27" s="86"/>
      <c r="AC27" s="86"/>
      <c r="AD27" s="86"/>
    </row>
    <row r="28" spans="1:30" x14ac:dyDescent="0.25">
      <c r="A28" s="22" t="s">
        <v>7</v>
      </c>
      <c r="B28" s="153" t="s">
        <v>145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O28" s="88"/>
      <c r="T28" s="88"/>
      <c r="U28" s="88"/>
      <c r="X28" s="86"/>
      <c r="Y28" s="87"/>
      <c r="Z28" s="87"/>
      <c r="AA28" s="86"/>
      <c r="AB28" s="86"/>
      <c r="AC28" s="86"/>
      <c r="AD28" s="86"/>
    </row>
    <row r="29" spans="1:30" x14ac:dyDescent="0.25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O29" s="88"/>
      <c r="P29" s="96" t="s">
        <v>123</v>
      </c>
      <c r="Q29" s="88"/>
      <c r="R29" s="88"/>
      <c r="T29" s="88"/>
      <c r="U29" s="88"/>
      <c r="X29" s="86"/>
      <c r="Y29" s="93" t="s">
        <v>144</v>
      </c>
      <c r="Z29" s="86"/>
      <c r="AA29" s="86"/>
      <c r="AB29" s="86"/>
      <c r="AC29" s="86"/>
      <c r="AD29" s="86"/>
    </row>
    <row r="30" spans="1:30" x14ac:dyDescent="0.25">
      <c r="B30" s="78" t="s">
        <v>1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O30" s="88"/>
      <c r="P30" s="87" t="s">
        <v>122</v>
      </c>
      <c r="Q30" s="87" t="s">
        <v>77</v>
      </c>
      <c r="R30" s="87" t="s">
        <v>121</v>
      </c>
      <c r="T30" s="88"/>
      <c r="U30" s="88"/>
      <c r="X30" s="86"/>
      <c r="Y30" s="86" t="s">
        <v>116</v>
      </c>
      <c r="Z30" s="90">
        <f>Q23</f>
        <v>1345090.8804263216</v>
      </c>
      <c r="AA30" s="86"/>
      <c r="AB30" s="86"/>
      <c r="AC30" s="86"/>
      <c r="AD30" s="86"/>
    </row>
    <row r="31" spans="1:30" x14ac:dyDescent="0.25">
      <c r="B31" s="103" t="s">
        <v>132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O31" s="88"/>
      <c r="P31" s="87">
        <f>+C12</f>
        <v>2016</v>
      </c>
      <c r="Q31" s="87">
        <f>+Q32-1</f>
        <v>45</v>
      </c>
      <c r="R31" s="107">
        <f>+D12</f>
        <v>800000</v>
      </c>
      <c r="T31" s="88"/>
      <c r="U31" s="88"/>
      <c r="X31" s="86"/>
      <c r="Y31" s="86" t="s">
        <v>111</v>
      </c>
      <c r="Z31" s="90">
        <f>Q22</f>
        <v>10</v>
      </c>
      <c r="AA31" s="101"/>
      <c r="AB31" s="86"/>
      <c r="AC31" s="86"/>
      <c r="AD31" s="86"/>
    </row>
    <row r="32" spans="1:30" x14ac:dyDescent="0.25">
      <c r="B32" s="103"/>
      <c r="C32" s="79"/>
      <c r="D32" s="79"/>
      <c r="E32" s="79"/>
      <c r="F32" s="79"/>
      <c r="G32" s="79"/>
      <c r="H32" s="79"/>
      <c r="I32" s="79"/>
      <c r="J32" s="79"/>
      <c r="K32" s="79"/>
      <c r="L32" s="79"/>
      <c r="O32" s="88"/>
      <c r="P32" s="87">
        <f>+C13</f>
        <v>2017</v>
      </c>
      <c r="Q32" s="87">
        <f>+Q33-1</f>
        <v>46</v>
      </c>
      <c r="R32" s="107">
        <f>+D13</f>
        <v>850000</v>
      </c>
      <c r="T32" s="88"/>
      <c r="U32" s="88"/>
      <c r="X32" s="86"/>
      <c r="Y32" s="86" t="s">
        <v>110</v>
      </c>
      <c r="Z32" s="90">
        <f>0.02*Z30*Z31</f>
        <v>269018.17608526436</v>
      </c>
      <c r="AA32" s="90"/>
      <c r="AB32" s="86"/>
      <c r="AC32" s="86"/>
      <c r="AD32" s="86"/>
    </row>
    <row r="33" spans="1:30" x14ac:dyDescent="0.25">
      <c r="A33" s="153" t="s">
        <v>143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O33" s="88"/>
      <c r="P33" s="87">
        <f>+C14</f>
        <v>2018</v>
      </c>
      <c r="Q33" s="87">
        <f>+Q34-1</f>
        <v>47</v>
      </c>
      <c r="R33" s="107">
        <f>+D14</f>
        <v>900000</v>
      </c>
      <c r="T33" s="88"/>
      <c r="U33" s="88"/>
      <c r="X33" s="86"/>
      <c r="Y33" s="86" t="s">
        <v>142</v>
      </c>
      <c r="Z33" s="90">
        <f>+Q56*(1+C38)^-(Q21-Q20)*C39</f>
        <v>2950711.6813784465</v>
      </c>
      <c r="AA33" s="90"/>
      <c r="AB33" s="86"/>
      <c r="AC33" s="86"/>
      <c r="AD33" s="86"/>
    </row>
    <row r="34" spans="1:30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O34" s="88"/>
      <c r="P34" s="87">
        <f>+C15</f>
        <v>2019</v>
      </c>
      <c r="Q34" s="87">
        <f>+Q35-1</f>
        <v>48</v>
      </c>
      <c r="R34" s="107">
        <f>+D15</f>
        <v>950000</v>
      </c>
      <c r="T34" s="88"/>
      <c r="U34" s="88"/>
      <c r="X34" s="86"/>
      <c r="Y34" s="86"/>
      <c r="Z34" s="90"/>
      <c r="AA34" s="86"/>
      <c r="AB34" s="86"/>
      <c r="AC34" s="86"/>
      <c r="AD34" s="86"/>
    </row>
    <row r="35" spans="1:30" x14ac:dyDescent="0.25">
      <c r="B35" s="103"/>
      <c r="C35" s="79"/>
      <c r="D35" s="79"/>
      <c r="E35" s="79"/>
      <c r="F35" s="79"/>
      <c r="G35" s="79"/>
      <c r="H35" s="79"/>
      <c r="I35" s="79"/>
      <c r="J35" s="79"/>
      <c r="K35" s="79"/>
      <c r="L35" s="79"/>
      <c r="O35" s="88"/>
      <c r="P35" s="87">
        <f>+C16</f>
        <v>2020</v>
      </c>
      <c r="Q35" s="87">
        <f>+Q36-1</f>
        <v>49</v>
      </c>
      <c r="R35" s="107">
        <f>+D16</f>
        <v>1000000</v>
      </c>
      <c r="T35" s="88"/>
      <c r="U35" s="88"/>
      <c r="X35" s="86"/>
      <c r="Y35" s="93" t="s">
        <v>141</v>
      </c>
      <c r="Z35" s="90"/>
      <c r="AA35" s="86"/>
      <c r="AB35" s="86"/>
      <c r="AC35" s="86"/>
      <c r="AD35" s="86"/>
    </row>
    <row r="36" spans="1:30" x14ac:dyDescent="0.25">
      <c r="A36" s="22" t="s">
        <v>140</v>
      </c>
      <c r="C36" s="106"/>
      <c r="D36" s="106"/>
      <c r="O36" s="88"/>
      <c r="P36" s="87">
        <f t="shared" ref="P36:P48" si="0">+P35+1</f>
        <v>2021</v>
      </c>
      <c r="Q36" s="87">
        <f>+Q20</f>
        <v>50</v>
      </c>
      <c r="R36" s="92">
        <f t="shared" ref="R36:R47" si="1">+R35*(1+$C$23)</f>
        <v>1030000</v>
      </c>
      <c r="S36" s="88"/>
      <c r="T36" s="88"/>
      <c r="U36" s="88"/>
      <c r="X36" s="86"/>
      <c r="Y36" s="86" t="s">
        <v>103</v>
      </c>
      <c r="Z36" s="90">
        <f>+Z31*3000</f>
        <v>30000</v>
      </c>
      <c r="AA36" s="90"/>
      <c r="AB36" s="86"/>
      <c r="AC36" s="86"/>
      <c r="AD36" s="86"/>
    </row>
    <row r="37" spans="1:30" x14ac:dyDescent="0.25">
      <c r="C37" s="106"/>
      <c r="D37" s="106"/>
      <c r="O37" s="88"/>
      <c r="P37" s="87">
        <f t="shared" si="0"/>
        <v>2022</v>
      </c>
      <c r="Q37" s="87">
        <f t="shared" ref="Q37:Q48" si="2">+Q36+1</f>
        <v>51</v>
      </c>
      <c r="R37" s="92">
        <f t="shared" si="1"/>
        <v>1060900</v>
      </c>
      <c r="S37" s="87"/>
      <c r="T37" s="88"/>
      <c r="U37" s="88"/>
      <c r="X37" s="86"/>
      <c r="Y37" s="86" t="s">
        <v>120</v>
      </c>
      <c r="Z37" s="90">
        <f>Z36*(1+C38)^-(Q21-Q20)*C39</f>
        <v>329053.41835823347</v>
      </c>
      <c r="AA37" s="90"/>
      <c r="AB37" s="86"/>
      <c r="AC37" s="86"/>
      <c r="AD37" s="86"/>
    </row>
    <row r="38" spans="1:30" x14ac:dyDescent="0.25">
      <c r="B38" s="105" t="s">
        <v>139</v>
      </c>
      <c r="C38" s="152">
        <v>3.2500000000000001E-2</v>
      </c>
      <c r="D38" s="152"/>
      <c r="O38" s="88"/>
      <c r="P38" s="87">
        <f t="shared" si="0"/>
        <v>2023</v>
      </c>
      <c r="Q38" s="87">
        <f t="shared" si="2"/>
        <v>52</v>
      </c>
      <c r="R38" s="92">
        <f t="shared" si="1"/>
        <v>1092727</v>
      </c>
      <c r="S38" s="87"/>
      <c r="T38" s="88"/>
      <c r="U38" s="88"/>
      <c r="X38" s="86"/>
      <c r="Y38" s="87"/>
      <c r="Z38" s="87"/>
      <c r="AA38" s="86"/>
      <c r="AB38" s="86"/>
      <c r="AC38" s="86"/>
      <c r="AD38" s="86"/>
    </row>
    <row r="39" spans="1:30" x14ac:dyDescent="0.25">
      <c r="B39" s="105" t="s">
        <v>138</v>
      </c>
      <c r="C39" s="154">
        <v>16.100000000000001</v>
      </c>
      <c r="D39" s="154"/>
      <c r="O39" s="88"/>
      <c r="P39" s="87">
        <f t="shared" si="0"/>
        <v>2024</v>
      </c>
      <c r="Q39" s="87">
        <f t="shared" si="2"/>
        <v>53</v>
      </c>
      <c r="R39" s="92">
        <f t="shared" si="1"/>
        <v>1125508.81</v>
      </c>
      <c r="S39" s="87"/>
      <c r="T39" s="88"/>
      <c r="U39" s="88"/>
      <c r="X39" s="86"/>
      <c r="Y39" s="91"/>
      <c r="Z39" s="90"/>
      <c r="AA39" s="86"/>
      <c r="AB39" s="86"/>
      <c r="AC39" s="86"/>
      <c r="AD39" s="86"/>
    </row>
    <row r="40" spans="1:30" x14ac:dyDescent="0.25">
      <c r="B40" s="105" t="s">
        <v>137</v>
      </c>
      <c r="C40" s="149">
        <v>257500</v>
      </c>
      <c r="D40" s="150"/>
      <c r="O40" s="88"/>
      <c r="P40" s="87">
        <f t="shared" si="0"/>
        <v>2025</v>
      </c>
      <c r="Q40" s="87">
        <f t="shared" si="2"/>
        <v>54</v>
      </c>
      <c r="R40" s="92">
        <f t="shared" si="1"/>
        <v>1159274.0743</v>
      </c>
      <c r="S40" s="87"/>
      <c r="T40" s="86"/>
      <c r="U40" s="88"/>
      <c r="X40" s="86"/>
      <c r="Y40" s="91" t="s">
        <v>136</v>
      </c>
      <c r="Z40" s="90">
        <f>Z46-Z51</f>
        <v>262165.82630202128</v>
      </c>
      <c r="AA40" s="86"/>
      <c r="AB40" s="86"/>
      <c r="AC40" s="86"/>
      <c r="AD40" s="86"/>
    </row>
    <row r="41" spans="1:30" x14ac:dyDescent="0.25">
      <c r="O41" s="88"/>
      <c r="P41" s="87">
        <f t="shared" si="0"/>
        <v>2026</v>
      </c>
      <c r="Q41" s="87">
        <f t="shared" si="2"/>
        <v>55</v>
      </c>
      <c r="R41" s="92">
        <f t="shared" si="1"/>
        <v>1194052.2965289999</v>
      </c>
      <c r="S41" s="87"/>
      <c r="T41" s="86"/>
      <c r="U41" s="88"/>
      <c r="X41" s="86"/>
      <c r="Y41" s="86"/>
      <c r="Z41" s="86"/>
      <c r="AA41" s="86"/>
      <c r="AB41" s="86"/>
      <c r="AC41" s="86"/>
      <c r="AD41" s="86"/>
    </row>
    <row r="42" spans="1:30" ht="15.75" customHeight="1" x14ac:dyDescent="0.25">
      <c r="A42" s="147" t="s">
        <v>135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O42" s="88"/>
      <c r="P42" s="87">
        <f t="shared" si="0"/>
        <v>2027</v>
      </c>
      <c r="Q42" s="87">
        <f t="shared" si="2"/>
        <v>56</v>
      </c>
      <c r="R42" s="92">
        <f t="shared" si="1"/>
        <v>1229873.86542487</v>
      </c>
      <c r="S42" s="99"/>
      <c r="T42" s="86"/>
      <c r="U42" s="88"/>
      <c r="X42" s="86"/>
      <c r="Y42" s="93" t="s">
        <v>118</v>
      </c>
      <c r="Z42" s="90"/>
      <c r="AA42" s="86"/>
      <c r="AB42" s="86"/>
      <c r="AC42" s="86"/>
      <c r="AD42" s="86"/>
    </row>
    <row r="43" spans="1:30" x14ac:dyDescent="0.2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O43" s="88"/>
      <c r="P43" s="87">
        <f t="shared" si="0"/>
        <v>2028</v>
      </c>
      <c r="Q43" s="87">
        <f t="shared" si="2"/>
        <v>57</v>
      </c>
      <c r="R43" s="92">
        <f t="shared" si="1"/>
        <v>1266770.0813876162</v>
      </c>
      <c r="S43" s="87"/>
      <c r="T43" s="86"/>
      <c r="U43" s="88"/>
      <c r="X43" s="86"/>
      <c r="Y43" s="86" t="s">
        <v>116</v>
      </c>
      <c r="Z43" s="90">
        <f>Z30</f>
        <v>1345090.8804263216</v>
      </c>
      <c r="AA43" s="86"/>
      <c r="AB43" s="86"/>
      <c r="AC43" s="86"/>
      <c r="AD43" s="86"/>
    </row>
    <row r="44" spans="1:30" x14ac:dyDescent="0.25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O44" s="88"/>
      <c r="P44" s="87">
        <f t="shared" si="0"/>
        <v>2029</v>
      </c>
      <c r="Q44" s="87">
        <f t="shared" si="2"/>
        <v>58</v>
      </c>
      <c r="R44" s="92">
        <f t="shared" si="1"/>
        <v>1304773.1838292447</v>
      </c>
      <c r="S44" s="99"/>
      <c r="T44" s="86"/>
      <c r="U44" s="88"/>
      <c r="X44" s="86"/>
      <c r="Y44" s="86" t="s">
        <v>107</v>
      </c>
      <c r="Z44" s="90">
        <v>1</v>
      </c>
      <c r="AA44" s="86"/>
      <c r="AB44" s="86"/>
      <c r="AC44" s="86"/>
      <c r="AD44" s="86"/>
    </row>
    <row r="45" spans="1:30" x14ac:dyDescent="0.25">
      <c r="A45" s="22" t="s">
        <v>134</v>
      </c>
      <c r="B45" s="147" t="s">
        <v>133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O45" s="88"/>
      <c r="P45" s="87">
        <f t="shared" si="0"/>
        <v>2030</v>
      </c>
      <c r="Q45" s="87">
        <f t="shared" si="2"/>
        <v>59</v>
      </c>
      <c r="R45" s="92">
        <f t="shared" si="1"/>
        <v>1343916.379344122</v>
      </c>
      <c r="S45" s="99"/>
      <c r="T45" s="86"/>
      <c r="U45" s="88"/>
      <c r="X45" s="86"/>
      <c r="Y45" s="86" t="s">
        <v>114</v>
      </c>
      <c r="Z45" s="90">
        <f>0.02*Z44*Z43</f>
        <v>26901.817608526435</v>
      </c>
      <c r="AA45" s="86"/>
      <c r="AB45" s="86"/>
      <c r="AC45" s="86"/>
      <c r="AD45" s="86"/>
    </row>
    <row r="46" spans="1:30" x14ac:dyDescent="0.25"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O46" s="88"/>
      <c r="P46" s="87">
        <f t="shared" si="0"/>
        <v>2031</v>
      </c>
      <c r="Q46" s="87">
        <f t="shared" si="2"/>
        <v>60</v>
      </c>
      <c r="R46" s="92">
        <f t="shared" si="1"/>
        <v>1384233.8707244457</v>
      </c>
      <c r="S46" s="99"/>
      <c r="T46" s="86"/>
      <c r="U46" s="88"/>
      <c r="X46" s="86"/>
      <c r="Y46" s="86" t="s">
        <v>112</v>
      </c>
      <c r="Z46" s="90">
        <f>+Z45*(1+C38)^-(Q21-Q20)*C39</f>
        <v>295071.16813784465</v>
      </c>
      <c r="AA46" s="86"/>
      <c r="AB46" s="86"/>
      <c r="AC46" s="86"/>
      <c r="AD46" s="86"/>
    </row>
    <row r="47" spans="1:30" x14ac:dyDescent="0.2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O47" s="88"/>
      <c r="P47" s="87">
        <f t="shared" si="0"/>
        <v>2032</v>
      </c>
      <c r="Q47" s="87">
        <f t="shared" si="2"/>
        <v>61</v>
      </c>
      <c r="R47" s="92">
        <f t="shared" si="1"/>
        <v>1425760.8868461791</v>
      </c>
      <c r="S47" s="99"/>
      <c r="T47" s="86"/>
      <c r="U47" s="88"/>
      <c r="X47" s="86"/>
      <c r="Y47" s="88"/>
      <c r="Z47" s="88"/>
      <c r="AA47" s="86"/>
      <c r="AB47" s="86"/>
      <c r="AC47" s="86"/>
      <c r="AD47" s="86"/>
    </row>
    <row r="48" spans="1:30" x14ac:dyDescent="0.25"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O48" s="88"/>
      <c r="P48" s="87">
        <f t="shared" si="0"/>
        <v>2033</v>
      </c>
      <c r="Q48" s="87">
        <f t="shared" si="2"/>
        <v>62</v>
      </c>
      <c r="R48" s="89"/>
      <c r="S48" s="99"/>
      <c r="T48" s="86"/>
      <c r="U48" s="88"/>
      <c r="X48" s="86"/>
      <c r="Y48" s="93" t="s">
        <v>109</v>
      </c>
      <c r="Z48" s="88"/>
      <c r="AA48" s="86"/>
      <c r="AB48" s="86"/>
      <c r="AC48" s="86"/>
      <c r="AD48" s="86"/>
    </row>
    <row r="49" spans="2:30" x14ac:dyDescent="0.25">
      <c r="B49" s="103" t="s">
        <v>132</v>
      </c>
      <c r="O49" s="88"/>
      <c r="P49" s="102" t="s">
        <v>131</v>
      </c>
      <c r="Q49" s="86"/>
      <c r="R49" s="86"/>
      <c r="S49" s="99"/>
      <c r="T49" s="86"/>
      <c r="U49" s="88"/>
      <c r="X49" s="86"/>
      <c r="Y49" s="86" t="s">
        <v>107</v>
      </c>
      <c r="Z49" s="90">
        <f>Z44</f>
        <v>1</v>
      </c>
      <c r="AA49" s="86"/>
      <c r="AB49" s="86"/>
      <c r="AC49" s="86"/>
      <c r="AD49" s="86"/>
    </row>
    <row r="50" spans="2:30" x14ac:dyDescent="0.25">
      <c r="O50" s="88"/>
      <c r="P50" s="86"/>
      <c r="Q50" s="86"/>
      <c r="R50" s="86"/>
      <c r="S50" s="99"/>
      <c r="T50" s="86"/>
      <c r="U50" s="88"/>
      <c r="X50" s="86"/>
      <c r="Y50" s="86" t="s">
        <v>106</v>
      </c>
      <c r="Z50" s="90">
        <f>Z49*3000</f>
        <v>3000</v>
      </c>
      <c r="AA50" s="86"/>
      <c r="AB50" s="86"/>
      <c r="AC50" s="86"/>
      <c r="AD50" s="86"/>
    </row>
    <row r="51" spans="2:30" x14ac:dyDescent="0.25">
      <c r="O51" s="88"/>
      <c r="P51" s="91" t="s">
        <v>130</v>
      </c>
      <c r="Q51" s="101">
        <f>Q57-Q61</f>
        <v>2335701.0252369964</v>
      </c>
      <c r="R51" s="88"/>
      <c r="S51" s="99"/>
      <c r="T51" s="86"/>
      <c r="U51" s="88"/>
      <c r="X51" s="86"/>
      <c r="Y51" s="86" t="s">
        <v>104</v>
      </c>
      <c r="Z51" s="90">
        <f>+Z50*(1+C38)^-(Q21-Q20)*C39</f>
        <v>32905.341835823347</v>
      </c>
      <c r="AA51" s="86"/>
      <c r="AB51" s="86"/>
      <c r="AC51" s="86"/>
      <c r="AD51" s="86"/>
    </row>
    <row r="52" spans="2:30" x14ac:dyDescent="0.25">
      <c r="O52" s="88"/>
      <c r="P52" s="86"/>
      <c r="Q52" s="86"/>
      <c r="R52" s="86"/>
      <c r="S52" s="99"/>
      <c r="T52" s="86"/>
      <c r="U52" s="88"/>
      <c r="X52" s="86"/>
      <c r="Y52" s="87"/>
      <c r="Z52" s="87"/>
      <c r="AA52" s="86"/>
      <c r="AB52" s="86"/>
      <c r="AC52" s="86"/>
      <c r="AD52" s="86"/>
    </row>
    <row r="53" spans="2:30" x14ac:dyDescent="0.25">
      <c r="O53" s="88"/>
      <c r="P53" s="93" t="s">
        <v>129</v>
      </c>
      <c r="Q53" s="86"/>
      <c r="R53" s="86"/>
      <c r="S53" s="99"/>
      <c r="T53" s="86"/>
      <c r="U53" s="88"/>
      <c r="X53" s="86"/>
      <c r="Y53" s="100" t="s">
        <v>128</v>
      </c>
      <c r="Z53" s="87"/>
      <c r="AA53" s="86"/>
      <c r="AB53" s="86"/>
      <c r="AC53" s="86"/>
      <c r="AD53" s="86"/>
    </row>
    <row r="54" spans="2:30" x14ac:dyDescent="0.25">
      <c r="O54" s="88"/>
      <c r="P54" s="86" t="s">
        <v>116</v>
      </c>
      <c r="Q54" s="90">
        <f>Q23</f>
        <v>1345090.8804263216</v>
      </c>
      <c r="R54" s="86"/>
      <c r="S54" s="99"/>
      <c r="T54" s="86"/>
      <c r="U54" s="88"/>
      <c r="X54" s="86"/>
      <c r="Y54" s="87"/>
      <c r="Z54" s="87"/>
      <c r="AA54" s="86"/>
      <c r="AB54" s="86"/>
      <c r="AC54" s="86"/>
      <c r="AD54" s="86"/>
    </row>
    <row r="55" spans="2:30" x14ac:dyDescent="0.25">
      <c r="O55" s="88"/>
      <c r="P55" s="86" t="s">
        <v>111</v>
      </c>
      <c r="Q55" s="90">
        <f>Q22</f>
        <v>10</v>
      </c>
      <c r="R55" s="86"/>
      <c r="S55" s="88"/>
      <c r="T55" s="86"/>
      <c r="U55" s="88"/>
      <c r="X55" s="86"/>
      <c r="Y55" s="87" t="s">
        <v>127</v>
      </c>
      <c r="Z55" s="87"/>
      <c r="AA55" s="86"/>
      <c r="AB55" s="86"/>
      <c r="AC55" s="86"/>
      <c r="AD55" s="86"/>
    </row>
    <row r="56" spans="2:30" x14ac:dyDescent="0.25">
      <c r="O56" s="88"/>
      <c r="P56" s="86" t="s">
        <v>110</v>
      </c>
      <c r="Q56" s="90">
        <f>0.02*Q54*Q55</f>
        <v>269018.17608526436</v>
      </c>
      <c r="R56" s="86"/>
      <c r="S56" s="86"/>
      <c r="T56" s="86"/>
      <c r="U56" s="88"/>
      <c r="X56" s="86"/>
      <c r="Y56" s="87" t="s">
        <v>126</v>
      </c>
      <c r="Z56" s="98">
        <f>(0.75*Z61+SUM(Z62:Z66))/5</f>
        <v>911500</v>
      </c>
      <c r="AA56" s="86"/>
      <c r="AB56" s="86"/>
      <c r="AC56" s="86"/>
      <c r="AD56" s="86"/>
    </row>
    <row r="57" spans="2:30" x14ac:dyDescent="0.25">
      <c r="P57" s="86" t="s">
        <v>125</v>
      </c>
      <c r="Q57" s="90">
        <f>+Q56*(1+C24)^-(Q21-Q20)*C25</f>
        <v>2628862.9592152457</v>
      </c>
      <c r="R57" s="86"/>
      <c r="S57" s="86"/>
      <c r="T57" s="86"/>
      <c r="U57" s="88"/>
      <c r="X57" s="86"/>
      <c r="Y57" s="87" t="s">
        <v>124</v>
      </c>
      <c r="Z57" s="97">
        <f>Z31</f>
        <v>10</v>
      </c>
      <c r="AA57" s="86"/>
      <c r="AB57" s="86"/>
      <c r="AC57" s="86"/>
      <c r="AD57" s="86"/>
    </row>
    <row r="58" spans="2:30" x14ac:dyDescent="0.25">
      <c r="O58" s="88"/>
      <c r="Q58" s="90"/>
      <c r="R58" s="86"/>
      <c r="S58" s="86"/>
      <c r="T58" s="86"/>
      <c r="U58" s="88"/>
      <c r="X58" s="86"/>
      <c r="Y58" s="87"/>
      <c r="Z58" s="87"/>
      <c r="AA58" s="86"/>
      <c r="AB58" s="86"/>
      <c r="AC58" s="86"/>
      <c r="AD58" s="86"/>
    </row>
    <row r="59" spans="2:30" x14ac:dyDescent="0.25">
      <c r="O59" s="88"/>
      <c r="P59" s="93" t="s">
        <v>105</v>
      </c>
      <c r="Q59" s="90"/>
      <c r="R59" s="86"/>
      <c r="S59" s="86"/>
      <c r="T59" s="86"/>
      <c r="U59" s="88"/>
      <c r="X59" s="86"/>
      <c r="Y59" s="96" t="s">
        <v>123</v>
      </c>
      <c r="Z59" s="88"/>
      <c r="AA59" s="88"/>
      <c r="AB59" s="86"/>
      <c r="AC59" s="86"/>
      <c r="AD59" s="86"/>
    </row>
    <row r="60" spans="2:30" x14ac:dyDescent="0.25">
      <c r="O60" s="88"/>
      <c r="P60" s="86" t="s">
        <v>103</v>
      </c>
      <c r="Q60" s="90">
        <f>+Q55*3000</f>
        <v>30000</v>
      </c>
      <c r="R60" s="86"/>
      <c r="S60" s="86"/>
      <c r="T60" s="86"/>
      <c r="U60" s="88"/>
      <c r="X60" s="86"/>
      <c r="Y60" s="87" t="s">
        <v>122</v>
      </c>
      <c r="Z60" s="87" t="s">
        <v>121</v>
      </c>
      <c r="AA60" s="86"/>
      <c r="AB60" s="86"/>
      <c r="AC60" s="86"/>
      <c r="AD60" s="86"/>
    </row>
    <row r="61" spans="2:30" x14ac:dyDescent="0.25">
      <c r="O61" s="88"/>
      <c r="P61" s="86" t="s">
        <v>120</v>
      </c>
      <c r="Q61" s="90">
        <f>Q60*(1+C24)^-(Q21-Q20)*C25</f>
        <v>293161.93397824949</v>
      </c>
      <c r="R61" s="86"/>
      <c r="S61" s="86"/>
      <c r="T61" s="86"/>
      <c r="U61" s="88"/>
      <c r="X61" s="86"/>
      <c r="Y61" s="87">
        <f>P31</f>
        <v>2016</v>
      </c>
      <c r="Z61" s="94">
        <f>R31</f>
        <v>800000</v>
      </c>
      <c r="AA61" s="86"/>
      <c r="AB61" s="86"/>
      <c r="AC61" s="86"/>
      <c r="AD61" s="86"/>
    </row>
    <row r="62" spans="2:30" x14ac:dyDescent="0.25">
      <c r="O62" s="88"/>
      <c r="P62" s="86"/>
      <c r="Q62" s="90"/>
      <c r="R62" s="86"/>
      <c r="S62" s="86"/>
      <c r="T62" s="86"/>
      <c r="U62" s="88"/>
      <c r="X62" s="86"/>
      <c r="Y62" s="87">
        <f>P32</f>
        <v>2017</v>
      </c>
      <c r="Z62" s="94">
        <f>R32</f>
        <v>850000</v>
      </c>
      <c r="AA62" s="86"/>
      <c r="AB62" s="86"/>
      <c r="AC62" s="86"/>
      <c r="AD62" s="86"/>
    </row>
    <row r="63" spans="2:30" x14ac:dyDescent="0.25">
      <c r="O63" s="88"/>
      <c r="P63" s="91"/>
      <c r="Q63" s="90"/>
      <c r="R63" s="86"/>
      <c r="S63" s="86"/>
      <c r="T63" s="86"/>
      <c r="U63" s="88"/>
      <c r="X63" s="86"/>
      <c r="Y63" s="87">
        <f>P33</f>
        <v>2018</v>
      </c>
      <c r="Z63" s="94">
        <f>R33</f>
        <v>900000</v>
      </c>
      <c r="AA63" s="86"/>
      <c r="AB63" s="86"/>
      <c r="AC63" s="86"/>
      <c r="AD63" s="86"/>
    </row>
    <row r="64" spans="2:30" x14ac:dyDescent="0.25">
      <c r="O64" s="88"/>
      <c r="P64" s="91" t="s">
        <v>119</v>
      </c>
      <c r="Q64" s="90">
        <f>Q70-Q75</f>
        <v>233570.10252369958</v>
      </c>
      <c r="R64" s="86"/>
      <c r="S64" s="86"/>
      <c r="T64" s="86"/>
      <c r="U64" s="88"/>
      <c r="X64" s="86"/>
      <c r="Y64" s="87">
        <f>P34</f>
        <v>2019</v>
      </c>
      <c r="Z64" s="94">
        <f>R34</f>
        <v>950000</v>
      </c>
      <c r="AA64" s="86"/>
      <c r="AB64" s="86"/>
      <c r="AC64" s="86"/>
      <c r="AD64" s="86"/>
    </row>
    <row r="65" spans="15:30" x14ac:dyDescent="0.25">
      <c r="O65" s="88"/>
      <c r="R65" s="86"/>
      <c r="S65" s="86"/>
      <c r="T65" s="86"/>
      <c r="U65" s="88"/>
      <c r="X65" s="86"/>
      <c r="Y65" s="87">
        <f>P35</f>
        <v>2020</v>
      </c>
      <c r="Z65" s="94">
        <f>R35</f>
        <v>1000000</v>
      </c>
      <c r="AA65" s="86"/>
      <c r="AB65" s="86"/>
      <c r="AC65" s="86"/>
      <c r="AD65" s="86"/>
    </row>
    <row r="66" spans="15:30" x14ac:dyDescent="0.25">
      <c r="O66" s="88"/>
      <c r="P66" s="93" t="s">
        <v>118</v>
      </c>
      <c r="Q66" s="90"/>
      <c r="R66" s="86"/>
      <c r="S66" s="86"/>
      <c r="T66" s="86"/>
      <c r="U66" s="88"/>
      <c r="X66" s="86"/>
      <c r="Y66" s="95" t="s">
        <v>117</v>
      </c>
      <c r="Z66" s="94">
        <f>C40</f>
        <v>257500</v>
      </c>
      <c r="AA66" s="86"/>
      <c r="AB66" s="86"/>
      <c r="AC66" s="86"/>
      <c r="AD66" s="86"/>
    </row>
    <row r="67" spans="15:30" x14ac:dyDescent="0.25">
      <c r="O67" s="88"/>
      <c r="P67" s="86" t="s">
        <v>116</v>
      </c>
      <c r="Q67" s="90">
        <f>Q54</f>
        <v>1345090.8804263216</v>
      </c>
      <c r="R67" s="86"/>
      <c r="S67" s="86"/>
      <c r="T67" s="86"/>
      <c r="U67" s="88"/>
      <c r="X67" s="86"/>
      <c r="Y67" s="87"/>
      <c r="Z67" s="87"/>
      <c r="AA67" s="92"/>
      <c r="AB67" s="86"/>
      <c r="AC67" s="86"/>
      <c r="AD67" s="86"/>
    </row>
    <row r="68" spans="15:30" x14ac:dyDescent="0.25">
      <c r="O68" s="88"/>
      <c r="P68" s="86" t="s">
        <v>107</v>
      </c>
      <c r="Q68" s="90">
        <v>1</v>
      </c>
      <c r="R68" s="88"/>
      <c r="S68" s="86"/>
      <c r="T68" s="86"/>
      <c r="U68" s="88"/>
      <c r="X68" s="86"/>
      <c r="Y68" s="93" t="s">
        <v>115</v>
      </c>
      <c r="Z68" s="86"/>
      <c r="AA68" s="92"/>
      <c r="AB68" s="86"/>
      <c r="AC68" s="86"/>
      <c r="AD68" s="86"/>
    </row>
    <row r="69" spans="15:30" x14ac:dyDescent="0.25">
      <c r="P69" s="86" t="s">
        <v>114</v>
      </c>
      <c r="Q69" s="90">
        <f>0.02*Q68*Q67</f>
        <v>26901.817608526435</v>
      </c>
      <c r="R69" s="88"/>
      <c r="S69" s="86"/>
      <c r="U69" s="88"/>
      <c r="X69" s="86"/>
      <c r="Y69" s="86" t="s">
        <v>113</v>
      </c>
      <c r="Z69" s="90">
        <f>Z56</f>
        <v>911500</v>
      </c>
      <c r="AA69" s="92"/>
      <c r="AB69" s="86"/>
      <c r="AC69" s="86"/>
      <c r="AD69" s="86"/>
    </row>
    <row r="70" spans="15:30" x14ac:dyDescent="0.25">
      <c r="P70" s="86" t="s">
        <v>112</v>
      </c>
      <c r="Q70" s="90">
        <f>+Q69*(1+C24)^-(Q21-Q20)*C25</f>
        <v>262886.29592152452</v>
      </c>
      <c r="R70" s="88"/>
      <c r="S70" s="86"/>
      <c r="U70" s="88"/>
      <c r="X70" s="86"/>
      <c r="Y70" s="86" t="s">
        <v>111</v>
      </c>
      <c r="Z70" s="90">
        <f>Z57</f>
        <v>10</v>
      </c>
      <c r="AA70" s="92"/>
      <c r="AB70" s="86"/>
      <c r="AC70" s="86"/>
      <c r="AD70" s="86"/>
    </row>
    <row r="71" spans="15:30" x14ac:dyDescent="0.25">
      <c r="P71" s="88"/>
      <c r="Q71" s="88"/>
      <c r="R71" s="88"/>
      <c r="S71" s="86"/>
      <c r="U71" s="88"/>
      <c r="X71" s="86"/>
      <c r="Y71" s="86" t="s">
        <v>110</v>
      </c>
      <c r="Z71" s="90">
        <f>0.02*Z69*Z70</f>
        <v>182300</v>
      </c>
      <c r="AA71" s="92"/>
      <c r="AB71" s="86"/>
      <c r="AC71" s="86"/>
      <c r="AD71" s="86"/>
    </row>
    <row r="72" spans="15:30" x14ac:dyDescent="0.25">
      <c r="P72" s="93" t="s">
        <v>109</v>
      </c>
      <c r="Q72" s="88"/>
      <c r="R72" s="88"/>
      <c r="S72" s="86"/>
      <c r="U72" s="88"/>
      <c r="X72" s="86"/>
      <c r="Y72" s="86" t="s">
        <v>108</v>
      </c>
      <c r="Z72" s="90">
        <f>+Z71*(1+C38)^-(Q21-Q20-0.25)*C39</f>
        <v>2015599.9356927779</v>
      </c>
      <c r="AA72" s="92"/>
      <c r="AB72" s="86"/>
      <c r="AC72" s="86"/>
      <c r="AD72" s="86"/>
    </row>
    <row r="73" spans="15:30" x14ac:dyDescent="0.25">
      <c r="P73" s="86" t="s">
        <v>107</v>
      </c>
      <c r="Q73" s="90">
        <f>Q68</f>
        <v>1</v>
      </c>
      <c r="S73" s="86"/>
      <c r="U73" s="88"/>
      <c r="X73" s="86"/>
      <c r="Y73" s="86"/>
      <c r="Z73" s="90"/>
      <c r="AA73" s="92"/>
      <c r="AB73" s="86"/>
      <c r="AC73" s="86"/>
      <c r="AD73" s="86"/>
    </row>
    <row r="74" spans="15:30" x14ac:dyDescent="0.25">
      <c r="P74" s="86" t="s">
        <v>106</v>
      </c>
      <c r="Q74" s="90">
        <f>Q73*3000</f>
        <v>3000</v>
      </c>
      <c r="S74" s="86"/>
      <c r="U74" s="88"/>
      <c r="X74" s="86"/>
      <c r="Y74" s="93" t="s">
        <v>105</v>
      </c>
      <c r="Z74" s="90"/>
      <c r="AA74" s="92"/>
      <c r="AB74" s="86"/>
      <c r="AC74" s="86"/>
      <c r="AD74" s="86"/>
    </row>
    <row r="75" spans="15:30" x14ac:dyDescent="0.25">
      <c r="P75" s="86" t="s">
        <v>104</v>
      </c>
      <c r="Q75" s="90">
        <f>+Q74*(1+C24)^-(Q21-Q20)*C25</f>
        <v>29316.193397824947</v>
      </c>
      <c r="S75" s="88"/>
      <c r="U75" s="88"/>
      <c r="X75" s="86"/>
      <c r="Y75" s="86" t="s">
        <v>103</v>
      </c>
      <c r="Z75" s="90">
        <f>+Z70*3000</f>
        <v>30000</v>
      </c>
      <c r="AA75" s="92"/>
      <c r="AB75" s="86"/>
      <c r="AC75" s="86"/>
      <c r="AD75" s="86"/>
    </row>
    <row r="76" spans="15:30" x14ac:dyDescent="0.25">
      <c r="S76" s="88"/>
      <c r="U76" s="88"/>
      <c r="X76" s="86"/>
      <c r="Y76" s="86" t="s">
        <v>102</v>
      </c>
      <c r="Z76" s="90">
        <f>Z75*(1+C38)^-(Q21-Q20-0.25)*C39</f>
        <v>331694.99764554767</v>
      </c>
      <c r="AA76" s="92"/>
      <c r="AB76" s="86"/>
      <c r="AC76" s="86"/>
      <c r="AD76" s="86"/>
    </row>
    <row r="77" spans="15:30" x14ac:dyDescent="0.25">
      <c r="S77" s="88"/>
      <c r="U77" s="88"/>
      <c r="X77" s="86"/>
      <c r="Y77" s="86"/>
      <c r="Z77" s="90"/>
      <c r="AA77" s="92"/>
      <c r="AB77" s="86"/>
      <c r="AC77" s="86"/>
      <c r="AD77" s="86"/>
    </row>
    <row r="78" spans="15:30" x14ac:dyDescent="0.25">
      <c r="S78" s="88"/>
      <c r="U78" s="88"/>
      <c r="X78" s="86"/>
      <c r="Y78" s="91" t="s">
        <v>101</v>
      </c>
      <c r="Z78" s="90">
        <f>Z72-Z76</f>
        <v>1683904.9380472302</v>
      </c>
      <c r="AA78" s="89"/>
      <c r="AB78" s="86"/>
      <c r="AC78" s="86"/>
      <c r="AD78" s="86"/>
    </row>
    <row r="79" spans="15:30" x14ac:dyDescent="0.25">
      <c r="S79" s="88"/>
      <c r="U79" s="88"/>
      <c r="X79" s="86"/>
      <c r="Y79" s="87"/>
      <c r="Z79" s="87"/>
      <c r="AA79" s="86"/>
      <c r="AB79" s="86"/>
      <c r="AC79" s="86"/>
      <c r="AD79" s="86"/>
    </row>
    <row r="80" spans="15:30" x14ac:dyDescent="0.25">
      <c r="U80" s="88"/>
      <c r="X80" s="86"/>
      <c r="Y80" s="86"/>
      <c r="Z80" s="86"/>
      <c r="AA80" s="86"/>
      <c r="AB80" s="86"/>
      <c r="AC80" s="86"/>
      <c r="AD80" s="86"/>
    </row>
    <row r="81" spans="24:30" x14ac:dyDescent="0.25">
      <c r="X81" s="86"/>
      <c r="Y81" s="86"/>
      <c r="Z81" s="86"/>
      <c r="AA81" s="86"/>
      <c r="AB81" s="86"/>
      <c r="AC81" s="86"/>
      <c r="AD81" s="86"/>
    </row>
    <row r="82" spans="24:30" x14ac:dyDescent="0.25">
      <c r="X82" s="86"/>
      <c r="Y82" s="87"/>
      <c r="Z82" s="87"/>
      <c r="AA82" s="86"/>
      <c r="AB82" s="86"/>
      <c r="AC82" s="86"/>
      <c r="AD82" s="86"/>
    </row>
    <row r="83" spans="24:30" x14ac:dyDescent="0.25">
      <c r="X83" s="86"/>
      <c r="Y83" s="87"/>
      <c r="Z83" s="87"/>
      <c r="AA83" s="86"/>
      <c r="AB83" s="86"/>
      <c r="AC83" s="86"/>
      <c r="AD83" s="86"/>
    </row>
    <row r="84" spans="24:30" x14ac:dyDescent="0.25">
      <c r="X84" s="86"/>
      <c r="Y84" s="87"/>
      <c r="Z84" s="87"/>
      <c r="AA84" s="86"/>
      <c r="AB84" s="86"/>
      <c r="AC84" s="86"/>
      <c r="AD84" s="86"/>
    </row>
    <row r="85" spans="24:30" x14ac:dyDescent="0.25">
      <c r="X85" s="86"/>
      <c r="Y85" s="87"/>
      <c r="Z85" s="87"/>
      <c r="AA85" s="86"/>
      <c r="AB85" s="86"/>
      <c r="AC85" s="86"/>
      <c r="AD85" s="86"/>
    </row>
    <row r="86" spans="24:30" x14ac:dyDescent="0.25">
      <c r="X86" s="86"/>
      <c r="Y86" s="87"/>
      <c r="Z86" s="87"/>
      <c r="AA86" s="86"/>
      <c r="AB86" s="86"/>
      <c r="AC86" s="86"/>
      <c r="AD86" s="86"/>
    </row>
    <row r="87" spans="24:30" x14ac:dyDescent="0.25">
      <c r="X87" s="86"/>
      <c r="Y87" s="87"/>
      <c r="Z87" s="87"/>
      <c r="AA87" s="86"/>
      <c r="AB87" s="86"/>
      <c r="AC87" s="86"/>
      <c r="AD87" s="86"/>
    </row>
    <row r="88" spans="24:30" x14ac:dyDescent="0.25">
      <c r="X88" s="86"/>
      <c r="Y88" s="87"/>
      <c r="Z88" s="87"/>
      <c r="AA88" s="86"/>
      <c r="AB88" s="86"/>
      <c r="AC88" s="86"/>
      <c r="AD88" s="86"/>
    </row>
  </sheetData>
  <mergeCells count="18">
    <mergeCell ref="B45:M48"/>
    <mergeCell ref="C22:D22"/>
    <mergeCell ref="Y7:AE10"/>
    <mergeCell ref="A18:M19"/>
    <mergeCell ref="P7:V7"/>
    <mergeCell ref="C10:D10"/>
    <mergeCell ref="C21:D21"/>
    <mergeCell ref="A5:M6"/>
    <mergeCell ref="C11:D11"/>
    <mergeCell ref="C40:D40"/>
    <mergeCell ref="A42:M43"/>
    <mergeCell ref="C25:D25"/>
    <mergeCell ref="C23:D23"/>
    <mergeCell ref="C24:D24"/>
    <mergeCell ref="B28:L28"/>
    <mergeCell ref="A33:M34"/>
    <mergeCell ref="C38:D38"/>
    <mergeCell ref="C39:D39"/>
  </mergeCells>
  <pageMargins left="0.7" right="0.7" top="0.75" bottom="0.75" header="0.3" footer="0.3"/>
  <pageSetup scale="56" orientation="portrait" r:id="rId1"/>
  <colBreaks count="2" manualBreakCount="2">
    <brk id="14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zoomScaleNormal="100" zoomScaleSheetLayoutView="100" workbookViewId="0"/>
  </sheetViews>
  <sheetFormatPr defaultColWidth="9.28515625" defaultRowHeight="15.75" x14ac:dyDescent="0.25"/>
  <cols>
    <col min="1" max="1" width="3.7109375" style="2" customWidth="1"/>
    <col min="2" max="6" width="20.7109375" style="2" customWidth="1"/>
    <col min="7" max="9" width="3.7109375" style="2" customWidth="1"/>
    <col min="10" max="10" width="1.7109375" style="41" customWidth="1"/>
    <col min="11" max="11" width="3.7109375" style="1" customWidth="1"/>
    <col min="12" max="22" width="10.7109375" style="1" customWidth="1"/>
    <col min="23" max="23" width="1.7109375" style="7" customWidth="1"/>
    <col min="24" max="16384" width="9.28515625" style="1"/>
  </cols>
  <sheetData>
    <row r="1" spans="1:22" x14ac:dyDescent="0.25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23"/>
      <c r="K1" s="21" t="s">
        <v>2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1" t="s">
        <v>3</v>
      </c>
      <c r="B2" s="22"/>
      <c r="C2" s="22"/>
      <c r="D2" s="22"/>
      <c r="E2" s="22"/>
      <c r="F2" s="22"/>
      <c r="G2" s="22"/>
      <c r="H2" s="22"/>
      <c r="I2" s="22"/>
      <c r="J2" s="23"/>
      <c r="K2" s="21" t="s">
        <v>3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5">
      <c r="A3" s="21" t="s">
        <v>4</v>
      </c>
      <c r="B3" s="22"/>
      <c r="C3" s="22"/>
      <c r="D3" s="22"/>
      <c r="E3" s="22"/>
      <c r="F3" s="22"/>
      <c r="G3" s="22"/>
      <c r="H3" s="22"/>
      <c r="I3" s="22"/>
      <c r="J3" s="23"/>
      <c r="K3" s="21" t="s">
        <v>4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3" t="s">
        <v>0</v>
      </c>
      <c r="K5" s="3" t="s">
        <v>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75" customHeight="1" x14ac:dyDescent="0.25">
      <c r="A7" s="4"/>
      <c r="B7" s="27" t="s">
        <v>6</v>
      </c>
      <c r="K7" s="2" t="s">
        <v>7</v>
      </c>
      <c r="L7" s="156" t="s">
        <v>8</v>
      </c>
      <c r="M7" s="156"/>
      <c r="N7" s="156"/>
      <c r="O7" s="156"/>
      <c r="P7" s="156"/>
      <c r="Q7" s="156"/>
      <c r="R7" s="156"/>
      <c r="S7" s="156"/>
      <c r="T7" s="156"/>
      <c r="U7" s="156"/>
      <c r="V7" s="156"/>
    </row>
    <row r="8" spans="1:22" x14ac:dyDescent="0.25">
      <c r="B8" s="2" t="s">
        <v>9</v>
      </c>
      <c r="K8" s="2"/>
      <c r="L8" s="10"/>
      <c r="M8" s="2"/>
      <c r="N8" s="2"/>
      <c r="O8" s="2"/>
      <c r="P8" s="2"/>
      <c r="Q8" s="5"/>
      <c r="R8" s="6"/>
      <c r="S8" s="6"/>
      <c r="T8" s="6"/>
      <c r="U8" s="6"/>
      <c r="V8" s="6"/>
    </row>
    <row r="9" spans="1:22" x14ac:dyDescent="0.25">
      <c r="B9" s="8"/>
      <c r="C9" s="8"/>
      <c r="D9" s="8"/>
      <c r="E9" s="8"/>
      <c r="F9" s="8"/>
      <c r="G9" s="8"/>
      <c r="H9" s="8"/>
      <c r="K9" s="2"/>
      <c r="L9" s="10" t="s">
        <v>10</v>
      </c>
      <c r="M9" s="2"/>
      <c r="N9" s="2"/>
      <c r="O9" s="2"/>
      <c r="P9" s="2"/>
      <c r="Q9" s="5"/>
      <c r="R9" s="6"/>
      <c r="S9" s="6"/>
      <c r="T9" s="6"/>
      <c r="U9" s="6"/>
      <c r="V9" s="6"/>
    </row>
    <row r="10" spans="1:22" x14ac:dyDescent="0.25">
      <c r="B10" s="28" t="s">
        <v>11</v>
      </c>
      <c r="C10" s="29" t="s">
        <v>13</v>
      </c>
      <c r="D10" s="29" t="s">
        <v>14</v>
      </c>
      <c r="E10" s="29" t="s">
        <v>15</v>
      </c>
      <c r="F10" s="46" t="s">
        <v>12</v>
      </c>
      <c r="G10" s="9"/>
      <c r="H10" s="9"/>
      <c r="K10" s="2"/>
      <c r="L10" s="10"/>
      <c r="M10" s="2"/>
      <c r="N10" s="2"/>
      <c r="O10" s="2"/>
      <c r="P10" s="2"/>
      <c r="Q10" s="11"/>
      <c r="R10" s="6"/>
      <c r="S10" s="6"/>
      <c r="T10" s="6"/>
      <c r="U10" s="6"/>
      <c r="V10" s="6"/>
    </row>
    <row r="11" spans="1:22" x14ac:dyDescent="0.25">
      <c r="B11" s="28" t="s">
        <v>16</v>
      </c>
      <c r="C11" s="29">
        <v>3.2000000000000001E-2</v>
      </c>
      <c r="D11" s="29">
        <v>0.03</v>
      </c>
      <c r="E11" s="29">
        <v>5.5E-2</v>
      </c>
      <c r="F11" s="42">
        <v>0.4</v>
      </c>
      <c r="G11" s="157"/>
      <c r="H11" s="157"/>
      <c r="K11" s="2"/>
      <c r="L11" s="10" t="s">
        <v>32</v>
      </c>
      <c r="M11" s="2"/>
      <c r="N11" s="2"/>
      <c r="O11" s="2"/>
      <c r="P11" s="2"/>
      <c r="Q11" s="11"/>
      <c r="R11" s="6"/>
      <c r="S11" s="6"/>
      <c r="T11" s="6"/>
      <c r="U11" s="6"/>
      <c r="V11" s="6"/>
    </row>
    <row r="12" spans="1:22" ht="15.75" customHeight="1" x14ac:dyDescent="0.25">
      <c r="B12" s="28" t="s">
        <v>17</v>
      </c>
      <c r="C12" s="29">
        <v>7.6999999999999999E-2</v>
      </c>
      <c r="D12" s="29">
        <v>6.6000000000000003E-2</v>
      </c>
      <c r="E12" s="29">
        <v>0.18</v>
      </c>
      <c r="F12" s="42">
        <v>0.6</v>
      </c>
      <c r="G12" s="158"/>
      <c r="H12" s="158"/>
      <c r="K12" s="2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22" x14ac:dyDescent="0.25">
      <c r="B13" s="30"/>
      <c r="C13" s="31"/>
      <c r="D13" s="30"/>
      <c r="E13" s="31"/>
      <c r="F13" s="30"/>
      <c r="G13" s="31"/>
      <c r="H13" s="30"/>
      <c r="K13" s="2"/>
      <c r="L13" s="12" t="s">
        <v>1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22" x14ac:dyDescent="0.25">
      <c r="B14" s="27" t="s">
        <v>28</v>
      </c>
      <c r="C14" s="32">
        <v>0.25</v>
      </c>
      <c r="D14" s="33"/>
      <c r="E14" s="33"/>
      <c r="F14" s="33"/>
      <c r="K14" s="2"/>
      <c r="L14" s="10"/>
      <c r="M14" s="2"/>
      <c r="N14" s="2"/>
      <c r="O14" s="2"/>
      <c r="P14" s="2"/>
      <c r="Q14" s="11"/>
      <c r="R14" s="6"/>
      <c r="S14" s="6"/>
      <c r="T14" s="6"/>
      <c r="U14" s="6"/>
      <c r="V14" s="6"/>
    </row>
    <row r="15" spans="1:22" x14ac:dyDescent="0.25">
      <c r="B15" s="13"/>
      <c r="C15" s="5"/>
    </row>
    <row r="17" spans="2:16" x14ac:dyDescent="0.25">
      <c r="L17" s="34" t="s">
        <v>18</v>
      </c>
      <c r="M17" s="35"/>
    </row>
    <row r="19" spans="2:16" x14ac:dyDescent="0.25">
      <c r="B19" s="10"/>
      <c r="C19" s="10"/>
      <c r="D19" s="10"/>
      <c r="E19" s="10"/>
      <c r="F19" s="10"/>
      <c r="G19" s="10"/>
      <c r="H19" s="10"/>
      <c r="M19" s="35" t="s">
        <v>19</v>
      </c>
    </row>
    <row r="20" spans="2:16" x14ac:dyDescent="0.25">
      <c r="B20" s="10"/>
      <c r="C20" s="10"/>
      <c r="D20" s="10"/>
      <c r="E20" s="10"/>
      <c r="F20" s="10"/>
      <c r="G20" s="10"/>
      <c r="H20" s="10"/>
      <c r="L20" s="19"/>
      <c r="M20" s="36" t="s">
        <v>20</v>
      </c>
    </row>
    <row r="21" spans="2:16" x14ac:dyDescent="0.25">
      <c r="M21" s="36" t="s">
        <v>21</v>
      </c>
    </row>
    <row r="22" spans="2:16" x14ac:dyDescent="0.25">
      <c r="M22" s="36"/>
      <c r="P22" s="37"/>
    </row>
    <row r="23" spans="2:16" x14ac:dyDescent="0.25">
      <c r="M23" s="43" t="s">
        <v>29</v>
      </c>
      <c r="N23" s="44">
        <f>C11*F11+C12*F12</f>
        <v>5.8999999999999997E-2</v>
      </c>
      <c r="P23" s="37"/>
    </row>
    <row r="24" spans="2:16" x14ac:dyDescent="0.25">
      <c r="M24" s="20"/>
      <c r="N24" s="20"/>
      <c r="O24" s="20"/>
      <c r="P24" s="20"/>
    </row>
    <row r="25" spans="2:16" x14ac:dyDescent="0.25">
      <c r="L25" s="34" t="s">
        <v>22</v>
      </c>
      <c r="N25" s="14"/>
      <c r="O25" s="15"/>
      <c r="P25" s="16"/>
    </row>
    <row r="26" spans="2:16" x14ac:dyDescent="0.25">
      <c r="L26" s="26"/>
      <c r="N26" s="14"/>
      <c r="O26" s="15"/>
      <c r="P26" s="16"/>
    </row>
    <row r="27" spans="2:16" x14ac:dyDescent="0.25">
      <c r="L27" s="26"/>
      <c r="M27" s="36" t="s">
        <v>34</v>
      </c>
      <c r="N27" s="14"/>
      <c r="O27" s="15"/>
      <c r="P27" s="16"/>
    </row>
    <row r="28" spans="2:16" x14ac:dyDescent="0.25">
      <c r="L28" s="26"/>
      <c r="M28" s="36" t="s">
        <v>33</v>
      </c>
      <c r="N28" s="14"/>
      <c r="O28" s="15"/>
      <c r="P28" s="16"/>
    </row>
    <row r="29" spans="2:16" x14ac:dyDescent="0.25">
      <c r="L29" s="26"/>
      <c r="M29" s="36" t="s">
        <v>23</v>
      </c>
      <c r="N29" s="14"/>
      <c r="O29" s="15"/>
    </row>
    <row r="30" spans="2:16" x14ac:dyDescent="0.25">
      <c r="L30" s="26"/>
      <c r="M30" s="36"/>
      <c r="N30" s="14"/>
      <c r="O30" s="15"/>
      <c r="P30" s="38"/>
    </row>
    <row r="31" spans="2:16" x14ac:dyDescent="0.25">
      <c r="L31" s="26"/>
      <c r="M31" s="43" t="s">
        <v>29</v>
      </c>
      <c r="N31" s="45">
        <f>(E11^2*F11^2+E12^2*F12^2+2*F12*F11*E11*E12*C14)^0.5</f>
        <v>0.11548160026601639</v>
      </c>
      <c r="O31" s="15"/>
      <c r="P31" s="38"/>
    </row>
    <row r="32" spans="2:16" x14ac:dyDescent="0.25">
      <c r="L32" s="26"/>
      <c r="M32" s="35"/>
      <c r="P32" s="18"/>
    </row>
    <row r="33" spans="12:16" x14ac:dyDescent="0.25">
      <c r="M33" s="36" t="s">
        <v>24</v>
      </c>
    </row>
    <row r="34" spans="12:16" x14ac:dyDescent="0.25">
      <c r="M34" s="36" t="s">
        <v>30</v>
      </c>
      <c r="N34" s="24"/>
      <c r="P34" s="18"/>
    </row>
    <row r="35" spans="12:16" x14ac:dyDescent="0.25">
      <c r="M35" s="36" t="s">
        <v>25</v>
      </c>
    </row>
    <row r="37" spans="12:16" x14ac:dyDescent="0.25">
      <c r="L37" s="25"/>
      <c r="M37" s="43" t="s">
        <v>29</v>
      </c>
      <c r="N37" s="45">
        <f>EXP(LN(1+N23)-LN((1+(N31^2)/((1+N23)^2)/2)))-1</f>
        <v>5.2740709782129747E-2</v>
      </c>
    </row>
    <row r="39" spans="12:16" x14ac:dyDescent="0.25">
      <c r="M39" s="36" t="s">
        <v>35</v>
      </c>
    </row>
    <row r="40" spans="12:16" x14ac:dyDescent="0.25">
      <c r="L40" s="19"/>
      <c r="M40" s="36" t="s">
        <v>26</v>
      </c>
    </row>
    <row r="41" spans="12:16" x14ac:dyDescent="0.25">
      <c r="L41" s="26"/>
      <c r="M41" s="36" t="s">
        <v>31</v>
      </c>
    </row>
    <row r="42" spans="12:16" x14ac:dyDescent="0.25">
      <c r="M42" s="39" t="s">
        <v>27</v>
      </c>
    </row>
    <row r="43" spans="12:16" x14ac:dyDescent="0.25">
      <c r="N43" s="14"/>
      <c r="O43" s="15"/>
      <c r="P43" s="16"/>
    </row>
    <row r="44" spans="12:16" x14ac:dyDescent="0.25">
      <c r="M44" s="43" t="s">
        <v>29</v>
      </c>
      <c r="N44" s="45">
        <f>N23-((N31)^2/2)</f>
        <v>5.2331999999999997E-2</v>
      </c>
      <c r="O44" s="15"/>
      <c r="P44" s="16"/>
    </row>
    <row r="45" spans="12:16" x14ac:dyDescent="0.25">
      <c r="N45" s="14"/>
      <c r="O45" s="15"/>
      <c r="P45" s="16"/>
    </row>
    <row r="46" spans="12:16" x14ac:dyDescent="0.25">
      <c r="N46" s="14"/>
      <c r="O46" s="15"/>
      <c r="P46" s="16"/>
    </row>
    <row r="47" spans="12:16" ht="18" x14ac:dyDescent="0.4">
      <c r="N47" s="14"/>
      <c r="O47" s="15"/>
      <c r="P47" s="17"/>
    </row>
    <row r="48" spans="12:16" x14ac:dyDescent="0.25">
      <c r="P48" s="18"/>
    </row>
    <row r="50" spans="14:16" x14ac:dyDescent="0.25">
      <c r="N50" s="24"/>
      <c r="P50" s="18"/>
    </row>
  </sheetData>
  <sheetProtection formatCells="0" formatColumns="0" formatRows="0" insertColumns="0" insertRows="0"/>
  <mergeCells count="3">
    <mergeCell ref="L7:V7"/>
    <mergeCell ref="G11:H11"/>
    <mergeCell ref="G12:H12"/>
  </mergeCells>
  <pageMargins left="0.7" right="0.7" top="0.75" bottom="0.75" header="0.3" footer="0.3"/>
  <pageSetup scale="68" orientation="portrait" horizontalDpi="4294967293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5D2A-6A49-416C-83C2-06E080B4529C}">
  <dimension ref="A1:AD56"/>
  <sheetViews>
    <sheetView zoomScale="85" zoomScaleNormal="85" zoomScaleSheetLayoutView="100" workbookViewId="0">
      <selection activeCell="Q1" sqref="Q1"/>
    </sheetView>
  </sheetViews>
  <sheetFormatPr defaultColWidth="9.28515625" defaultRowHeight="15.75" x14ac:dyDescent="0.25"/>
  <cols>
    <col min="1" max="1" width="3.7109375" style="22" customWidth="1"/>
    <col min="2" max="2" width="41.28515625" style="22" customWidth="1"/>
    <col min="3" max="3" width="6.5703125" style="22" customWidth="1"/>
    <col min="4" max="4" width="24.85546875" style="22" customWidth="1"/>
    <col min="5" max="5" width="5.5703125" style="22" customWidth="1"/>
    <col min="6" max="6" width="19.5703125" style="22" customWidth="1"/>
    <col min="7" max="7" width="6.85546875" style="22" bestFit="1" customWidth="1"/>
    <col min="8" max="8" width="10" style="22" bestFit="1" customWidth="1"/>
    <col min="9" max="9" width="2.7109375" style="22" customWidth="1"/>
    <col min="10" max="10" width="1" style="23" customWidth="1"/>
    <col min="11" max="11" width="4" style="1" customWidth="1"/>
    <col min="12" max="12" width="9.42578125" style="1" customWidth="1"/>
    <col min="13" max="13" width="13.28515625" style="1" bestFit="1" customWidth="1"/>
    <col min="14" max="14" width="14.85546875" style="1" bestFit="1" customWidth="1"/>
    <col min="15" max="16" width="16.140625" style="1" bestFit="1" customWidth="1"/>
    <col min="17" max="17" width="16.28515625" style="1" bestFit="1" customWidth="1"/>
    <col min="18" max="18" width="14.28515625" style="1" customWidth="1"/>
    <col min="19" max="19" width="13.140625" style="1" bestFit="1" customWidth="1"/>
    <col min="20" max="21" width="16" style="1" bestFit="1" customWidth="1"/>
    <col min="22" max="22" width="15" style="1" bestFit="1" customWidth="1"/>
    <col min="23" max="23" width="1" style="1" customWidth="1"/>
    <col min="24" max="24" width="11.140625" style="1" bestFit="1" customWidth="1"/>
    <col min="25" max="25" width="14.140625" style="1" bestFit="1" customWidth="1"/>
    <col min="26" max="26" width="10.7109375" style="1" bestFit="1" customWidth="1"/>
    <col min="27" max="27" width="13.140625" style="1" customWidth="1"/>
    <col min="28" max="28" width="15.85546875" style="1" customWidth="1"/>
    <col min="29" max="30" width="15.42578125" style="1" customWidth="1"/>
    <col min="31" max="16384" width="9.28515625" style="1"/>
  </cols>
  <sheetData>
    <row r="1" spans="1:30" x14ac:dyDescent="0.25">
      <c r="A1" s="21" t="s">
        <v>100</v>
      </c>
      <c r="K1" s="21" t="s">
        <v>100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7"/>
    </row>
    <row r="2" spans="1:30" x14ac:dyDescent="0.25">
      <c r="A2" s="21" t="s">
        <v>99</v>
      </c>
      <c r="K2" s="21" t="s">
        <v>99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7"/>
    </row>
    <row r="3" spans="1:30" x14ac:dyDescent="0.25">
      <c r="A3" s="21" t="s">
        <v>98</v>
      </c>
      <c r="K3" s="21" t="s">
        <v>98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7"/>
    </row>
    <row r="4" spans="1:30" x14ac:dyDescent="0.25"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7"/>
    </row>
    <row r="5" spans="1:30" x14ac:dyDescent="0.25">
      <c r="A5" s="84" t="s">
        <v>0</v>
      </c>
      <c r="K5" s="84" t="s">
        <v>97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7"/>
    </row>
    <row r="6" spans="1:30" x14ac:dyDescent="0.25">
      <c r="A6" s="8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7"/>
    </row>
    <row r="7" spans="1:30" ht="15.75" customHeight="1" x14ac:dyDescent="0.25">
      <c r="A7" s="83" t="s">
        <v>96</v>
      </c>
      <c r="K7" s="22" t="s">
        <v>95</v>
      </c>
      <c r="L7" s="153" t="s">
        <v>94</v>
      </c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7"/>
    </row>
    <row r="8" spans="1:30" x14ac:dyDescent="0.25">
      <c r="B8" s="22" t="s">
        <v>93</v>
      </c>
      <c r="K8" s="22"/>
      <c r="L8" s="69"/>
      <c r="M8" s="22"/>
      <c r="N8" s="22"/>
      <c r="O8" s="22"/>
      <c r="P8" s="22"/>
      <c r="Q8" s="81"/>
      <c r="R8" s="76"/>
      <c r="S8" s="76"/>
      <c r="T8" s="76"/>
      <c r="U8" s="76"/>
      <c r="V8" s="76"/>
      <c r="W8" s="7"/>
    </row>
    <row r="9" spans="1:30" x14ac:dyDescent="0.25">
      <c r="B9" s="82"/>
      <c r="C9" s="82"/>
      <c r="D9" s="82"/>
      <c r="E9" s="82"/>
      <c r="F9" s="82"/>
      <c r="G9" s="82"/>
      <c r="H9" s="82"/>
      <c r="K9" s="22"/>
      <c r="L9" s="78" t="s">
        <v>1</v>
      </c>
      <c r="M9" s="22"/>
      <c r="N9" s="22"/>
      <c r="O9" s="22"/>
      <c r="P9" s="22"/>
      <c r="Q9" s="81"/>
      <c r="R9" s="76"/>
      <c r="S9" s="76"/>
      <c r="T9" s="76"/>
      <c r="U9" s="76"/>
      <c r="V9" s="76"/>
      <c r="W9" s="7"/>
    </row>
    <row r="10" spans="1:30" x14ac:dyDescent="0.25">
      <c r="B10" s="80" t="s">
        <v>92</v>
      </c>
      <c r="C10" s="161" t="s">
        <v>91</v>
      </c>
      <c r="D10" s="162"/>
      <c r="E10" s="161" t="s">
        <v>90</v>
      </c>
      <c r="F10" s="162"/>
      <c r="G10" s="71"/>
      <c r="H10" s="71"/>
      <c r="K10" s="22"/>
      <c r="L10" s="79"/>
      <c r="M10" s="79"/>
      <c r="N10" s="79"/>
      <c r="O10" s="79"/>
      <c r="P10" s="22"/>
      <c r="Q10" s="77"/>
      <c r="R10" s="76"/>
      <c r="S10" s="76"/>
      <c r="T10" s="76"/>
      <c r="U10" s="76"/>
      <c r="V10" s="76"/>
      <c r="W10" s="7"/>
    </row>
    <row r="11" spans="1:30" ht="15.6" customHeight="1" x14ac:dyDescent="0.25">
      <c r="B11" s="63" t="s">
        <v>89</v>
      </c>
      <c r="C11" s="159" t="s">
        <v>82</v>
      </c>
      <c r="D11" s="160"/>
      <c r="E11" s="159" t="s">
        <v>81</v>
      </c>
      <c r="F11" s="160"/>
      <c r="G11" s="71"/>
      <c r="H11" s="71"/>
      <c r="K11" s="22"/>
      <c r="L11" s="78"/>
      <c r="M11" s="22"/>
      <c r="N11" s="22"/>
      <c r="O11" s="22"/>
      <c r="P11" s="22"/>
      <c r="Q11" s="77"/>
      <c r="R11" s="76"/>
      <c r="S11" s="76"/>
      <c r="T11" s="76"/>
      <c r="U11" s="76"/>
      <c r="V11" s="76"/>
      <c r="W11" s="7"/>
    </row>
    <row r="12" spans="1:30" ht="15.75" customHeight="1" x14ac:dyDescent="0.25">
      <c r="B12" s="63" t="s">
        <v>88</v>
      </c>
      <c r="C12" s="159" t="s">
        <v>87</v>
      </c>
      <c r="D12" s="160"/>
      <c r="E12" s="159" t="s">
        <v>86</v>
      </c>
      <c r="F12" s="160"/>
      <c r="G12" s="71"/>
      <c r="H12" s="71"/>
    </row>
    <row r="13" spans="1:30" ht="47.1" customHeight="1" x14ac:dyDescent="0.25">
      <c r="B13" s="63" t="s">
        <v>85</v>
      </c>
      <c r="C13" s="159" t="s">
        <v>84</v>
      </c>
      <c r="D13" s="160"/>
      <c r="E13" s="167" t="s">
        <v>83</v>
      </c>
      <c r="F13" s="168"/>
      <c r="G13" s="71"/>
      <c r="H13" s="71"/>
      <c r="L13" s="75" t="s">
        <v>82</v>
      </c>
      <c r="S13" s="75" t="s">
        <v>81</v>
      </c>
    </row>
    <row r="14" spans="1:30" ht="51" customHeight="1" x14ac:dyDescent="0.25">
      <c r="B14" s="63" t="s">
        <v>80</v>
      </c>
      <c r="C14" s="159" t="s">
        <v>79</v>
      </c>
      <c r="D14" s="160"/>
      <c r="E14" s="159" t="s">
        <v>78</v>
      </c>
      <c r="F14" s="160"/>
      <c r="G14" s="71"/>
      <c r="H14" s="71"/>
      <c r="L14" s="1" t="s">
        <v>77</v>
      </c>
      <c r="M14" s="1" t="s">
        <v>76</v>
      </c>
      <c r="N14" s="1" t="s">
        <v>75</v>
      </c>
      <c r="O14" s="1" t="s">
        <v>72</v>
      </c>
      <c r="P14" s="1" t="s">
        <v>71</v>
      </c>
      <c r="Q14" s="74" t="s">
        <v>74</v>
      </c>
      <c r="S14" s="74" t="s">
        <v>73</v>
      </c>
      <c r="T14" s="1" t="s">
        <v>72</v>
      </c>
      <c r="U14" s="1" t="s">
        <v>71</v>
      </c>
      <c r="V14" s="1" t="s">
        <v>46</v>
      </c>
      <c r="X14" s="1" t="s">
        <v>70</v>
      </c>
      <c r="Y14" s="1" t="s">
        <v>69</v>
      </c>
      <c r="Z14" s="1" t="s">
        <v>68</v>
      </c>
      <c r="AA14" s="74" t="s">
        <v>67</v>
      </c>
      <c r="AB14" s="74" t="s">
        <v>66</v>
      </c>
      <c r="AC14" s="74" t="s">
        <v>65</v>
      </c>
      <c r="AD14" s="74" t="s">
        <v>64</v>
      </c>
    </row>
    <row r="15" spans="1:30" x14ac:dyDescent="0.25">
      <c r="B15" s="63" t="s">
        <v>63</v>
      </c>
      <c r="C15" s="73">
        <v>1</v>
      </c>
      <c r="D15" s="72" t="s">
        <v>62</v>
      </c>
      <c r="E15" s="73">
        <v>0.75</v>
      </c>
      <c r="F15" s="72" t="s">
        <v>62</v>
      </c>
      <c r="G15" s="71"/>
      <c r="H15" s="71"/>
      <c r="L15" s="1">
        <v>50</v>
      </c>
      <c r="M15" s="61">
        <f>C22</f>
        <v>300000</v>
      </c>
      <c r="N15" s="61">
        <f>C23</f>
        <v>27830</v>
      </c>
      <c r="O15" s="61">
        <v>0</v>
      </c>
      <c r="P15" s="61">
        <v>0</v>
      </c>
      <c r="Q15" s="70">
        <f>O15+P15</f>
        <v>0</v>
      </c>
      <c r="S15" s="62">
        <f t="shared" ref="S15:S29" si="0">M15*(1-$C$28)</f>
        <v>195000</v>
      </c>
      <c r="T15" s="58">
        <f t="shared" ref="T15:T29" si="1">MIN(7%*S15,16000)</f>
        <v>13650.000000000002</v>
      </c>
      <c r="U15" s="53">
        <f t="shared" ref="U15:U29" si="2">T15*0.75</f>
        <v>10237.500000000002</v>
      </c>
      <c r="V15" s="53">
        <f t="shared" ref="V15:V29" si="3">T15+U15</f>
        <v>23887.500000000004</v>
      </c>
      <c r="X15" s="61">
        <f>C24</f>
        <v>6000</v>
      </c>
      <c r="Y15" s="61">
        <f>X15</f>
        <v>6000</v>
      </c>
      <c r="Z15" s="61">
        <f t="shared" ref="Z15:Z29" si="4">MIN(Y15,V15)</f>
        <v>6000</v>
      </c>
      <c r="AA15" s="61">
        <f>Z15</f>
        <v>6000</v>
      </c>
      <c r="AB15" s="53">
        <f t="shared" ref="AB15:AB29" si="5">V15-Z15</f>
        <v>17887.500000000004</v>
      </c>
      <c r="AC15" s="53">
        <f>AB15</f>
        <v>17887.500000000004</v>
      </c>
      <c r="AD15" s="53">
        <f t="shared" ref="AD15:AD29" si="6">AC15+AA15</f>
        <v>23887.500000000004</v>
      </c>
    </row>
    <row r="16" spans="1:30" x14ac:dyDescent="0.25">
      <c r="L16" s="19">
        <f t="shared" ref="L16:L29" si="7">L15+1</f>
        <v>51</v>
      </c>
      <c r="M16" s="62">
        <f t="shared" ref="M16:M29" si="8">M15*(1+$C$26)</f>
        <v>309000</v>
      </c>
      <c r="N16" s="61">
        <f t="shared" ref="N16:N29" si="9">ROUND(N15*(1+$C$27),2)</f>
        <v>28386.6</v>
      </c>
      <c r="O16" s="61">
        <f t="shared" ref="O16:O29" si="10">N16/2</f>
        <v>14193.3</v>
      </c>
      <c r="P16" s="61">
        <f t="shared" ref="P16:P29" si="11">O16</f>
        <v>14193.3</v>
      </c>
      <c r="Q16" s="56">
        <f t="shared" ref="Q16:Q29" si="12">(Q15*(1+$C$25))+O16+P16</f>
        <v>28386.6</v>
      </c>
      <c r="S16" s="62">
        <f t="shared" si="0"/>
        <v>200850</v>
      </c>
      <c r="T16" s="58">
        <f t="shared" si="1"/>
        <v>14059.500000000002</v>
      </c>
      <c r="U16" s="53">
        <f t="shared" si="2"/>
        <v>10544.625000000002</v>
      </c>
      <c r="V16" s="53">
        <f t="shared" si="3"/>
        <v>24604.125000000004</v>
      </c>
      <c r="X16" s="61">
        <f t="shared" ref="X16:X29" si="13">X15*(1+$C$27)</f>
        <v>6120</v>
      </c>
      <c r="Y16" s="61">
        <f t="shared" ref="Y16:Y29" si="14">ROUNDDOWN(X16*2,-3)/2</f>
        <v>6000</v>
      </c>
      <c r="Z16" s="61">
        <f t="shared" si="4"/>
        <v>6000</v>
      </c>
      <c r="AA16" s="61">
        <f t="shared" ref="AA16:AA29" si="15">Z16+(AA15)*(1+$C$25)</f>
        <v>12300</v>
      </c>
      <c r="AB16" s="53">
        <f t="shared" si="5"/>
        <v>18604.125000000004</v>
      </c>
      <c r="AC16" s="53">
        <f t="shared" ref="AC16:AC29" si="16">AB16+AC15*(1+$C$27*(1-$C$28))</f>
        <v>36724.162500000006</v>
      </c>
      <c r="AD16" s="53">
        <f t="shared" si="6"/>
        <v>49024.162500000006</v>
      </c>
    </row>
    <row r="17" spans="2:30" x14ac:dyDescent="0.25">
      <c r="B17" s="22" t="s">
        <v>61</v>
      </c>
      <c r="L17" s="19">
        <f t="shared" si="7"/>
        <v>52</v>
      </c>
      <c r="M17" s="62">
        <f t="shared" si="8"/>
        <v>318270</v>
      </c>
      <c r="N17" s="61">
        <f t="shared" si="9"/>
        <v>28954.33</v>
      </c>
      <c r="O17" s="61">
        <f t="shared" si="10"/>
        <v>14477.165000000001</v>
      </c>
      <c r="P17" s="61">
        <f t="shared" si="11"/>
        <v>14477.165000000001</v>
      </c>
      <c r="Q17" s="56">
        <f t="shared" si="12"/>
        <v>58760.26</v>
      </c>
      <c r="S17" s="62">
        <f t="shared" si="0"/>
        <v>206875.5</v>
      </c>
      <c r="T17" s="58">
        <f t="shared" si="1"/>
        <v>14481.285000000002</v>
      </c>
      <c r="U17" s="53">
        <f t="shared" si="2"/>
        <v>10860.963750000001</v>
      </c>
      <c r="V17" s="53">
        <f t="shared" si="3"/>
        <v>25342.248750000002</v>
      </c>
      <c r="X17" s="61">
        <f t="shared" si="13"/>
        <v>6242.4000000000005</v>
      </c>
      <c r="Y17" s="61">
        <f t="shared" si="14"/>
        <v>6000</v>
      </c>
      <c r="Z17" s="61">
        <f t="shared" si="4"/>
        <v>6000</v>
      </c>
      <c r="AA17" s="61">
        <f t="shared" si="15"/>
        <v>18915</v>
      </c>
      <c r="AB17" s="53">
        <f t="shared" si="5"/>
        <v>19342.248750000002</v>
      </c>
      <c r="AC17" s="53">
        <f t="shared" si="16"/>
        <v>56543.825362500007</v>
      </c>
      <c r="AD17" s="53">
        <f t="shared" si="6"/>
        <v>75458.825362500007</v>
      </c>
    </row>
    <row r="18" spans="2:30" x14ac:dyDescent="0.25">
      <c r="B18" s="69"/>
      <c r="C18" s="69"/>
      <c r="D18" s="69"/>
      <c r="E18" s="69"/>
      <c r="F18" s="69"/>
      <c r="G18" s="69"/>
      <c r="H18" s="69"/>
      <c r="L18" s="19">
        <f t="shared" si="7"/>
        <v>53</v>
      </c>
      <c r="M18" s="62">
        <f t="shared" si="8"/>
        <v>327818.10000000003</v>
      </c>
      <c r="N18" s="61">
        <f t="shared" si="9"/>
        <v>29533.42</v>
      </c>
      <c r="O18" s="61">
        <f t="shared" si="10"/>
        <v>14766.71</v>
      </c>
      <c r="P18" s="61">
        <f t="shared" si="11"/>
        <v>14766.71</v>
      </c>
      <c r="Q18" s="56">
        <f t="shared" si="12"/>
        <v>91231.692999999999</v>
      </c>
      <c r="S18" s="62">
        <f t="shared" si="0"/>
        <v>213081.76500000004</v>
      </c>
      <c r="T18" s="58">
        <f t="shared" si="1"/>
        <v>14915.723550000004</v>
      </c>
      <c r="U18" s="53">
        <f t="shared" si="2"/>
        <v>11186.792662500004</v>
      </c>
      <c r="V18" s="53">
        <f t="shared" si="3"/>
        <v>26102.516212500006</v>
      </c>
      <c r="X18" s="61">
        <f t="shared" si="13"/>
        <v>6367.2480000000005</v>
      </c>
      <c r="Y18" s="61">
        <f t="shared" si="14"/>
        <v>6000</v>
      </c>
      <c r="Z18" s="61">
        <f t="shared" si="4"/>
        <v>6000</v>
      </c>
      <c r="AA18" s="61">
        <f t="shared" si="15"/>
        <v>25860.75</v>
      </c>
      <c r="AB18" s="53">
        <f t="shared" si="5"/>
        <v>20102.516212500006</v>
      </c>
      <c r="AC18" s="53">
        <f t="shared" si="16"/>
        <v>77381.411304712499</v>
      </c>
      <c r="AD18" s="53">
        <f t="shared" si="6"/>
        <v>103242.1613047125</v>
      </c>
    </row>
    <row r="19" spans="2:30" x14ac:dyDescent="0.25">
      <c r="B19" s="63" t="s">
        <v>60</v>
      </c>
      <c r="C19" s="163">
        <v>50</v>
      </c>
      <c r="D19" s="164"/>
      <c r="E19" s="69"/>
      <c r="F19" s="69"/>
      <c r="G19" s="69"/>
      <c r="H19" s="69"/>
      <c r="L19" s="19">
        <f t="shared" si="7"/>
        <v>54</v>
      </c>
      <c r="M19" s="62">
        <f t="shared" si="8"/>
        <v>337652.64300000004</v>
      </c>
      <c r="N19" s="61">
        <f t="shared" si="9"/>
        <v>30124.09</v>
      </c>
      <c r="O19" s="61">
        <f t="shared" si="10"/>
        <v>15062.045</v>
      </c>
      <c r="P19" s="61">
        <f t="shared" si="11"/>
        <v>15062.045</v>
      </c>
      <c r="Q19" s="56">
        <f t="shared" si="12"/>
        <v>125917.36765</v>
      </c>
      <c r="S19" s="62">
        <f t="shared" si="0"/>
        <v>219474.21795000002</v>
      </c>
      <c r="T19" s="58">
        <f t="shared" si="1"/>
        <v>15363.195256500003</v>
      </c>
      <c r="U19" s="53">
        <f t="shared" si="2"/>
        <v>11522.396442375002</v>
      </c>
      <c r="V19" s="53">
        <f t="shared" si="3"/>
        <v>26885.591698875003</v>
      </c>
      <c r="X19" s="61">
        <f t="shared" si="13"/>
        <v>6494.5929600000009</v>
      </c>
      <c r="Y19" s="61">
        <f t="shared" si="14"/>
        <v>6000</v>
      </c>
      <c r="Z19" s="61">
        <f t="shared" si="4"/>
        <v>6000</v>
      </c>
      <c r="AA19" s="61">
        <f t="shared" si="15"/>
        <v>33153.787500000006</v>
      </c>
      <c r="AB19" s="53">
        <f t="shared" si="5"/>
        <v>20885.591698875003</v>
      </c>
      <c r="AC19" s="53">
        <f t="shared" si="16"/>
        <v>99272.96135054875</v>
      </c>
      <c r="AD19" s="53">
        <f t="shared" si="6"/>
        <v>132426.74885054876</v>
      </c>
    </row>
    <row r="20" spans="2:30" x14ac:dyDescent="0.25">
      <c r="B20" s="63" t="s">
        <v>59</v>
      </c>
      <c r="C20" s="163">
        <v>65</v>
      </c>
      <c r="D20" s="164"/>
      <c r="L20" s="19">
        <f t="shared" si="7"/>
        <v>55</v>
      </c>
      <c r="M20" s="62">
        <f t="shared" si="8"/>
        <v>347782.22229000006</v>
      </c>
      <c r="N20" s="61">
        <f t="shared" si="9"/>
        <v>30726.57</v>
      </c>
      <c r="O20" s="61">
        <f t="shared" si="10"/>
        <v>15363.285</v>
      </c>
      <c r="P20" s="61">
        <f t="shared" si="11"/>
        <v>15363.285</v>
      </c>
      <c r="Q20" s="56">
        <f t="shared" si="12"/>
        <v>162939.80603250003</v>
      </c>
      <c r="S20" s="62">
        <f t="shared" si="0"/>
        <v>226058.44448850004</v>
      </c>
      <c r="T20" s="58">
        <f t="shared" si="1"/>
        <v>15824.091114195004</v>
      </c>
      <c r="U20" s="53">
        <f t="shared" si="2"/>
        <v>11868.068335646252</v>
      </c>
      <c r="V20" s="53">
        <f t="shared" si="3"/>
        <v>27692.159449841256</v>
      </c>
      <c r="X20" s="61">
        <f t="shared" si="13"/>
        <v>6624.4848192000009</v>
      </c>
      <c r="Y20" s="61">
        <f t="shared" si="14"/>
        <v>6500</v>
      </c>
      <c r="Z20" s="61">
        <f t="shared" si="4"/>
        <v>6500</v>
      </c>
      <c r="AA20" s="61">
        <f t="shared" si="15"/>
        <v>41311.476875000008</v>
      </c>
      <c r="AB20" s="53">
        <f t="shared" si="5"/>
        <v>21192.159449841256</v>
      </c>
      <c r="AC20" s="53">
        <f t="shared" si="16"/>
        <v>121755.66929794714</v>
      </c>
      <c r="AD20" s="53">
        <f t="shared" si="6"/>
        <v>163067.14617294713</v>
      </c>
    </row>
    <row r="21" spans="2:30" x14ac:dyDescent="0.25">
      <c r="B21" s="63" t="s">
        <v>58</v>
      </c>
      <c r="C21" s="163" t="s">
        <v>57</v>
      </c>
      <c r="D21" s="164"/>
      <c r="L21" s="19">
        <f t="shared" si="7"/>
        <v>56</v>
      </c>
      <c r="M21" s="62">
        <f t="shared" si="8"/>
        <v>358215.68895870005</v>
      </c>
      <c r="N21" s="61">
        <f t="shared" si="9"/>
        <v>31341.1</v>
      </c>
      <c r="O21" s="61">
        <f t="shared" si="10"/>
        <v>15670.55</v>
      </c>
      <c r="P21" s="61">
        <f t="shared" si="11"/>
        <v>15670.55</v>
      </c>
      <c r="Q21" s="56">
        <f t="shared" si="12"/>
        <v>202427.89633412502</v>
      </c>
      <c r="S21" s="62">
        <f t="shared" si="0"/>
        <v>232840.19782315503</v>
      </c>
      <c r="T21" s="58">
        <f t="shared" si="1"/>
        <v>16000</v>
      </c>
      <c r="U21" s="53">
        <f t="shared" si="2"/>
        <v>12000</v>
      </c>
      <c r="V21" s="53">
        <f t="shared" si="3"/>
        <v>28000</v>
      </c>
      <c r="X21" s="61">
        <f t="shared" si="13"/>
        <v>6756.974515584001</v>
      </c>
      <c r="Y21" s="61">
        <f t="shared" si="14"/>
        <v>6500</v>
      </c>
      <c r="Z21" s="61">
        <f t="shared" si="4"/>
        <v>6500</v>
      </c>
      <c r="AA21" s="61">
        <f t="shared" si="15"/>
        <v>49877.050718750012</v>
      </c>
      <c r="AB21" s="53">
        <f t="shared" si="5"/>
        <v>21500</v>
      </c>
      <c r="AC21" s="53">
        <f t="shared" si="16"/>
        <v>144838.49299882044</v>
      </c>
      <c r="AD21" s="53">
        <f t="shared" si="6"/>
        <v>194715.54371757046</v>
      </c>
    </row>
    <row r="22" spans="2:30" x14ac:dyDescent="0.25">
      <c r="B22" s="63" t="s">
        <v>56</v>
      </c>
      <c r="C22" s="165">
        <v>300000</v>
      </c>
      <c r="D22" s="164"/>
      <c r="L22" s="19">
        <f t="shared" si="7"/>
        <v>57</v>
      </c>
      <c r="M22" s="62">
        <f t="shared" si="8"/>
        <v>368962.15962746105</v>
      </c>
      <c r="N22" s="61">
        <f t="shared" si="9"/>
        <v>31967.919999999998</v>
      </c>
      <c r="O22" s="61">
        <f t="shared" si="10"/>
        <v>15983.96</v>
      </c>
      <c r="P22" s="61">
        <f t="shared" si="11"/>
        <v>15983.96</v>
      </c>
      <c r="Q22" s="56">
        <f t="shared" si="12"/>
        <v>244517.21115083125</v>
      </c>
      <c r="S22" s="62">
        <f t="shared" si="0"/>
        <v>239825.40375784968</v>
      </c>
      <c r="T22" s="58">
        <f t="shared" si="1"/>
        <v>16000</v>
      </c>
      <c r="U22" s="53">
        <f t="shared" si="2"/>
        <v>12000</v>
      </c>
      <c r="V22" s="53">
        <f t="shared" si="3"/>
        <v>28000</v>
      </c>
      <c r="X22" s="61">
        <f t="shared" si="13"/>
        <v>6892.1140058956807</v>
      </c>
      <c r="Y22" s="61">
        <f t="shared" si="14"/>
        <v>6500</v>
      </c>
      <c r="Z22" s="61">
        <f t="shared" si="4"/>
        <v>6500</v>
      </c>
      <c r="AA22" s="61">
        <f t="shared" si="15"/>
        <v>58870.903254687517</v>
      </c>
      <c r="AB22" s="53">
        <f t="shared" si="5"/>
        <v>21500</v>
      </c>
      <c r="AC22" s="53">
        <f t="shared" si="16"/>
        <v>168221.3934078051</v>
      </c>
      <c r="AD22" s="53">
        <f t="shared" si="6"/>
        <v>227092.29666249262</v>
      </c>
    </row>
    <row r="23" spans="2:30" x14ac:dyDescent="0.25">
      <c r="B23" s="63" t="s">
        <v>55</v>
      </c>
      <c r="C23" s="165">
        <v>27830</v>
      </c>
      <c r="D23" s="164"/>
      <c r="L23" s="19">
        <f t="shared" si="7"/>
        <v>58</v>
      </c>
      <c r="M23" s="62">
        <f t="shared" si="8"/>
        <v>380031.02441628487</v>
      </c>
      <c r="N23" s="61">
        <f t="shared" si="9"/>
        <v>32607.279999999999</v>
      </c>
      <c r="O23" s="61">
        <f t="shared" si="10"/>
        <v>16303.64</v>
      </c>
      <c r="P23" s="61">
        <f t="shared" si="11"/>
        <v>16303.64</v>
      </c>
      <c r="Q23" s="56">
        <f t="shared" si="12"/>
        <v>289350.35170837282</v>
      </c>
      <c r="S23" s="62">
        <f t="shared" si="0"/>
        <v>247020.16587058516</v>
      </c>
      <c r="T23" s="58">
        <f t="shared" si="1"/>
        <v>16000</v>
      </c>
      <c r="U23" s="53">
        <f t="shared" si="2"/>
        <v>12000</v>
      </c>
      <c r="V23" s="53">
        <f t="shared" si="3"/>
        <v>28000</v>
      </c>
      <c r="X23" s="61">
        <f t="shared" si="13"/>
        <v>7029.9562860135948</v>
      </c>
      <c r="Y23" s="61">
        <f t="shared" si="14"/>
        <v>7000</v>
      </c>
      <c r="Z23" s="61">
        <f t="shared" si="4"/>
        <v>7000</v>
      </c>
      <c r="AA23" s="61">
        <f t="shared" si="15"/>
        <v>68814.448417421896</v>
      </c>
      <c r="AB23" s="53">
        <f t="shared" si="5"/>
        <v>21000</v>
      </c>
      <c r="AC23" s="53">
        <f t="shared" si="16"/>
        <v>191408.27152210654</v>
      </c>
      <c r="AD23" s="53">
        <f t="shared" si="6"/>
        <v>260222.71993952844</v>
      </c>
    </row>
    <row r="24" spans="2:30" ht="31.5" x14ac:dyDescent="0.25">
      <c r="B24" s="63" t="s">
        <v>54</v>
      </c>
      <c r="C24" s="165">
        <v>6000</v>
      </c>
      <c r="D24" s="164"/>
      <c r="L24" s="19">
        <f t="shared" si="7"/>
        <v>59</v>
      </c>
      <c r="M24" s="62">
        <f t="shared" si="8"/>
        <v>391431.95514877344</v>
      </c>
      <c r="N24" s="61">
        <f t="shared" si="9"/>
        <v>33259.43</v>
      </c>
      <c r="O24" s="61">
        <f t="shared" si="10"/>
        <v>16629.715</v>
      </c>
      <c r="P24" s="61">
        <f t="shared" si="11"/>
        <v>16629.715</v>
      </c>
      <c r="Q24" s="56">
        <f t="shared" si="12"/>
        <v>337077.29929379153</v>
      </c>
      <c r="S24" s="62">
        <f t="shared" si="0"/>
        <v>254430.77084670274</v>
      </c>
      <c r="T24" s="58">
        <f t="shared" si="1"/>
        <v>16000</v>
      </c>
      <c r="U24" s="53">
        <f t="shared" si="2"/>
        <v>12000</v>
      </c>
      <c r="V24" s="53">
        <f t="shared" si="3"/>
        <v>28000</v>
      </c>
      <c r="X24" s="61">
        <f t="shared" si="13"/>
        <v>7170.555411733867</v>
      </c>
      <c r="Y24" s="61">
        <f t="shared" si="14"/>
        <v>7000</v>
      </c>
      <c r="Z24" s="61">
        <f t="shared" si="4"/>
        <v>7000</v>
      </c>
      <c r="AA24" s="61">
        <f t="shared" si="15"/>
        <v>79255.170838292994</v>
      </c>
      <c r="AB24" s="53">
        <f t="shared" si="5"/>
        <v>21000</v>
      </c>
      <c r="AC24" s="53">
        <f t="shared" si="16"/>
        <v>214896.5790518939</v>
      </c>
      <c r="AD24" s="53">
        <f t="shared" si="6"/>
        <v>294151.74989018688</v>
      </c>
    </row>
    <row r="25" spans="2:30" x14ac:dyDescent="0.25">
      <c r="B25" s="63" t="s">
        <v>53</v>
      </c>
      <c r="C25" s="166">
        <v>0.05</v>
      </c>
      <c r="D25" s="164"/>
      <c r="L25" s="19">
        <f t="shared" si="7"/>
        <v>60</v>
      </c>
      <c r="M25" s="62">
        <f t="shared" si="8"/>
        <v>403174.91380323668</v>
      </c>
      <c r="N25" s="61">
        <f t="shared" si="9"/>
        <v>33924.620000000003</v>
      </c>
      <c r="O25" s="61">
        <f t="shared" si="10"/>
        <v>16962.310000000001</v>
      </c>
      <c r="P25" s="61">
        <f t="shared" si="11"/>
        <v>16962.310000000001</v>
      </c>
      <c r="Q25" s="56">
        <f t="shared" si="12"/>
        <v>387855.78425848112</v>
      </c>
      <c r="S25" s="62">
        <f t="shared" si="0"/>
        <v>262063.69397210385</v>
      </c>
      <c r="T25" s="58">
        <f t="shared" si="1"/>
        <v>16000</v>
      </c>
      <c r="U25" s="53">
        <f t="shared" si="2"/>
        <v>12000</v>
      </c>
      <c r="V25" s="53">
        <f t="shared" si="3"/>
        <v>28000</v>
      </c>
      <c r="X25" s="61">
        <f t="shared" si="13"/>
        <v>7313.9665199685442</v>
      </c>
      <c r="Y25" s="61">
        <f t="shared" si="14"/>
        <v>7000</v>
      </c>
      <c r="Z25" s="61">
        <f t="shared" si="4"/>
        <v>7000</v>
      </c>
      <c r="AA25" s="61">
        <f t="shared" si="15"/>
        <v>90217.929380207643</v>
      </c>
      <c r="AB25" s="53">
        <f t="shared" si="5"/>
        <v>21000</v>
      </c>
      <c r="AC25" s="53">
        <f t="shared" si="16"/>
        <v>238690.2345795685</v>
      </c>
      <c r="AD25" s="53">
        <f t="shared" si="6"/>
        <v>328908.16395977617</v>
      </c>
    </row>
    <row r="26" spans="2:30" x14ac:dyDescent="0.25">
      <c r="B26" s="63" t="s">
        <v>52</v>
      </c>
      <c r="C26" s="166">
        <v>0.03</v>
      </c>
      <c r="D26" s="164"/>
      <c r="L26" s="19">
        <f t="shared" si="7"/>
        <v>61</v>
      </c>
      <c r="M26" s="62">
        <f t="shared" si="8"/>
        <v>415270.16121733381</v>
      </c>
      <c r="N26" s="61">
        <f t="shared" si="9"/>
        <v>34603.11</v>
      </c>
      <c r="O26" s="61">
        <f t="shared" si="10"/>
        <v>17301.555</v>
      </c>
      <c r="P26" s="61">
        <f t="shared" si="11"/>
        <v>17301.555</v>
      </c>
      <c r="Q26" s="56">
        <f t="shared" si="12"/>
        <v>441851.68347140518</v>
      </c>
      <c r="S26" s="62">
        <f t="shared" si="0"/>
        <v>269925.60479126696</v>
      </c>
      <c r="T26" s="58">
        <f t="shared" si="1"/>
        <v>16000</v>
      </c>
      <c r="U26" s="53">
        <f t="shared" si="2"/>
        <v>12000</v>
      </c>
      <c r="V26" s="53">
        <f t="shared" si="3"/>
        <v>28000</v>
      </c>
      <c r="X26" s="61">
        <f t="shared" si="13"/>
        <v>7460.2458503679154</v>
      </c>
      <c r="Y26" s="61">
        <f t="shared" si="14"/>
        <v>7000</v>
      </c>
      <c r="Z26" s="61">
        <f t="shared" si="4"/>
        <v>7000</v>
      </c>
      <c r="AA26" s="61">
        <f t="shared" si="15"/>
        <v>101728.82584921803</v>
      </c>
      <c r="AB26" s="53">
        <f t="shared" si="5"/>
        <v>21000</v>
      </c>
      <c r="AC26" s="53">
        <f t="shared" si="16"/>
        <v>262793.20762910286</v>
      </c>
      <c r="AD26" s="53">
        <f t="shared" si="6"/>
        <v>364522.03347832093</v>
      </c>
    </row>
    <row r="27" spans="2:30" x14ac:dyDescent="0.25">
      <c r="B27" s="63" t="s">
        <v>51</v>
      </c>
      <c r="C27" s="166">
        <v>0.02</v>
      </c>
      <c r="D27" s="164"/>
      <c r="L27" s="19">
        <f t="shared" si="7"/>
        <v>62</v>
      </c>
      <c r="M27" s="62">
        <f t="shared" si="8"/>
        <v>427728.26605385385</v>
      </c>
      <c r="N27" s="61">
        <f t="shared" si="9"/>
        <v>35295.17</v>
      </c>
      <c r="O27" s="61">
        <f t="shared" si="10"/>
        <v>17647.584999999999</v>
      </c>
      <c r="P27" s="61">
        <f t="shared" si="11"/>
        <v>17647.584999999999</v>
      </c>
      <c r="Q27" s="56">
        <f t="shared" si="12"/>
        <v>499239.43764497549</v>
      </c>
      <c r="S27" s="62">
        <f t="shared" si="0"/>
        <v>278023.372935005</v>
      </c>
      <c r="T27" s="58">
        <f t="shared" si="1"/>
        <v>16000</v>
      </c>
      <c r="U27" s="53">
        <f t="shared" si="2"/>
        <v>12000</v>
      </c>
      <c r="V27" s="53">
        <f t="shared" si="3"/>
        <v>28000</v>
      </c>
      <c r="X27" s="61">
        <f t="shared" si="13"/>
        <v>7609.4507673752742</v>
      </c>
      <c r="Y27" s="61">
        <f t="shared" si="14"/>
        <v>7500</v>
      </c>
      <c r="Z27" s="61">
        <f t="shared" si="4"/>
        <v>7500</v>
      </c>
      <c r="AA27" s="61">
        <f t="shared" si="15"/>
        <v>114315.26714167894</v>
      </c>
      <c r="AB27" s="53">
        <f t="shared" si="5"/>
        <v>20500</v>
      </c>
      <c r="AC27" s="53">
        <f t="shared" si="16"/>
        <v>286709.51932828117</v>
      </c>
      <c r="AD27" s="53">
        <f t="shared" si="6"/>
        <v>401024.78646996012</v>
      </c>
    </row>
    <row r="28" spans="2:30" x14ac:dyDescent="0.25">
      <c r="B28" s="63" t="s">
        <v>50</v>
      </c>
      <c r="C28" s="166">
        <v>0.35</v>
      </c>
      <c r="D28" s="164"/>
      <c r="L28" s="19">
        <f t="shared" si="7"/>
        <v>63</v>
      </c>
      <c r="M28" s="62">
        <f t="shared" si="8"/>
        <v>440560.11403546948</v>
      </c>
      <c r="N28" s="61">
        <f t="shared" si="9"/>
        <v>36001.07</v>
      </c>
      <c r="O28" s="61">
        <f t="shared" si="10"/>
        <v>18000.535</v>
      </c>
      <c r="P28" s="61">
        <f t="shared" si="11"/>
        <v>18000.535</v>
      </c>
      <c r="Q28" s="56">
        <f t="shared" si="12"/>
        <v>560202.47952722432</v>
      </c>
      <c r="S28" s="62">
        <f t="shared" si="0"/>
        <v>286364.07412305515</v>
      </c>
      <c r="T28" s="58">
        <f t="shared" si="1"/>
        <v>16000</v>
      </c>
      <c r="U28" s="53">
        <f t="shared" si="2"/>
        <v>12000</v>
      </c>
      <c r="V28" s="53">
        <f t="shared" si="3"/>
        <v>28000</v>
      </c>
      <c r="X28" s="61">
        <f t="shared" si="13"/>
        <v>7761.6397827227802</v>
      </c>
      <c r="Y28" s="61">
        <f t="shared" si="14"/>
        <v>7500</v>
      </c>
      <c r="Z28" s="61">
        <f t="shared" si="4"/>
        <v>7500</v>
      </c>
      <c r="AA28" s="61">
        <f t="shared" si="15"/>
        <v>127531.03049876289</v>
      </c>
      <c r="AB28" s="53">
        <f t="shared" si="5"/>
        <v>20500</v>
      </c>
      <c r="AC28" s="53">
        <f t="shared" si="16"/>
        <v>310936.74307954882</v>
      </c>
      <c r="AD28" s="53">
        <f t="shared" si="6"/>
        <v>438467.77357831172</v>
      </c>
    </row>
    <row r="29" spans="2:30" x14ac:dyDescent="0.25">
      <c r="B29" s="63" t="s">
        <v>49</v>
      </c>
      <c r="C29" s="166">
        <v>0.25</v>
      </c>
      <c r="D29" s="164"/>
      <c r="L29" s="68">
        <f t="shared" si="7"/>
        <v>64</v>
      </c>
      <c r="M29" s="67">
        <f t="shared" si="8"/>
        <v>453776.91745653359</v>
      </c>
      <c r="N29" s="65">
        <f t="shared" si="9"/>
        <v>36721.089999999997</v>
      </c>
      <c r="O29" s="65">
        <f t="shared" si="10"/>
        <v>18360.544999999998</v>
      </c>
      <c r="P29" s="65">
        <f t="shared" si="11"/>
        <v>18360.544999999998</v>
      </c>
      <c r="Q29" s="54">
        <f t="shared" si="12"/>
        <v>624933.69350358564</v>
      </c>
      <c r="S29" s="67">
        <f t="shared" si="0"/>
        <v>294954.99634674686</v>
      </c>
      <c r="T29" s="66">
        <f t="shared" si="1"/>
        <v>16000</v>
      </c>
      <c r="U29" s="64">
        <f t="shared" si="2"/>
        <v>12000</v>
      </c>
      <c r="V29" s="64">
        <f t="shared" si="3"/>
        <v>28000</v>
      </c>
      <c r="W29" s="55"/>
      <c r="X29" s="65">
        <f t="shared" si="13"/>
        <v>7916.8725783772361</v>
      </c>
      <c r="Y29" s="65">
        <f t="shared" si="14"/>
        <v>7500</v>
      </c>
      <c r="Z29" s="65">
        <f t="shared" si="4"/>
        <v>7500</v>
      </c>
      <c r="AA29" s="65">
        <f t="shared" si="15"/>
        <v>141407.58202370105</v>
      </c>
      <c r="AB29" s="64">
        <f t="shared" si="5"/>
        <v>20500</v>
      </c>
      <c r="AC29" s="64">
        <f t="shared" si="16"/>
        <v>335478.92073958291</v>
      </c>
      <c r="AD29" s="64">
        <f t="shared" si="6"/>
        <v>476886.50276328396</v>
      </c>
    </row>
    <row r="30" spans="2:30" x14ac:dyDescent="0.25">
      <c r="B30" s="63" t="s">
        <v>48</v>
      </c>
      <c r="C30" s="163" t="s">
        <v>47</v>
      </c>
      <c r="D30" s="164"/>
      <c r="L30" s="19" t="s">
        <v>46</v>
      </c>
      <c r="M30" s="62"/>
      <c r="N30" s="61"/>
      <c r="O30" s="61"/>
      <c r="P30" s="61"/>
      <c r="Q30" s="56">
        <f>Q29</f>
        <v>624933.69350358564</v>
      </c>
      <c r="S30" s="62"/>
      <c r="T30" s="58"/>
      <c r="U30" s="53"/>
      <c r="V30" s="53"/>
      <c r="X30" s="61"/>
      <c r="Y30" s="61"/>
      <c r="Z30" s="61"/>
      <c r="AA30" s="58">
        <f>AA29</f>
        <v>141407.58202370105</v>
      </c>
      <c r="AB30" s="53"/>
      <c r="AC30" s="58">
        <f>AC29</f>
        <v>335478.92073958291</v>
      </c>
      <c r="AD30" s="58">
        <f>AD29</f>
        <v>476886.50276328396</v>
      </c>
    </row>
    <row r="31" spans="2:30" x14ac:dyDescent="0.25">
      <c r="L31" s="19"/>
    </row>
    <row r="32" spans="2:30" x14ac:dyDescent="0.25">
      <c r="L32" s="60" t="s">
        <v>45</v>
      </c>
      <c r="N32" s="53">
        <f>Q30</f>
        <v>624933.69350358564</v>
      </c>
    </row>
    <row r="33" spans="12:22" x14ac:dyDescent="0.25">
      <c r="L33" s="1" t="s">
        <v>44</v>
      </c>
      <c r="M33" s="20"/>
      <c r="N33" s="59">
        <f>AA30</f>
        <v>141407.58202370105</v>
      </c>
      <c r="O33" s="20"/>
    </row>
    <row r="34" spans="12:22" x14ac:dyDescent="0.25">
      <c r="L34" s="1" t="s">
        <v>43</v>
      </c>
      <c r="N34" s="58">
        <f>AC30</f>
        <v>335478.92073958291</v>
      </c>
      <c r="U34" s="57">
        <v>0.05</v>
      </c>
      <c r="V34" s="15">
        <f>U34*(1-C28)</f>
        <v>3.2500000000000001E-2</v>
      </c>
    </row>
    <row r="35" spans="12:22" x14ac:dyDescent="0.25">
      <c r="T35" s="1">
        <v>65</v>
      </c>
      <c r="U35" s="1">
        <f t="shared" ref="U35:U54" si="17">(1+$C$25)^(65-T35)</f>
        <v>1</v>
      </c>
      <c r="V35" s="1">
        <f t="shared" ref="V35:V54" si="18">(1+$V$34)^(65-T35)</f>
        <v>1</v>
      </c>
    </row>
    <row r="36" spans="12:22" x14ac:dyDescent="0.25">
      <c r="N36" s="57">
        <v>0.05</v>
      </c>
      <c r="O36" s="15">
        <f>V34</f>
        <v>3.2500000000000001E-2</v>
      </c>
      <c r="P36" s="20"/>
      <c r="T36" s="1">
        <f t="shared" ref="T36:T55" si="19">T35+1</f>
        <v>66</v>
      </c>
      <c r="U36" s="1">
        <f t="shared" si="17"/>
        <v>0.95238095238095233</v>
      </c>
      <c r="V36" s="1">
        <f t="shared" si="18"/>
        <v>0.96852300242130751</v>
      </c>
    </row>
    <row r="37" spans="12:22" x14ac:dyDescent="0.25">
      <c r="L37" s="1" t="s">
        <v>42</v>
      </c>
      <c r="N37" s="1">
        <f>U56</f>
        <v>13.085320859666986</v>
      </c>
      <c r="O37" s="1">
        <f>V56</f>
        <v>15.011874896709593</v>
      </c>
      <c r="P37" s="16"/>
      <c r="T37" s="1">
        <f t="shared" si="19"/>
        <v>67</v>
      </c>
      <c r="U37" s="1">
        <f t="shared" si="17"/>
        <v>0.90702947845804982</v>
      </c>
      <c r="V37" s="1">
        <f t="shared" si="18"/>
        <v>0.93803680621918406</v>
      </c>
    </row>
    <row r="38" spans="12:22" x14ac:dyDescent="0.25">
      <c r="O38" s="15"/>
      <c r="P38" s="16"/>
      <c r="T38" s="1">
        <f t="shared" si="19"/>
        <v>68</v>
      </c>
      <c r="U38" s="1">
        <f t="shared" si="17"/>
        <v>0.86383759853147601</v>
      </c>
      <c r="V38" s="1">
        <f t="shared" si="18"/>
        <v>0.90851022394109848</v>
      </c>
    </row>
    <row r="39" spans="12:22" x14ac:dyDescent="0.25">
      <c r="L39" s="1" t="s">
        <v>41</v>
      </c>
      <c r="N39" s="56">
        <f>N32*(1-C29)/N37</f>
        <v>35818.783135258738</v>
      </c>
      <c r="P39" s="16"/>
      <c r="T39" s="1">
        <f t="shared" si="19"/>
        <v>69</v>
      </c>
      <c r="U39" s="1">
        <f t="shared" si="17"/>
        <v>0.82270247479188197</v>
      </c>
      <c r="V39" s="1">
        <f t="shared" si="18"/>
        <v>0.87991304982188712</v>
      </c>
    </row>
    <row r="40" spans="12:22" x14ac:dyDescent="0.25">
      <c r="P40" s="16"/>
      <c r="T40" s="1">
        <f t="shared" si="19"/>
        <v>70</v>
      </c>
      <c r="U40" s="1">
        <f t="shared" si="17"/>
        <v>0.78352616646845896</v>
      </c>
      <c r="V40" s="1">
        <f t="shared" si="18"/>
        <v>0.85221602888318371</v>
      </c>
    </row>
    <row r="41" spans="12:22" ht="18" x14ac:dyDescent="0.4">
      <c r="L41" s="1" t="s">
        <v>40</v>
      </c>
      <c r="N41" s="53">
        <f>N33/N37</f>
        <v>10806.581171392063</v>
      </c>
      <c r="P41" s="17"/>
      <c r="T41" s="1">
        <f t="shared" si="19"/>
        <v>71</v>
      </c>
      <c r="U41" s="1">
        <f t="shared" si="17"/>
        <v>0.74621539663662761</v>
      </c>
      <c r="V41" s="1">
        <f t="shared" si="18"/>
        <v>0.82539082700550481</v>
      </c>
    </row>
    <row r="42" spans="12:22" x14ac:dyDescent="0.25">
      <c r="L42" s="55" t="s">
        <v>39</v>
      </c>
      <c r="M42" s="55"/>
      <c r="N42" s="54">
        <f>N34/O37</f>
        <v>22347.569710504016</v>
      </c>
      <c r="P42" s="18"/>
      <c r="T42" s="1">
        <f t="shared" si="19"/>
        <v>72</v>
      </c>
      <c r="U42" s="1">
        <f t="shared" si="17"/>
        <v>0.71068133013012147</v>
      </c>
      <c r="V42" s="1">
        <f t="shared" si="18"/>
        <v>0.79941000194237755</v>
      </c>
    </row>
    <row r="43" spans="12:22" x14ac:dyDescent="0.25">
      <c r="L43" s="1" t="s">
        <v>38</v>
      </c>
      <c r="N43" s="53">
        <f>N41+N42</f>
        <v>33154.150881896079</v>
      </c>
      <c r="T43" s="1">
        <f t="shared" si="19"/>
        <v>73</v>
      </c>
      <c r="U43" s="1">
        <f t="shared" si="17"/>
        <v>0.67683936202868722</v>
      </c>
      <c r="V43" s="1">
        <f t="shared" si="18"/>
        <v>0.77424697524685471</v>
      </c>
    </row>
    <row r="44" spans="12:22" x14ac:dyDescent="0.25">
      <c r="P44" s="18"/>
      <c r="T44" s="1">
        <f t="shared" si="19"/>
        <v>74</v>
      </c>
      <c r="U44" s="1">
        <f t="shared" si="17"/>
        <v>0.64460891621779726</v>
      </c>
      <c r="V44" s="1">
        <f t="shared" si="18"/>
        <v>0.74987600508169938</v>
      </c>
    </row>
    <row r="45" spans="12:22" ht="16.5" thickBot="1" x14ac:dyDescent="0.3">
      <c r="T45" s="1">
        <f t="shared" si="19"/>
        <v>75</v>
      </c>
      <c r="U45" s="1">
        <f t="shared" si="17"/>
        <v>0.61391325354075932</v>
      </c>
      <c r="V45" s="1">
        <f t="shared" si="18"/>
        <v>0.72627215988542326</v>
      </c>
    </row>
    <row r="46" spans="12:22" x14ac:dyDescent="0.25">
      <c r="L46" s="52" t="s">
        <v>37</v>
      </c>
      <c r="M46" s="51"/>
      <c r="N46" s="51"/>
      <c r="O46" s="51"/>
      <c r="P46" s="51"/>
      <c r="Q46" s="51"/>
      <c r="R46" s="50"/>
      <c r="T46" s="1">
        <f t="shared" si="19"/>
        <v>76</v>
      </c>
      <c r="U46" s="1">
        <f t="shared" si="17"/>
        <v>0.5846792890864374</v>
      </c>
      <c r="V46" s="1">
        <f t="shared" si="18"/>
        <v>0.70341129286723802</v>
      </c>
    </row>
    <row r="47" spans="12:22" ht="16.5" thickBot="1" x14ac:dyDescent="0.3">
      <c r="L47" s="49" t="s">
        <v>36</v>
      </c>
      <c r="M47" s="48"/>
      <c r="N47" s="48"/>
      <c r="O47" s="48"/>
      <c r="P47" s="48"/>
      <c r="Q47" s="48"/>
      <c r="R47" s="47"/>
      <c r="T47" s="1">
        <f t="shared" si="19"/>
        <v>77</v>
      </c>
      <c r="U47" s="1">
        <f t="shared" si="17"/>
        <v>0.5568374181775595</v>
      </c>
      <c r="V47" s="1">
        <f t="shared" si="18"/>
        <v>0.68127001730483105</v>
      </c>
    </row>
    <row r="48" spans="12:22" x14ac:dyDescent="0.25">
      <c r="T48" s="1">
        <f t="shared" si="19"/>
        <v>78</v>
      </c>
      <c r="U48" s="1">
        <f t="shared" si="17"/>
        <v>0.53032135064529462</v>
      </c>
      <c r="V48" s="1">
        <f t="shared" si="18"/>
        <v>0.6598256826196911</v>
      </c>
    </row>
    <row r="49" spans="20:22" x14ac:dyDescent="0.25">
      <c r="T49" s="1">
        <f t="shared" si="19"/>
        <v>79</v>
      </c>
      <c r="U49" s="1">
        <f t="shared" si="17"/>
        <v>0.50506795299551888</v>
      </c>
      <c r="V49" s="1">
        <f t="shared" si="18"/>
        <v>0.63905635120551207</v>
      </c>
    </row>
    <row r="50" spans="20:22" x14ac:dyDescent="0.25">
      <c r="T50" s="1">
        <f t="shared" si="19"/>
        <v>80</v>
      </c>
      <c r="U50" s="1">
        <f t="shared" si="17"/>
        <v>0.48101709809097021</v>
      </c>
      <c r="V50" s="1">
        <f t="shared" si="18"/>
        <v>0.61894077598596808</v>
      </c>
    </row>
    <row r="51" spans="20:22" x14ac:dyDescent="0.25">
      <c r="T51" s="1">
        <f t="shared" si="19"/>
        <v>81</v>
      </c>
      <c r="U51" s="1">
        <f t="shared" si="17"/>
        <v>0.45811152199140021</v>
      </c>
      <c r="V51" s="1">
        <f t="shared" si="18"/>
        <v>0.59945837867890361</v>
      </c>
    </row>
    <row r="52" spans="20:22" x14ac:dyDescent="0.25">
      <c r="T52" s="1">
        <f t="shared" si="19"/>
        <v>82</v>
      </c>
      <c r="U52" s="1">
        <f t="shared" si="17"/>
        <v>0.43629668761085727</v>
      </c>
      <c r="V52" s="1">
        <f t="shared" si="18"/>
        <v>0.58058922874470087</v>
      </c>
    </row>
    <row r="53" spans="20:22" x14ac:dyDescent="0.25">
      <c r="T53" s="1">
        <f t="shared" si="19"/>
        <v>83</v>
      </c>
      <c r="U53" s="1">
        <f t="shared" si="17"/>
        <v>0.41552065486748313</v>
      </c>
      <c r="V53" s="1">
        <f t="shared" si="18"/>
        <v>0.56231402299728894</v>
      </c>
    </row>
    <row r="54" spans="20:22" x14ac:dyDescent="0.25">
      <c r="T54" s="1">
        <f t="shared" si="19"/>
        <v>84</v>
      </c>
      <c r="U54" s="1">
        <f t="shared" si="17"/>
        <v>0.39573395701665059</v>
      </c>
      <c r="V54" s="1">
        <f t="shared" si="18"/>
        <v>0.5446140658569385</v>
      </c>
    </row>
    <row r="55" spans="20:22" x14ac:dyDescent="0.25">
      <c r="T55" s="1">
        <f t="shared" si="19"/>
        <v>85</v>
      </c>
      <c r="U55" s="1">
        <v>0</v>
      </c>
      <c r="V55" s="1">
        <v>0</v>
      </c>
    </row>
    <row r="56" spans="20:22" x14ac:dyDescent="0.25">
      <c r="U56" s="1">
        <f>SUM(U35:U55)</f>
        <v>13.085320859666986</v>
      </c>
      <c r="V56" s="1">
        <f>SUM(V35:V55)</f>
        <v>15.011874896709593</v>
      </c>
    </row>
  </sheetData>
  <sheetProtection formatCells="0" formatColumns="0" formatRows="0" insertColumns="0" insertRows="0"/>
  <mergeCells count="23">
    <mergeCell ref="C13:D13"/>
    <mergeCell ref="E13:F13"/>
    <mergeCell ref="C14:D14"/>
    <mergeCell ref="E14:F14"/>
    <mergeCell ref="C24:D24"/>
    <mergeCell ref="C23:D23"/>
    <mergeCell ref="C30:D30"/>
    <mergeCell ref="C19:D19"/>
    <mergeCell ref="C20:D20"/>
    <mergeCell ref="C21:D21"/>
    <mergeCell ref="C22:D22"/>
    <mergeCell ref="C29:D29"/>
    <mergeCell ref="C25:D25"/>
    <mergeCell ref="C26:D26"/>
    <mergeCell ref="C27:D27"/>
    <mergeCell ref="C28:D28"/>
    <mergeCell ref="C12:D12"/>
    <mergeCell ref="E12:F12"/>
    <mergeCell ref="L7:V7"/>
    <mergeCell ref="C10:D10"/>
    <mergeCell ref="E10:F10"/>
    <mergeCell ref="C11:D11"/>
    <mergeCell ref="E11:F11"/>
  </mergeCells>
  <pageMargins left="0.7" right="0.7" top="0.75" bottom="0.75" header="0.3" footer="0.3"/>
  <pageSetup scale="34" orientation="portrait" horizontalDpi="4294967293" verticalDpi="30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C96E-F69F-45D1-8C69-E1731A84526D}">
  <dimension ref="A1:V47"/>
  <sheetViews>
    <sheetView tabSelected="1" zoomScale="70" zoomScaleNormal="70" zoomScaleSheetLayoutView="100" workbookViewId="0"/>
  </sheetViews>
  <sheetFormatPr defaultColWidth="9.28515625" defaultRowHeight="15.75" x14ac:dyDescent="0.25"/>
  <cols>
    <col min="1" max="1" width="3.7109375" style="22" customWidth="1"/>
    <col min="2" max="2" width="39" style="22" customWidth="1"/>
    <col min="3" max="4" width="12.5703125" style="22" customWidth="1"/>
    <col min="5" max="5" width="6.85546875" style="22" bestFit="1" customWidth="1"/>
    <col min="6" max="6" width="10" style="22" bestFit="1" customWidth="1"/>
    <col min="7" max="7" width="6.85546875" style="22" bestFit="1" customWidth="1"/>
    <col min="8" max="8" width="10" style="22" bestFit="1" customWidth="1"/>
    <col min="9" max="9" width="1" style="23" customWidth="1"/>
    <col min="10" max="10" width="4" style="1" customWidth="1"/>
    <col min="11" max="13" width="9.42578125" style="1" customWidth="1"/>
    <col min="14" max="15" width="13.5703125" style="1" customWidth="1"/>
    <col min="16" max="16" width="10.140625" style="1" customWidth="1"/>
    <col min="17" max="17" width="13.28515625" style="1" customWidth="1"/>
    <col min="18" max="21" width="10.140625" style="1" customWidth="1"/>
    <col min="22" max="22" width="4.7109375" style="7" customWidth="1"/>
    <col min="23" max="16384" width="9.28515625" style="1"/>
  </cols>
  <sheetData>
    <row r="1" spans="1:21" x14ac:dyDescent="0.25">
      <c r="A1" s="21" t="s">
        <v>2</v>
      </c>
      <c r="J1" s="21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5">
      <c r="A2" s="21" t="s">
        <v>3</v>
      </c>
      <c r="J2" s="21" t="s">
        <v>3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x14ac:dyDescent="0.25">
      <c r="A3" s="21" t="s">
        <v>177</v>
      </c>
      <c r="J3" s="21" t="s">
        <v>177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x14ac:dyDescent="0.25">
      <c r="A5" s="84" t="s">
        <v>0</v>
      </c>
      <c r="J5" s="84" t="s">
        <v>178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25">
      <c r="A6" s="83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5.75" customHeight="1" x14ac:dyDescent="0.25">
      <c r="A7" s="83" t="s">
        <v>179</v>
      </c>
      <c r="J7" s="22" t="s">
        <v>180</v>
      </c>
      <c r="K7" s="153" t="s">
        <v>181</v>
      </c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x14ac:dyDescent="0.25">
      <c r="J8" s="22"/>
      <c r="K8" s="69"/>
      <c r="L8" s="22"/>
      <c r="M8" s="22"/>
      <c r="N8" s="22"/>
      <c r="O8" s="22"/>
      <c r="P8" s="81"/>
      <c r="Q8" s="76"/>
      <c r="R8" s="76"/>
      <c r="S8" s="76"/>
      <c r="T8" s="76"/>
      <c r="U8" s="76"/>
    </row>
    <row r="9" spans="1:21" x14ac:dyDescent="0.25">
      <c r="B9" s="82" t="s">
        <v>182</v>
      </c>
      <c r="C9" s="82"/>
      <c r="D9" s="82"/>
      <c r="E9" s="82"/>
      <c r="F9" s="82"/>
      <c r="G9" s="82"/>
      <c r="H9" s="82"/>
      <c r="J9" s="22"/>
      <c r="K9" s="78" t="s">
        <v>183</v>
      </c>
      <c r="L9" s="22"/>
      <c r="M9" s="22"/>
      <c r="N9" s="22"/>
      <c r="O9" s="22"/>
      <c r="P9" s="81"/>
      <c r="Q9" s="76"/>
      <c r="R9" s="76"/>
      <c r="S9" s="76"/>
      <c r="T9" s="76"/>
      <c r="U9" s="76"/>
    </row>
    <row r="10" spans="1:21" ht="16.5" thickBot="1" x14ac:dyDescent="0.3">
      <c r="B10" s="71"/>
      <c r="C10" s="71"/>
      <c r="D10" s="71"/>
      <c r="E10" s="71"/>
      <c r="F10" s="71"/>
      <c r="G10" s="71"/>
      <c r="H10" s="71"/>
      <c r="J10" s="22"/>
      <c r="K10" s="22"/>
      <c r="L10" s="22"/>
      <c r="M10" s="22"/>
      <c r="N10" s="22"/>
      <c r="O10" s="22"/>
      <c r="P10" s="77"/>
      <c r="Q10" s="76"/>
      <c r="R10" s="76"/>
      <c r="S10" s="76"/>
      <c r="T10" s="76"/>
      <c r="U10" s="76"/>
    </row>
    <row r="11" spans="1:21" ht="16.5" thickBot="1" x14ac:dyDescent="0.3">
      <c r="B11" s="132"/>
      <c r="C11" s="133" t="s">
        <v>184</v>
      </c>
      <c r="D11" s="134" t="s">
        <v>185</v>
      </c>
      <c r="E11" s="169"/>
      <c r="F11" s="169"/>
      <c r="G11" s="169"/>
      <c r="H11" s="169"/>
      <c r="J11" s="22"/>
      <c r="K11" s="78" t="s">
        <v>186</v>
      </c>
      <c r="L11" s="22"/>
      <c r="M11" s="22"/>
      <c r="N11" s="22"/>
      <c r="O11" s="22"/>
      <c r="P11" s="77"/>
      <c r="Q11" s="76"/>
      <c r="R11" s="76"/>
      <c r="S11" s="76"/>
      <c r="T11" s="76"/>
      <c r="U11" s="76"/>
    </row>
    <row r="12" spans="1:21" ht="15.75" customHeight="1" thickBot="1" x14ac:dyDescent="0.3">
      <c r="B12" s="135" t="s">
        <v>187</v>
      </c>
      <c r="C12" s="136">
        <v>1650</v>
      </c>
      <c r="D12" s="137">
        <v>201</v>
      </c>
      <c r="E12" s="170"/>
      <c r="F12" s="170"/>
      <c r="G12" s="170"/>
      <c r="H12" s="170"/>
      <c r="J12" s="22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1" ht="32.25" thickBot="1" x14ac:dyDescent="0.3">
      <c r="B13" s="135" t="s">
        <v>188</v>
      </c>
      <c r="C13" s="136">
        <v>1500</v>
      </c>
      <c r="D13" s="137">
        <v>233</v>
      </c>
      <c r="E13" s="138"/>
      <c r="F13" s="139"/>
      <c r="G13" s="138"/>
      <c r="H13" s="139"/>
      <c r="J13" s="22"/>
      <c r="K13" s="78" t="s">
        <v>1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 ht="32.25" thickBot="1" x14ac:dyDescent="0.3">
      <c r="B14" s="132" t="s">
        <v>189</v>
      </c>
      <c r="C14" s="140">
        <v>1537</v>
      </c>
      <c r="D14" s="140">
        <v>1537</v>
      </c>
    </row>
    <row r="15" spans="1:21" x14ac:dyDescent="0.25">
      <c r="B15" s="141"/>
      <c r="C15" s="81"/>
      <c r="K15" s="1" t="s">
        <v>183</v>
      </c>
    </row>
    <row r="16" spans="1:21" x14ac:dyDescent="0.25">
      <c r="A16" s="22" t="s">
        <v>180</v>
      </c>
      <c r="B16" s="153" t="s">
        <v>181</v>
      </c>
      <c r="C16" s="153"/>
      <c r="D16" s="153"/>
      <c r="E16" s="153"/>
      <c r="F16" s="153"/>
      <c r="G16" s="153"/>
      <c r="H16" s="153"/>
      <c r="K16" s="25"/>
    </row>
    <row r="17" spans="2:19" x14ac:dyDescent="0.25">
      <c r="B17" s="69"/>
      <c r="G17" s="81"/>
      <c r="H17" s="76"/>
      <c r="K17" s="1" t="s">
        <v>190</v>
      </c>
    </row>
    <row r="18" spans="2:19" x14ac:dyDescent="0.25">
      <c r="B18" s="78" t="s">
        <v>183</v>
      </c>
      <c r="G18" s="77"/>
      <c r="H18" s="76"/>
    </row>
    <row r="19" spans="2:19" x14ac:dyDescent="0.25">
      <c r="G19" s="77"/>
      <c r="H19" s="76"/>
      <c r="K19" s="1" t="s">
        <v>191</v>
      </c>
      <c r="L19" s="19" t="s">
        <v>192</v>
      </c>
      <c r="S19" s="142"/>
    </row>
    <row r="20" spans="2:19" x14ac:dyDescent="0.25">
      <c r="B20" s="78" t="s">
        <v>186</v>
      </c>
      <c r="C20" s="79"/>
      <c r="D20" s="79"/>
      <c r="E20" s="79"/>
      <c r="F20" s="79"/>
      <c r="G20" s="79"/>
      <c r="H20" s="79"/>
      <c r="K20" s="143" t="s">
        <v>193</v>
      </c>
      <c r="L20" s="75">
        <f>C12/C13</f>
        <v>1.1000000000000001</v>
      </c>
    </row>
    <row r="21" spans="2:19" x14ac:dyDescent="0.25">
      <c r="B21" s="79"/>
      <c r="C21" s="79"/>
      <c r="D21" s="79"/>
      <c r="E21" s="79"/>
      <c r="F21" s="79"/>
      <c r="G21" s="79"/>
      <c r="H21" s="79"/>
    </row>
    <row r="22" spans="2:19" x14ac:dyDescent="0.25">
      <c r="B22" s="78" t="s">
        <v>1</v>
      </c>
      <c r="G22" s="77"/>
      <c r="H22" s="76"/>
      <c r="L22" s="20"/>
      <c r="M22" s="20"/>
      <c r="N22" s="20"/>
      <c r="O22" s="20"/>
    </row>
    <row r="23" spans="2:19" x14ac:dyDescent="0.25">
      <c r="K23" s="1" t="s">
        <v>186</v>
      </c>
      <c r="M23" s="14"/>
      <c r="N23" s="15"/>
      <c r="O23" s="16"/>
    </row>
    <row r="24" spans="2:19" x14ac:dyDescent="0.25">
      <c r="K24" s="26"/>
      <c r="M24" s="14"/>
      <c r="N24" s="15"/>
      <c r="O24" s="16"/>
    </row>
    <row r="25" spans="2:19" x14ac:dyDescent="0.25">
      <c r="K25" s="144" t="s">
        <v>194</v>
      </c>
      <c r="M25" s="14"/>
      <c r="N25" s="15"/>
      <c r="O25" s="16"/>
    </row>
    <row r="26" spans="2:19" x14ac:dyDescent="0.25">
      <c r="K26" s="26"/>
      <c r="M26" s="14"/>
      <c r="N26" s="15"/>
      <c r="O26" s="16"/>
    </row>
    <row r="27" spans="2:19" ht="18" x14ac:dyDescent="0.4">
      <c r="K27" s="145" t="s">
        <v>195</v>
      </c>
      <c r="L27" s="1">
        <f>SQRT(D12/D14)</f>
        <v>0.3616272051764739</v>
      </c>
      <c r="M27" s="144" t="s">
        <v>196</v>
      </c>
      <c r="N27" s="15"/>
      <c r="O27" s="17"/>
    </row>
    <row r="28" spans="2:19" x14ac:dyDescent="0.25">
      <c r="K28" s="145" t="s">
        <v>197</v>
      </c>
      <c r="L28" s="1">
        <f>D12/D13</f>
        <v>0.86266094420600858</v>
      </c>
      <c r="M28" s="144" t="s">
        <v>198</v>
      </c>
      <c r="O28" s="18"/>
      <c r="S28" s="142"/>
    </row>
    <row r="29" spans="2:19" x14ac:dyDescent="0.25">
      <c r="K29" s="146" t="s">
        <v>191</v>
      </c>
      <c r="L29" s="19" t="s">
        <v>199</v>
      </c>
      <c r="M29" s="144"/>
      <c r="O29" s="18"/>
      <c r="S29" s="142"/>
    </row>
    <row r="30" spans="2:19" x14ac:dyDescent="0.25">
      <c r="K30" s="75" t="s">
        <v>193</v>
      </c>
      <c r="L30" s="75">
        <f>(L27*L28) + (1-L27)</f>
        <v>0.95033446109164299</v>
      </c>
    </row>
    <row r="31" spans="2:19" x14ac:dyDescent="0.25">
      <c r="M31" s="24"/>
      <c r="O31" s="18"/>
    </row>
    <row r="34" spans="11:15" x14ac:dyDescent="0.25">
      <c r="K34" s="25"/>
    </row>
    <row r="37" spans="11:15" x14ac:dyDescent="0.25">
      <c r="K37" s="19"/>
    </row>
    <row r="38" spans="11:15" x14ac:dyDescent="0.25">
      <c r="K38" s="26"/>
    </row>
    <row r="39" spans="11:15" x14ac:dyDescent="0.25">
      <c r="L39" s="20"/>
      <c r="M39" s="20"/>
      <c r="N39" s="20"/>
      <c r="O39" s="20"/>
    </row>
    <row r="40" spans="11:15" x14ac:dyDescent="0.25">
      <c r="M40" s="14"/>
      <c r="N40" s="15"/>
      <c r="O40" s="16"/>
    </row>
    <row r="41" spans="11:15" x14ac:dyDescent="0.25">
      <c r="M41" s="14"/>
      <c r="N41" s="15"/>
      <c r="O41" s="16"/>
    </row>
    <row r="42" spans="11:15" x14ac:dyDescent="0.25">
      <c r="M42" s="14"/>
      <c r="N42" s="15"/>
      <c r="O42" s="16"/>
    </row>
    <row r="43" spans="11:15" x14ac:dyDescent="0.25">
      <c r="M43" s="14"/>
      <c r="N43" s="15"/>
      <c r="O43" s="16"/>
    </row>
    <row r="44" spans="11:15" ht="18" x14ac:dyDescent="0.4">
      <c r="M44" s="14"/>
      <c r="N44" s="15"/>
      <c r="O44" s="17"/>
    </row>
    <row r="45" spans="11:15" x14ac:dyDescent="0.25">
      <c r="O45" s="18"/>
    </row>
    <row r="47" spans="11:15" x14ac:dyDescent="0.25">
      <c r="M47" s="24"/>
      <c r="O47" s="18"/>
    </row>
  </sheetData>
  <sheetProtection formatCells="0" formatColumns="0" formatRows="0" insertColumns="0" insertRows="0"/>
  <mergeCells count="6">
    <mergeCell ref="B16:H16"/>
    <mergeCell ref="K7:U7"/>
    <mergeCell ref="E11:F11"/>
    <mergeCell ref="G11:H11"/>
    <mergeCell ref="E12:F12"/>
    <mergeCell ref="G12:H12"/>
  </mergeCells>
  <pageMargins left="0.7" right="0.7" top="0.75" bottom="0.75" header="0.3" footer="0.3"/>
  <pageSetup scale="68" orientation="portrait" horizontalDpi="4294967293" verticalDpi="300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87F8BE90AF04C9C0E755B7A54BE1F" ma:contentTypeVersion="8" ma:contentTypeDescription="Create a new document." ma:contentTypeScope="" ma:versionID="baa9af011de380a07db3e5aa3ebf2d99">
  <xsd:schema xmlns:xsd="http://www.w3.org/2001/XMLSchema" xmlns:xs="http://www.w3.org/2001/XMLSchema" xmlns:p="http://schemas.microsoft.com/office/2006/metadata/properties" xmlns:ns3="1c1f44d3-7cb7-4840-a41f-b489ae367cc5" targetNamespace="http://schemas.microsoft.com/office/2006/metadata/properties" ma:root="true" ma:fieldsID="908ca2e89536b3c28c156e25406d657c" ns3:_="">
    <xsd:import namespace="1c1f44d3-7cb7-4840-a41f-b489ae367c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f44d3-7cb7-4840-a41f-b489ae367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C05C1-ABD7-4139-8128-684A1F3FE0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EE503-2E66-41E4-8BF7-55E6043AA14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c1f44d3-7cb7-4840-a41f-b489ae367c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DACA51-CA45-4334-9C12-A880297C7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f44d3-7cb7-4840-a41f-b489ae367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5</vt:lpstr>
      <vt:lpstr>Question 6</vt:lpstr>
      <vt:lpstr>Question 7</vt:lpstr>
      <vt:lpstr>Question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 Zionce</cp:lastModifiedBy>
  <cp:lastPrinted>2020-10-01T03:05:22Z</cp:lastPrinted>
  <dcterms:created xsi:type="dcterms:W3CDTF">2015-06-05T18:17:20Z</dcterms:created>
  <dcterms:modified xsi:type="dcterms:W3CDTF">2021-07-22T20:22:47Z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0x01010028A87F8BE90AF04C9C0E755B7A54BE1F</vt:lpwstr>
  </property>
</Properties>
</file>