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lennox\Documents\SOA GI Track\Exam1\2021 Spring\Model Solutions\"/>
    </mc:Choice>
  </mc:AlternateContent>
  <xr:revisionPtr revIDLastSave="0" documentId="8_{CDCEBF1A-429D-4F35-82C8-40063EFDA161}" xr6:coauthVersionLast="46" xr6:coauthVersionMax="46" xr10:uidLastSave="{00000000-0000-0000-0000-000000000000}"/>
  <bookViews>
    <workbookView xWindow="28680" yWindow="-120" windowWidth="29040" windowHeight="15840" tabRatio="784" xr2:uid="{00000000-000D-0000-FFFF-FFFF00000000}"/>
  </bookViews>
  <sheets>
    <sheet name="Question 1" sheetId="37" r:id="rId1"/>
    <sheet name="Question 2" sheetId="38" r:id="rId2"/>
    <sheet name="Question 3" sheetId="39" r:id="rId3"/>
    <sheet name="Question 4" sheetId="40" r:id="rId4"/>
    <sheet name="Question 5" sheetId="41" r:id="rId5"/>
    <sheet name="Question 6" sheetId="42" r:id="rId6"/>
    <sheet name="Question 7" sheetId="43" r:id="rId7"/>
    <sheet name="Question 8" sheetId="44" r:id="rId8"/>
    <sheet name="Question 9" sheetId="45" r:id="rId9"/>
    <sheet name="Question 10" sheetId="46" r:id="rId10"/>
    <sheet name="Question 11" sheetId="47" r:id="rId11"/>
    <sheet name="Question 12" sheetId="48" r:id="rId12"/>
    <sheet name="Question 13" sheetId="49" r:id="rId13"/>
    <sheet name="Question 14" sheetId="50" r:id="rId14"/>
    <sheet name="Question 15" sheetId="51" r:id="rId15"/>
    <sheet name="Question 16" sheetId="52" r:id="rId16"/>
    <sheet name="Question 17" sheetId="53" r:id="rId17"/>
    <sheet name="Question 18" sheetId="54" r:id="rId18"/>
    <sheet name="Question 19" sheetId="55"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5" i="55" l="1"/>
  <c r="B76" i="55" s="1"/>
  <c r="B77" i="55" s="1"/>
  <c r="B78" i="55" s="1"/>
  <c r="C66" i="55"/>
  <c r="C65" i="55"/>
  <c r="C64" i="55"/>
  <c r="C63" i="55"/>
  <c r="C62" i="55"/>
  <c r="C61" i="55"/>
  <c r="C53" i="55"/>
  <c r="D66" i="55" s="1"/>
  <c r="C52" i="55"/>
  <c r="D65" i="55" s="1"/>
  <c r="C51" i="55"/>
  <c r="D64" i="55" s="1"/>
  <c r="C50" i="55"/>
  <c r="D63" i="55" s="1"/>
  <c r="C49" i="55"/>
  <c r="D62" i="55" s="1"/>
  <c r="C48" i="55"/>
  <c r="D61" i="55" s="1"/>
  <c r="B53" i="55"/>
  <c r="B66" i="55" s="1"/>
  <c r="B52" i="55"/>
  <c r="B65" i="55" s="1"/>
  <c r="B51" i="55"/>
  <c r="B64" i="55" s="1"/>
  <c r="B50" i="55"/>
  <c r="B63" i="55" s="1"/>
  <c r="B49" i="55"/>
  <c r="B62" i="55" s="1"/>
  <c r="B48" i="55"/>
  <c r="B61" i="55" s="1"/>
  <c r="H45" i="55"/>
  <c r="D48" i="55" s="1"/>
  <c r="C32" i="55"/>
  <c r="D31" i="55"/>
  <c r="C31" i="55"/>
  <c r="E30" i="55"/>
  <c r="D30" i="55"/>
  <c r="C30" i="55"/>
  <c r="F29" i="55"/>
  <c r="F34" i="55" s="1"/>
  <c r="F35" i="55" s="1"/>
  <c r="F36" i="55" s="1"/>
  <c r="E29" i="55"/>
  <c r="D29" i="55"/>
  <c r="C29" i="55"/>
  <c r="G28" i="55"/>
  <c r="G34" i="55" s="1"/>
  <c r="G35" i="55" s="1"/>
  <c r="G36" i="55" s="1"/>
  <c r="G45" i="55" s="1"/>
  <c r="D49" i="55" s="1"/>
  <c r="E62" i="55" s="1"/>
  <c r="F62" i="55" s="1"/>
  <c r="F28" i="55"/>
  <c r="E28" i="55"/>
  <c r="D28" i="55"/>
  <c r="C28" i="55"/>
  <c r="B32" i="55"/>
  <c r="B31" i="55"/>
  <c r="B30" i="55"/>
  <c r="B29" i="55"/>
  <c r="B28" i="55"/>
  <c r="H62" i="55" l="1"/>
  <c r="E48" i="55"/>
  <c r="F48" i="55" s="1"/>
  <c r="C73" i="55" s="1"/>
  <c r="E73" i="55" s="1"/>
  <c r="F73" i="55" s="1"/>
  <c r="G73" i="55" s="1"/>
  <c r="E61" i="55"/>
  <c r="F61" i="55" s="1"/>
  <c r="H61" i="55" s="1"/>
  <c r="I61" i="55" s="1"/>
  <c r="D73" i="55" s="1"/>
  <c r="D67" i="55"/>
  <c r="I62" i="55"/>
  <c r="D74" i="55" s="1"/>
  <c r="E49" i="55"/>
  <c r="F49" i="55" s="1"/>
  <c r="C74" i="55" s="1"/>
  <c r="E74" i="55" s="1"/>
  <c r="F74" i="55" s="1"/>
  <c r="G74" i="55" s="1"/>
  <c r="C54" i="55"/>
  <c r="D35" i="55"/>
  <c r="D36" i="55" s="1"/>
  <c r="F45" i="55"/>
  <c r="D50" i="55" s="1"/>
  <c r="D34" i="55"/>
  <c r="E34" i="55"/>
  <c r="E35" i="55" s="1"/>
  <c r="E36" i="55" s="1"/>
  <c r="C35" i="55"/>
  <c r="C36" i="55" s="1"/>
  <c r="C34" i="55"/>
  <c r="E50" i="55" l="1"/>
  <c r="F50" i="55" s="1"/>
  <c r="C75" i="55" s="1"/>
  <c r="E75" i="55" s="1"/>
  <c r="F75" i="55" s="1"/>
  <c r="G75" i="55" s="1"/>
  <c r="E63" i="55"/>
  <c r="F63" i="55" s="1"/>
  <c r="H63" i="55" s="1"/>
  <c r="I63" i="55" s="1"/>
  <c r="D75" i="55" s="1"/>
  <c r="C45" i="55"/>
  <c r="D53" i="55" s="1"/>
  <c r="E45" i="55"/>
  <c r="D51" i="55" s="1"/>
  <c r="D45" i="55"/>
  <c r="D52" i="55" s="1"/>
  <c r="E52" i="55" l="1"/>
  <c r="F52" i="55" s="1"/>
  <c r="C77" i="55" s="1"/>
  <c r="E77" i="55" s="1"/>
  <c r="F77" i="55" s="1"/>
  <c r="G77" i="55" s="1"/>
  <c r="E65" i="55"/>
  <c r="F65" i="55" s="1"/>
  <c r="H65" i="55" s="1"/>
  <c r="I65" i="55" s="1"/>
  <c r="D77" i="55" s="1"/>
  <c r="E53" i="55"/>
  <c r="F53" i="55" s="1"/>
  <c r="C78" i="55" s="1"/>
  <c r="E66" i="55"/>
  <c r="F66" i="55" s="1"/>
  <c r="H66" i="55" s="1"/>
  <c r="I66" i="55" s="1"/>
  <c r="D78" i="55" s="1"/>
  <c r="E78" i="55" s="1"/>
  <c r="F78" i="55" s="1"/>
  <c r="G78" i="55" s="1"/>
  <c r="E51" i="55"/>
  <c r="F51" i="55" s="1"/>
  <c r="C76" i="55" s="1"/>
  <c r="E76" i="55" s="1"/>
  <c r="F76" i="55" s="1"/>
  <c r="G76" i="55" s="1"/>
  <c r="G79" i="55" s="1"/>
  <c r="E64" i="55"/>
  <c r="F64" i="55" s="1"/>
  <c r="H64" i="55" s="1"/>
  <c r="F79" i="55" l="1"/>
  <c r="E54" i="55"/>
  <c r="H67" i="55"/>
  <c r="I64" i="55"/>
  <c r="D76" i="55" s="1"/>
  <c r="M87" i="52" l="1"/>
  <c r="L87" i="52"/>
  <c r="M86" i="52"/>
  <c r="L86" i="52"/>
  <c r="M85" i="52"/>
  <c r="L85" i="52"/>
  <c r="M84" i="52"/>
  <c r="L84" i="52"/>
  <c r="M83" i="52"/>
  <c r="L83" i="52"/>
  <c r="P76" i="52"/>
  <c r="P79" i="52" s="1"/>
  <c r="O76" i="52"/>
  <c r="N76" i="52"/>
  <c r="N79" i="52" s="1"/>
  <c r="O79" i="52" s="1"/>
  <c r="N85" i="52" l="1"/>
  <c r="P85" i="52" s="1"/>
  <c r="N83" i="52"/>
  <c r="P83" i="52" s="1"/>
  <c r="N84" i="52"/>
  <c r="P84" i="52" s="1"/>
  <c r="N86" i="52"/>
  <c r="P86" i="52" s="1"/>
  <c r="N87" i="52"/>
  <c r="P87" i="52" s="1"/>
  <c r="O85" i="52"/>
  <c r="Q85" i="52" s="1"/>
  <c r="O86" i="52"/>
  <c r="Q86" i="52" s="1"/>
  <c r="O87" i="52"/>
  <c r="Q87" i="52" s="1"/>
  <c r="O83" i="52"/>
  <c r="Q83" i="52" s="1"/>
  <c r="O84" i="52"/>
  <c r="Q84" i="52" s="1"/>
  <c r="P88" i="52" l="1"/>
  <c r="Q88" i="52"/>
  <c r="E24" i="54" l="1"/>
  <c r="E23" i="54"/>
  <c r="E22" i="54"/>
  <c r="E21" i="54"/>
  <c r="E26" i="54" s="1"/>
  <c r="D24" i="54"/>
  <c r="D23" i="54"/>
  <c r="D22" i="54"/>
  <c r="D21" i="54"/>
  <c r="C25" i="54"/>
  <c r="C24" i="54"/>
  <c r="C23" i="54"/>
  <c r="C22" i="54"/>
  <c r="C21" i="54"/>
  <c r="B24" i="54"/>
  <c r="B23" i="54"/>
  <c r="B22" i="54"/>
  <c r="B21" i="54"/>
  <c r="E28" i="54"/>
  <c r="F33" i="54" s="1"/>
  <c r="F32" i="54" l="1"/>
  <c r="D26" i="54"/>
  <c r="I33" i="50"/>
  <c r="K33" i="50" s="1"/>
  <c r="M33" i="50" s="1"/>
  <c r="P33" i="50" s="1"/>
  <c r="T33" i="50" s="1"/>
  <c r="X33" i="50" s="1"/>
  <c r="AB33" i="50" s="1"/>
  <c r="F35" i="54" l="1"/>
  <c r="G79" i="52" l="1"/>
  <c r="E79" i="52"/>
  <c r="F79" i="52" s="1"/>
  <c r="F41" i="52" l="1"/>
  <c r="E41" i="52"/>
  <c r="D41" i="52"/>
  <c r="C49" i="52"/>
  <c r="C48" i="52"/>
  <c r="C47" i="52"/>
  <c r="C46" i="52"/>
  <c r="C45" i="52"/>
  <c r="C44" i="52"/>
  <c r="F44" i="52" s="1"/>
  <c r="I44" i="52" s="1"/>
  <c r="C43" i="52"/>
  <c r="F43" i="52" s="1"/>
  <c r="I43" i="52" s="1"/>
  <c r="C42" i="52"/>
  <c r="D42" i="52" s="1"/>
  <c r="G42" i="52" s="1"/>
  <c r="E46" i="52" l="1"/>
  <c r="H46" i="52" s="1"/>
  <c r="E48" i="52"/>
  <c r="H48" i="52" s="1"/>
  <c r="E45" i="52"/>
  <c r="H45" i="52" s="1"/>
  <c r="E47" i="52"/>
  <c r="H47" i="52" s="1"/>
  <c r="E42" i="52"/>
  <c r="H42" i="52" s="1"/>
  <c r="D49" i="52"/>
  <c r="G49" i="52" s="1"/>
  <c r="F42" i="52"/>
  <c r="F45" i="52"/>
  <c r="D45" i="52"/>
  <c r="D48" i="52"/>
  <c r="G48" i="52" s="1"/>
  <c r="E43" i="52"/>
  <c r="D46" i="52"/>
  <c r="F48" i="52"/>
  <c r="D44" i="52"/>
  <c r="G44" i="52" s="1"/>
  <c r="F46" i="52"/>
  <c r="E49" i="52"/>
  <c r="H49" i="52" s="1"/>
  <c r="E44" i="52"/>
  <c r="H44" i="52" s="1"/>
  <c r="D47" i="52"/>
  <c r="G47" i="52" s="1"/>
  <c r="F49" i="52"/>
  <c r="F47" i="52"/>
  <c r="D43" i="52"/>
  <c r="C42" i="49"/>
  <c r="D42" i="49" s="1"/>
  <c r="E42" i="49" s="1"/>
  <c r="F42" i="49" s="1"/>
  <c r="C41" i="49"/>
  <c r="D41" i="49" s="1"/>
  <c r="E41" i="49" s="1"/>
  <c r="F41" i="49" s="1"/>
  <c r="C40" i="49"/>
  <c r="D40" i="49" s="1"/>
  <c r="E40" i="49" s="1"/>
  <c r="F40" i="49" s="1"/>
  <c r="D39" i="49"/>
  <c r="E39" i="49" s="1"/>
  <c r="F39" i="49" s="1"/>
  <c r="D22" i="49"/>
  <c r="E22" i="49" s="1"/>
  <c r="F22" i="49" s="1"/>
  <c r="E46" i="49" s="1"/>
  <c r="D21" i="49"/>
  <c r="E21" i="49" s="1"/>
  <c r="F21" i="49" s="1"/>
  <c r="D20" i="49"/>
  <c r="E20" i="49" s="1"/>
  <c r="F20" i="49" s="1"/>
  <c r="D19" i="49"/>
  <c r="E19" i="49" s="1"/>
  <c r="F19" i="49" s="1"/>
  <c r="G100" i="48"/>
  <c r="G101" i="48" s="1"/>
  <c r="G98" i="48"/>
  <c r="B65" i="48"/>
  <c r="B64" i="48"/>
  <c r="B63" i="48"/>
  <c r="B62" i="48"/>
  <c r="D62" i="48" s="1"/>
  <c r="E62" i="48" s="1"/>
  <c r="B61" i="48"/>
  <c r="D61" i="48" s="1"/>
  <c r="E61" i="48" s="1"/>
  <c r="C24" i="48"/>
  <c r="C25" i="48"/>
  <c r="C26" i="48"/>
  <c r="C27" i="48"/>
  <c r="D27" i="48" s="1"/>
  <c r="C28" i="48"/>
  <c r="C29" i="48"/>
  <c r="C30" i="48"/>
  <c r="D30" i="48" s="1"/>
  <c r="C31" i="48"/>
  <c r="C32" i="48"/>
  <c r="C23" i="48"/>
  <c r="I48" i="52" l="1"/>
  <c r="C86" i="52"/>
  <c r="E86" i="52" s="1"/>
  <c r="G86" i="52" s="1"/>
  <c r="D86" i="52"/>
  <c r="F86" i="52" s="1"/>
  <c r="H86" i="52" s="1"/>
  <c r="C84" i="52"/>
  <c r="E84" i="52" s="1"/>
  <c r="G84" i="52" s="1"/>
  <c r="D84" i="52"/>
  <c r="F84" i="52" s="1"/>
  <c r="H84" i="52" s="1"/>
  <c r="C87" i="52"/>
  <c r="E87" i="52" s="1"/>
  <c r="G87" i="52" s="1"/>
  <c r="D87" i="52"/>
  <c r="F87" i="52" s="1"/>
  <c r="H87" i="52" s="1"/>
  <c r="I47" i="52"/>
  <c r="L47" i="52" s="1"/>
  <c r="D85" i="52"/>
  <c r="F85" i="52" s="1"/>
  <c r="H85" i="52" s="1"/>
  <c r="C85" i="52"/>
  <c r="E85" i="52" s="1"/>
  <c r="G85" i="52" s="1"/>
  <c r="L48" i="52"/>
  <c r="I45" i="52"/>
  <c r="L45" i="52" s="1"/>
  <c r="C83" i="52"/>
  <c r="E83" i="52" s="1"/>
  <c r="G83" i="52" s="1"/>
  <c r="D83" i="52"/>
  <c r="F83" i="52" s="1"/>
  <c r="H83" i="52" s="1"/>
  <c r="G43" i="52"/>
  <c r="K43" i="52" s="1"/>
  <c r="G45" i="52"/>
  <c r="J45" i="52" s="1"/>
  <c r="I46" i="52"/>
  <c r="L46" i="52" s="1"/>
  <c r="G46" i="52"/>
  <c r="K46" i="52" s="1"/>
  <c r="I42" i="52"/>
  <c r="L42" i="52" s="1"/>
  <c r="I49" i="52"/>
  <c r="L49" i="52" s="1"/>
  <c r="H43" i="52"/>
  <c r="L43" i="52" s="1"/>
  <c r="K48" i="52"/>
  <c r="J44" i="52"/>
  <c r="J42" i="52"/>
  <c r="J49" i="52"/>
  <c r="L44" i="52"/>
  <c r="K44" i="52"/>
  <c r="J47" i="52"/>
  <c r="J48" i="52"/>
  <c r="E45" i="49"/>
  <c r="F46" i="49"/>
  <c r="F45" i="49"/>
  <c r="E24" i="49"/>
  <c r="G102" i="48"/>
  <c r="E119" i="48" s="1"/>
  <c r="D31" i="48"/>
  <c r="F62" i="48"/>
  <c r="F61" i="48"/>
  <c r="D28" i="48"/>
  <c r="D25" i="48"/>
  <c r="D32" i="48"/>
  <c r="D24" i="48"/>
  <c r="D26" i="48"/>
  <c r="D63" i="48"/>
  <c r="D29" i="48"/>
  <c r="D96" i="50"/>
  <c r="D95" i="50"/>
  <c r="D94" i="50"/>
  <c r="D93" i="50"/>
  <c r="D92" i="50"/>
  <c r="D91" i="50"/>
  <c r="D90" i="50"/>
  <c r="D89" i="50"/>
  <c r="D88" i="50"/>
  <c r="D87" i="50"/>
  <c r="C96" i="50"/>
  <c r="C95" i="50"/>
  <c r="C94" i="50"/>
  <c r="C93" i="50"/>
  <c r="C92" i="50"/>
  <c r="C91" i="50"/>
  <c r="C90" i="50"/>
  <c r="C89" i="50"/>
  <c r="C88" i="50"/>
  <c r="C87" i="50"/>
  <c r="B96" i="50"/>
  <c r="B95" i="50"/>
  <c r="B94" i="50"/>
  <c r="B93" i="50"/>
  <c r="B92" i="50"/>
  <c r="B91" i="50"/>
  <c r="B90" i="50"/>
  <c r="B89" i="50"/>
  <c r="B88" i="50"/>
  <c r="B87" i="50"/>
  <c r="F82" i="50"/>
  <c r="F81" i="50"/>
  <c r="F80" i="50"/>
  <c r="F79" i="50"/>
  <c r="F78" i="50"/>
  <c r="F77" i="50"/>
  <c r="F76" i="50"/>
  <c r="F75" i="50"/>
  <c r="F74" i="50"/>
  <c r="F73" i="50"/>
  <c r="E82" i="50"/>
  <c r="E81" i="50"/>
  <c r="E80" i="50"/>
  <c r="E79" i="50"/>
  <c r="E78" i="50"/>
  <c r="E77" i="50"/>
  <c r="E76" i="50"/>
  <c r="E75" i="50"/>
  <c r="E74" i="50"/>
  <c r="E73" i="50"/>
  <c r="C82" i="50"/>
  <c r="C81" i="50"/>
  <c r="C80" i="50"/>
  <c r="C79" i="50"/>
  <c r="C78" i="50"/>
  <c r="D78" i="50" s="1"/>
  <c r="C77" i="50"/>
  <c r="D77" i="50" s="1"/>
  <c r="C76" i="50"/>
  <c r="C75" i="50"/>
  <c r="D75" i="50" s="1"/>
  <c r="C74" i="50"/>
  <c r="C73" i="50"/>
  <c r="D82" i="50"/>
  <c r="D81" i="50"/>
  <c r="D80" i="50"/>
  <c r="D79" i="50"/>
  <c r="D76" i="50"/>
  <c r="D74" i="50"/>
  <c r="D73" i="50"/>
  <c r="B82" i="50"/>
  <c r="B81" i="50"/>
  <c r="B80" i="50"/>
  <c r="B79" i="50"/>
  <c r="B78" i="50"/>
  <c r="B77" i="50"/>
  <c r="B76" i="50"/>
  <c r="B75" i="50"/>
  <c r="B74" i="50"/>
  <c r="B73" i="50"/>
  <c r="A46" i="50"/>
  <c r="A45" i="50"/>
  <c r="A44" i="50"/>
  <c r="C44" i="50"/>
  <c r="K47" i="52" l="1"/>
  <c r="K45" i="52"/>
  <c r="G88" i="52"/>
  <c r="H88" i="52"/>
  <c r="K42" i="52"/>
  <c r="J46" i="52"/>
  <c r="J43" i="52"/>
  <c r="J50" i="52" s="1"/>
  <c r="K49" i="52"/>
  <c r="L50" i="52"/>
  <c r="F48" i="49"/>
  <c r="F49" i="49"/>
  <c r="E25" i="49"/>
  <c r="E63" i="48"/>
  <c r="F63" i="48" s="1"/>
  <c r="D34" i="48"/>
  <c r="D33" i="48"/>
  <c r="D64" i="48"/>
  <c r="C97" i="50"/>
  <c r="D97" i="50"/>
  <c r="F83" i="50"/>
  <c r="E83" i="50"/>
  <c r="D83" i="50"/>
  <c r="C45" i="50"/>
  <c r="K50" i="52" l="1"/>
  <c r="E64" i="48"/>
  <c r="F64" i="48" s="1"/>
  <c r="D65" i="48"/>
  <c r="E84" i="50"/>
  <c r="C46" i="50"/>
  <c r="M48" i="50"/>
  <c r="L48" i="50"/>
  <c r="E48" i="50"/>
  <c r="D48" i="50"/>
  <c r="J48" i="50"/>
  <c r="H48" i="50"/>
  <c r="G48" i="50"/>
  <c r="F48" i="50"/>
  <c r="K48" i="50"/>
  <c r="I48" i="50"/>
  <c r="E65" i="48" l="1"/>
  <c r="F65" i="48" s="1"/>
  <c r="F69" i="48" s="1"/>
  <c r="F68" i="48"/>
  <c r="E75" i="48" s="1"/>
  <c r="E117" i="48" s="1"/>
  <c r="L49" i="50"/>
  <c r="B64" i="50" s="1"/>
  <c r="D64" i="50" s="1"/>
  <c r="D49" i="50"/>
  <c r="B56" i="50" s="1"/>
  <c r="D56" i="50" s="1"/>
  <c r="K49" i="50"/>
  <c r="B63" i="50" s="1"/>
  <c r="D63" i="50" s="1"/>
  <c r="J49" i="50"/>
  <c r="B62" i="50" s="1"/>
  <c r="D62" i="50" s="1"/>
  <c r="I49" i="50"/>
  <c r="B61" i="50" s="1"/>
  <c r="D61" i="50" s="1"/>
  <c r="M49" i="50"/>
  <c r="B65" i="50" s="1"/>
  <c r="H49" i="50"/>
  <c r="B60" i="50" s="1"/>
  <c r="D60" i="50" s="1"/>
  <c r="G49" i="50"/>
  <c r="B59" i="50" s="1"/>
  <c r="D59" i="50" s="1"/>
  <c r="F49" i="50"/>
  <c r="B58" i="50" s="1"/>
  <c r="D58" i="50" s="1"/>
  <c r="E49" i="50"/>
  <c r="B57" i="50" s="1"/>
  <c r="D57" i="50" s="1"/>
  <c r="D66" i="50" s="1"/>
  <c r="E120" i="48" l="1"/>
  <c r="E121" i="48" s="1"/>
  <c r="F67" i="48"/>
  <c r="E61" i="50"/>
  <c r="F61" i="50" s="1"/>
  <c r="E57" i="50"/>
  <c r="F57" i="50" s="1"/>
  <c r="E60" i="50"/>
  <c r="F60" i="50" s="1"/>
  <c r="E65" i="50"/>
  <c r="F65" i="50" s="1"/>
  <c r="E59" i="50"/>
  <c r="F59" i="50" s="1"/>
  <c r="E58" i="50"/>
  <c r="F58" i="50" s="1"/>
  <c r="E64" i="50"/>
  <c r="F64" i="50" s="1"/>
  <c r="E56" i="50"/>
  <c r="F56" i="50" s="1"/>
  <c r="E63" i="50"/>
  <c r="F63" i="50" s="1"/>
  <c r="E62" i="50"/>
  <c r="F62" i="50" s="1"/>
  <c r="F66" i="50" l="1"/>
  <c r="F94" i="46" l="1"/>
  <c r="E94" i="46"/>
  <c r="E93" i="46"/>
  <c r="D94" i="46"/>
  <c r="D93" i="46"/>
  <c r="F93" i="46" s="1"/>
  <c r="D92" i="46"/>
  <c r="E92" i="46" s="1"/>
  <c r="C66" i="46"/>
  <c r="C65" i="46"/>
  <c r="C64" i="46"/>
  <c r="D45" i="46"/>
  <c r="D44" i="46"/>
  <c r="D46" i="46" s="1"/>
  <c r="D48" i="46" s="1"/>
  <c r="E26" i="46"/>
  <c r="E30" i="46" s="1"/>
  <c r="D71" i="46" l="1"/>
  <c r="D73" i="46" s="1"/>
  <c r="F92" i="46"/>
  <c r="D95" i="46"/>
  <c r="F95" i="46"/>
  <c r="E95" i="46"/>
  <c r="E29" i="46"/>
  <c r="G121" i="45"/>
  <c r="F77" i="45"/>
  <c r="E77" i="45"/>
  <c r="B77" i="45"/>
  <c r="F76" i="45"/>
  <c r="B76" i="45"/>
  <c r="B75" i="45"/>
  <c r="B74" i="45"/>
  <c r="C59" i="45"/>
  <c r="D58" i="45"/>
  <c r="C58" i="45"/>
  <c r="E57" i="45"/>
  <c r="D57" i="45"/>
  <c r="C57" i="45"/>
  <c r="C65" i="45" s="1"/>
  <c r="F56" i="45"/>
  <c r="E56" i="45"/>
  <c r="E64" i="45" s="1"/>
  <c r="D56" i="45"/>
  <c r="C56" i="45"/>
  <c r="G55" i="45"/>
  <c r="F55" i="45"/>
  <c r="F63" i="45" s="1"/>
  <c r="E55" i="45"/>
  <c r="D55" i="45"/>
  <c r="D63" i="45" s="1"/>
  <c r="C55" i="45"/>
  <c r="C51" i="45"/>
  <c r="D50" i="45"/>
  <c r="C50" i="45"/>
  <c r="E49" i="45"/>
  <c r="D49" i="45"/>
  <c r="C49" i="45"/>
  <c r="F48" i="45"/>
  <c r="E48" i="45"/>
  <c r="D48" i="45"/>
  <c r="C48" i="45"/>
  <c r="G47" i="45"/>
  <c r="F47" i="45"/>
  <c r="E47" i="45"/>
  <c r="D47" i="45"/>
  <c r="C47" i="45"/>
  <c r="C66" i="45"/>
  <c r="F98" i="46" l="1"/>
  <c r="F97" i="46"/>
  <c r="D66" i="45"/>
  <c r="D94" i="45" s="1"/>
  <c r="E63" i="45"/>
  <c r="D65" i="45"/>
  <c r="D76" i="45" s="1"/>
  <c r="C76" i="45"/>
  <c r="E74" i="45"/>
  <c r="D64" i="45"/>
  <c r="D75" i="45" s="1"/>
  <c r="F64" i="45"/>
  <c r="C64" i="45"/>
  <c r="C75" i="45" s="1"/>
  <c r="E65" i="45"/>
  <c r="G63" i="45"/>
  <c r="G91" i="45" s="1"/>
  <c r="G99" i="45" s="1"/>
  <c r="G107" i="45" s="1"/>
  <c r="C124" i="45" s="1"/>
  <c r="C67" i="45"/>
  <c r="C63" i="45"/>
  <c r="C41" i="44"/>
  <c r="C40" i="44"/>
  <c r="C39" i="44"/>
  <c r="C38" i="44"/>
  <c r="D38" i="44" s="1"/>
  <c r="E38" i="44" s="1"/>
  <c r="C37" i="44"/>
  <c r="C36" i="44"/>
  <c r="D36" i="44" s="1"/>
  <c r="E36" i="44" s="1"/>
  <c r="C35" i="44"/>
  <c r="C34" i="44"/>
  <c r="D34" i="44" s="1"/>
  <c r="E34" i="44" s="1"/>
  <c r="C33" i="44"/>
  <c r="D33" i="44" s="1"/>
  <c r="E33" i="44" s="1"/>
  <c r="E40" i="44"/>
  <c r="E39" i="44"/>
  <c r="D41" i="44"/>
  <c r="E41" i="44" s="1"/>
  <c r="D40" i="44"/>
  <c r="D39" i="44"/>
  <c r="D37" i="44"/>
  <c r="E37" i="44" s="1"/>
  <c r="D35" i="44"/>
  <c r="E35" i="44" s="1"/>
  <c r="F74" i="45" l="1"/>
  <c r="F92" i="45"/>
  <c r="C77" i="45"/>
  <c r="C95" i="45"/>
  <c r="E75" i="45"/>
  <c r="E93" i="45"/>
  <c r="D93" i="45"/>
  <c r="D102" i="45"/>
  <c r="C74" i="45"/>
  <c r="D74" i="45"/>
  <c r="G86" i="43"/>
  <c r="F86" i="43"/>
  <c r="E86" i="43"/>
  <c r="D86" i="43"/>
  <c r="H86" i="43" s="1"/>
  <c r="H90" i="43" s="1"/>
  <c r="I90" i="43" s="1"/>
  <c r="F44" i="43"/>
  <c r="F52" i="43" s="1"/>
  <c r="G61" i="43" s="1"/>
  <c r="G87" i="43" s="1"/>
  <c r="E44" i="43"/>
  <c r="E52" i="43" s="1"/>
  <c r="F61" i="43" s="1"/>
  <c r="F87" i="43" s="1"/>
  <c r="D44" i="43"/>
  <c r="D52" i="43" s="1"/>
  <c r="C44" i="43"/>
  <c r="C52" i="43" s="1"/>
  <c r="F43" i="43"/>
  <c r="F51" i="43" s="1"/>
  <c r="E43" i="43"/>
  <c r="E51" i="43" s="1"/>
  <c r="D43" i="43"/>
  <c r="D51" i="43" s="1"/>
  <c r="C43" i="43"/>
  <c r="C51" i="43" s="1"/>
  <c r="F42" i="43"/>
  <c r="F50" i="43" s="1"/>
  <c r="E42" i="43"/>
  <c r="E50" i="43" s="1"/>
  <c r="D42" i="43"/>
  <c r="D50" i="43" s="1"/>
  <c r="C42" i="43"/>
  <c r="C50" i="43" s="1"/>
  <c r="B42" i="43"/>
  <c r="B43" i="43" s="1"/>
  <c r="B44" i="43" s="1"/>
  <c r="F41" i="43"/>
  <c r="F49" i="43" s="1"/>
  <c r="E41" i="43"/>
  <c r="E49" i="43" s="1"/>
  <c r="D41" i="43"/>
  <c r="D49" i="43" s="1"/>
  <c r="C41" i="43"/>
  <c r="C49" i="43" s="1"/>
  <c r="D110" i="45" l="1"/>
  <c r="E101" i="45"/>
  <c r="E109" i="45" s="1"/>
  <c r="E92" i="45"/>
  <c r="C103" i="45"/>
  <c r="C111" i="45" s="1"/>
  <c r="C128" i="45" s="1"/>
  <c r="C94" i="45"/>
  <c r="F91" i="45"/>
  <c r="F99" i="45" s="1"/>
  <c r="F107" i="45" s="1"/>
  <c r="F100" i="45"/>
  <c r="D92" i="45"/>
  <c r="D101" i="45"/>
  <c r="D109" i="45" s="1"/>
  <c r="F88" i="43"/>
  <c r="G88" i="43"/>
  <c r="D61" i="43"/>
  <c r="D87" i="43" s="1"/>
  <c r="D88" i="43" s="1"/>
  <c r="H88" i="43" s="1"/>
  <c r="H89" i="43" s="1"/>
  <c r="I89" i="43" s="1"/>
  <c r="E61" i="43"/>
  <c r="E87" i="43" s="1"/>
  <c r="E88" i="43" s="1"/>
  <c r="I88" i="43" s="1"/>
  <c r="H91" i="43"/>
  <c r="I86" i="43"/>
  <c r="F115" i="45" l="1"/>
  <c r="F120" i="45" s="1"/>
  <c r="D117" i="45"/>
  <c r="C126" i="45"/>
  <c r="F108" i="45"/>
  <c r="C102" i="45"/>
  <c r="C110" i="45" s="1"/>
  <c r="C118" i="45" s="1"/>
  <c r="C93" i="45"/>
  <c r="E100" i="45"/>
  <c r="E108" i="45" s="1"/>
  <c r="E91" i="45"/>
  <c r="E99" i="45" s="1"/>
  <c r="E107" i="45" s="1"/>
  <c r="D91" i="45"/>
  <c r="D99" i="45" s="1"/>
  <c r="D107" i="45" s="1"/>
  <c r="D100" i="45"/>
  <c r="D108" i="45" s="1"/>
  <c r="C127" i="45"/>
  <c r="I91" i="43"/>
  <c r="I92" i="43" s="1"/>
  <c r="I98" i="43" s="1"/>
  <c r="H92" i="43"/>
  <c r="E116" i="45" l="1"/>
  <c r="C125" i="45"/>
  <c r="D115" i="45"/>
  <c r="D116" i="45"/>
  <c r="E115" i="45"/>
  <c r="E120" i="45" s="1"/>
  <c r="C92" i="45"/>
  <c r="C101" i="45"/>
  <c r="C109" i="45" s="1"/>
  <c r="C117" i="45" s="1"/>
  <c r="D124" i="45"/>
  <c r="E124" i="45" s="1"/>
  <c r="F124" i="45" s="1"/>
  <c r="F121" i="45"/>
  <c r="D125" i="45" s="1"/>
  <c r="D120" i="45" l="1"/>
  <c r="E121" i="45"/>
  <c r="C91" i="45"/>
  <c r="C99" i="45" s="1"/>
  <c r="C107" i="45" s="1"/>
  <c r="C115" i="45" s="1"/>
  <c r="C100" i="45"/>
  <c r="C108" i="45" s="1"/>
  <c r="C116" i="45" s="1"/>
  <c r="E125" i="45"/>
  <c r="F125" i="45" s="1"/>
  <c r="E50" i="41"/>
  <c r="D50" i="41"/>
  <c r="B50" i="41"/>
  <c r="C50" i="41" s="1"/>
  <c r="E49" i="41"/>
  <c r="D49" i="41"/>
  <c r="B49" i="41"/>
  <c r="C49" i="41" s="1"/>
  <c r="F59" i="41" s="1"/>
  <c r="E48" i="41"/>
  <c r="D48" i="41"/>
  <c r="B48" i="41"/>
  <c r="C48" i="41" s="1"/>
  <c r="E47" i="41"/>
  <c r="D47" i="41"/>
  <c r="B47" i="41"/>
  <c r="C47" i="41" s="1"/>
  <c r="E46" i="41"/>
  <c r="D46" i="41"/>
  <c r="B46" i="41"/>
  <c r="C46" i="41" s="1"/>
  <c r="E45" i="41"/>
  <c r="D45" i="41"/>
  <c r="B45" i="41"/>
  <c r="C45" i="41" s="1"/>
  <c r="E44" i="41"/>
  <c r="D44" i="41"/>
  <c r="B44" i="41"/>
  <c r="C44" i="41" s="1"/>
  <c r="E43" i="41"/>
  <c r="D43" i="41"/>
  <c r="B43" i="41"/>
  <c r="C43" i="41" s="1"/>
  <c r="E42" i="41"/>
  <c r="D42" i="41"/>
  <c r="B42" i="41"/>
  <c r="C42" i="41" s="1"/>
  <c r="E41" i="41"/>
  <c r="D41" i="41"/>
  <c r="B41" i="41"/>
  <c r="C41" i="41" s="1"/>
  <c r="E40" i="41"/>
  <c r="D40" i="41"/>
  <c r="B40" i="41"/>
  <c r="C40" i="41" s="1"/>
  <c r="D121" i="45" l="1"/>
  <c r="D127" i="45" s="1"/>
  <c r="E127" i="45" s="1"/>
  <c r="F127" i="45" s="1"/>
  <c r="C120" i="45"/>
  <c r="D126" i="45"/>
  <c r="E126" i="45" s="1"/>
  <c r="F126" i="45" s="1"/>
  <c r="F55" i="41"/>
  <c r="G57" i="41"/>
  <c r="G59" i="41"/>
  <c r="D58" i="41"/>
  <c r="D68" i="41" s="1"/>
  <c r="F57" i="41"/>
  <c r="E58" i="41"/>
  <c r="E68" i="41" s="1"/>
  <c r="G55" i="41"/>
  <c r="D56" i="41"/>
  <c r="D66" i="41" s="1"/>
  <c r="F56" i="41"/>
  <c r="E54" i="41"/>
  <c r="E64" i="41" s="1"/>
  <c r="E56" i="41"/>
  <c r="F54" i="41"/>
  <c r="D57" i="41"/>
  <c r="E55" i="41"/>
  <c r="E57" i="41"/>
  <c r="E59" i="41"/>
  <c r="D54" i="41"/>
  <c r="D64" i="41" s="1"/>
  <c r="F58" i="41"/>
  <c r="G54" i="41"/>
  <c r="G64" i="41" s="1"/>
  <c r="G56" i="41"/>
  <c r="G66" i="41" s="1"/>
  <c r="G58" i="41"/>
  <c r="G68" i="41" s="1"/>
  <c r="D55" i="41"/>
  <c r="D59" i="41"/>
  <c r="C121" i="45" l="1"/>
  <c r="D128" i="45"/>
  <c r="E128" i="45" s="1"/>
  <c r="F128" i="45" s="1"/>
  <c r="F129" i="45" s="1"/>
  <c r="E76" i="41"/>
  <c r="D67" i="41"/>
  <c r="D76" i="41"/>
  <c r="E69" i="41"/>
  <c r="D65" i="41"/>
  <c r="G67" i="41"/>
  <c r="E65" i="41"/>
  <c r="D74" i="41"/>
  <c r="G75" i="41"/>
  <c r="F60" i="41"/>
  <c r="E81" i="41" s="1"/>
  <c r="D69" i="41"/>
  <c r="D60" i="41"/>
  <c r="C81" i="41" s="1"/>
  <c r="E74" i="41"/>
  <c r="E75" i="41"/>
  <c r="F74" i="41"/>
  <c r="F64" i="41"/>
  <c r="F65" i="41" s="1"/>
  <c r="G69" i="41"/>
  <c r="F76" i="41"/>
  <c r="F68" i="41"/>
  <c r="F69" i="41" s="1"/>
  <c r="F66" i="41"/>
  <c r="F67" i="41" s="1"/>
  <c r="G76" i="41"/>
  <c r="E60" i="41"/>
  <c r="D81" i="41" s="1"/>
  <c r="G65" i="41"/>
  <c r="D75" i="41"/>
  <c r="G60" i="41"/>
  <c r="F81" i="41" s="1"/>
  <c r="G74" i="41"/>
  <c r="E66" i="41"/>
  <c r="E67" i="41" s="1"/>
  <c r="F75" i="41"/>
  <c r="E129" i="45" l="1"/>
  <c r="E77" i="41"/>
  <c r="D77" i="41"/>
  <c r="D70" i="41"/>
  <c r="C82" i="41" s="1"/>
  <c r="G77" i="41"/>
  <c r="F83" i="41" s="1"/>
  <c r="G70" i="41"/>
  <c r="F82" i="41" s="1"/>
  <c r="C83" i="41"/>
  <c r="F77" i="41"/>
  <c r="E83" i="41" s="1"/>
  <c r="E70" i="41"/>
  <c r="D82" i="41" s="1"/>
  <c r="F70" i="41"/>
  <c r="E82" i="41" s="1"/>
  <c r="D83" i="41"/>
  <c r="C110" i="39" l="1"/>
  <c r="C109" i="39"/>
  <c r="C108" i="39"/>
  <c r="C107" i="39"/>
  <c r="H89" i="39"/>
  <c r="G89" i="39"/>
  <c r="F89" i="39"/>
  <c r="E89" i="39"/>
  <c r="D89" i="39"/>
  <c r="C89" i="39"/>
  <c r="C90" i="39" s="1"/>
  <c r="C96" i="39"/>
  <c r="C97" i="39" s="1"/>
  <c r="C98" i="39" s="1"/>
  <c r="C99" i="39" s="1"/>
  <c r="C100" i="39" s="1"/>
  <c r="F94" i="39"/>
  <c r="G94" i="39" s="1"/>
  <c r="H94" i="39" s="1"/>
  <c r="B59" i="39"/>
  <c r="B60" i="39" s="1"/>
  <c r="B61" i="39" s="1"/>
  <c r="B62" i="39" s="1"/>
  <c r="B63" i="39" s="1"/>
  <c r="C48" i="39"/>
  <c r="F48" i="39" s="1"/>
  <c r="C47" i="39"/>
  <c r="C46" i="39"/>
  <c r="C45" i="39"/>
  <c r="C44" i="39"/>
  <c r="C43" i="39"/>
  <c r="E47" i="39"/>
  <c r="E46" i="39" s="1"/>
  <c r="E45" i="39" s="1"/>
  <c r="B44" i="39"/>
  <c r="B45" i="39" s="1"/>
  <c r="B46" i="39" s="1"/>
  <c r="B47" i="39" s="1"/>
  <c r="B48" i="39" s="1"/>
  <c r="E29" i="39"/>
  <c r="E28" i="39" s="1"/>
  <c r="E27" i="39" s="1"/>
  <c r="E26" i="39" s="1"/>
  <c r="E25" i="39" s="1"/>
  <c r="C30" i="39"/>
  <c r="F30" i="39" s="1"/>
  <c r="C29" i="39"/>
  <c r="C28" i="39"/>
  <c r="C27" i="39"/>
  <c r="C26" i="39"/>
  <c r="C25" i="39"/>
  <c r="B26" i="39"/>
  <c r="B27" i="39" s="1"/>
  <c r="B28" i="39" s="1"/>
  <c r="B29" i="39" s="1"/>
  <c r="B30" i="39" s="1"/>
  <c r="H90" i="39" l="1"/>
  <c r="G90" i="39"/>
  <c r="C111" i="39"/>
  <c r="D45" i="39"/>
  <c r="D46" i="39"/>
  <c r="E90" i="39"/>
  <c r="F90" i="39"/>
  <c r="D44" i="39"/>
  <c r="D90" i="39"/>
  <c r="F29" i="39"/>
  <c r="D27" i="39"/>
  <c r="F47" i="39"/>
  <c r="D47" i="39"/>
  <c r="F45" i="39"/>
  <c r="E44" i="39"/>
  <c r="D48" i="39"/>
  <c r="F46" i="39"/>
  <c r="D28" i="39"/>
  <c r="D26" i="39"/>
  <c r="F27" i="39"/>
  <c r="D29" i="39"/>
  <c r="F28" i="39"/>
  <c r="D30" i="39"/>
  <c r="D32" i="39" l="1"/>
  <c r="D50" i="39"/>
  <c r="F44" i="39"/>
  <c r="E43" i="39"/>
  <c r="F43" i="39" s="1"/>
  <c r="F25" i="39"/>
  <c r="F26" i="39"/>
  <c r="F54" i="39" l="1"/>
  <c r="F50" i="39"/>
  <c r="F32" i="39"/>
  <c r="F36" i="39" s="1"/>
  <c r="C62" i="39" l="1"/>
  <c r="C61" i="39"/>
  <c r="C60" i="39"/>
  <c r="C59" i="39"/>
  <c r="C58" i="39"/>
  <c r="C63" i="39"/>
  <c r="E63" i="39" s="1"/>
  <c r="D100" i="39" s="1"/>
  <c r="H100" i="39" s="1"/>
  <c r="D58" i="39"/>
  <c r="D61" i="39"/>
  <c r="D60" i="39"/>
  <c r="D63" i="39"/>
  <c r="D59" i="39"/>
  <c r="D62" i="39"/>
  <c r="E59" i="39" l="1"/>
  <c r="D96" i="39" s="1"/>
  <c r="G96" i="39"/>
  <c r="F96" i="39"/>
  <c r="H96" i="39"/>
  <c r="E96" i="39"/>
  <c r="E58" i="39"/>
  <c r="E60" i="39"/>
  <c r="D97" i="39" s="1"/>
  <c r="E61" i="39"/>
  <c r="D98" i="39" s="1"/>
  <c r="E62" i="39"/>
  <c r="D99" i="39" s="1"/>
  <c r="G99" i="39" l="1"/>
  <c r="H99" i="39"/>
  <c r="G98" i="39"/>
  <c r="F98" i="39"/>
  <c r="H98" i="39"/>
  <c r="H97" i="39"/>
  <c r="E97" i="39"/>
  <c r="G97" i="39"/>
  <c r="F97" i="39"/>
  <c r="E64" i="39"/>
  <c r="D95" i="39"/>
  <c r="G95" i="39" l="1"/>
  <c r="G101" i="39" s="1"/>
  <c r="D109" i="39" s="1"/>
  <c r="E109" i="39" s="1"/>
  <c r="F95" i="39"/>
  <c r="F101" i="39" s="1"/>
  <c r="D108" i="39" s="1"/>
  <c r="H95" i="39"/>
  <c r="H101" i="39" s="1"/>
  <c r="D110" i="39" s="1"/>
  <c r="E110" i="39" s="1"/>
  <c r="E95" i="39"/>
  <c r="E101" i="39" s="1"/>
  <c r="D107" i="39" s="1"/>
  <c r="E107" i="39" s="1"/>
  <c r="D111" i="39" l="1"/>
  <c r="E111" i="39" s="1"/>
  <c r="E113" i="39" s="1"/>
  <c r="E108" i="39"/>
  <c r="F52" i="37"/>
  <c r="H36" i="37"/>
  <c r="F50" i="37" s="1"/>
  <c r="F39" i="37"/>
  <c r="F33" i="37"/>
  <c r="F48" i="37" s="1"/>
  <c r="D35" i="37"/>
  <c r="M24" i="37"/>
  <c r="Q24" i="37" s="1"/>
  <c r="C77" i="39"/>
  <c r="E14" i="39"/>
  <c r="D14" i="39"/>
  <c r="C14" i="39"/>
  <c r="B9" i="39"/>
  <c r="B10" i="39" s="1"/>
  <c r="B11" i="39" s="1"/>
  <c r="B12" i="39" s="1"/>
  <c r="B13" i="39" s="1"/>
  <c r="C120" i="39" l="1"/>
  <c r="F54" i="37"/>
  <c r="F41" i="37"/>
</calcChain>
</file>

<file path=xl/sharedStrings.xml><?xml version="1.0" encoding="utf-8"?>
<sst xmlns="http://schemas.openxmlformats.org/spreadsheetml/2006/main" count="865" uniqueCount="512">
  <si>
    <t>You are given the following information:</t>
  </si>
  <si>
    <t>(c)</t>
  </si>
  <si>
    <t>ANSWER:</t>
  </si>
  <si>
    <t>(d)</t>
  </si>
  <si>
    <t>(e)</t>
  </si>
  <si>
    <t>(a)</t>
  </si>
  <si>
    <t>(b)</t>
  </si>
  <si>
    <t>(f)</t>
  </si>
  <si>
    <t>The response for part (a) is to be provided in the Word document.</t>
  </si>
  <si>
    <r>
      <t>(</t>
    </r>
    <r>
      <rPr>
        <i/>
        <sz val="12"/>
        <color rgb="FF002060"/>
        <rFont val="Times New Roman"/>
        <family val="1"/>
      </rPr>
      <t>4 points</t>
    </r>
    <r>
      <rPr>
        <sz val="12"/>
        <color rgb="FF002060"/>
        <rFont val="Times New Roman"/>
        <family val="1"/>
      </rPr>
      <t>)</t>
    </r>
  </si>
  <si>
    <t>You are calculating on-level earned premiums for a line of business and are given the following information:</t>
  </si>
  <si>
    <t>4% increase effective January 1, 2018, and</t>
  </si>
  <si>
    <t>5% increase effective July 1, 2020.</t>
  </si>
  <si>
    <t>2,750 new policies were written in 2018 with an average annualized premium of 780.</t>
  </si>
  <si>
    <t>80% of the policies in force on December 31, 2017 renewed in 2018, and</t>
  </si>
  <si>
    <t xml:space="preserve"> - All policies written or renewed after December 31, 2017 are 12-month policies.</t>
  </si>
  <si>
    <t xml:space="preserve"> - As of December 31, 2017, there were 2,500 policies in force, with an average annualized premium of 750.</t>
  </si>
  <si>
    <t xml:space="preserve"> - During calendar year 2018:</t>
  </si>
  <si>
    <t xml:space="preserve"> - The following historical rate changes were made:</t>
  </si>
  <si>
    <t>Question 1</t>
  </si>
  <si>
    <r>
      <t>(</t>
    </r>
    <r>
      <rPr>
        <i/>
        <sz val="12"/>
        <color rgb="FF002060"/>
        <rFont val="Times New Roman"/>
        <family val="1"/>
      </rPr>
      <t>1 point</t>
    </r>
    <r>
      <rPr>
        <sz val="12"/>
        <color rgb="FF002060"/>
        <rFont val="Times New Roman"/>
        <family val="1"/>
      </rPr>
      <t>)  Calculate the 2018 on-level earned premium to use for ratemaking.</t>
    </r>
  </si>
  <si>
    <r>
      <t>(</t>
    </r>
    <r>
      <rPr>
        <i/>
        <sz val="12"/>
        <color rgb="FF002060"/>
        <rFont val="Times New Roman"/>
        <family val="1"/>
      </rPr>
      <t>3 points</t>
    </r>
    <r>
      <rPr>
        <sz val="12"/>
        <color rgb="FF002060"/>
        <rFont val="Times New Roman"/>
        <family val="1"/>
      </rPr>
      <t>)  Calculate the 2018 earned premium.</t>
    </r>
  </si>
  <si>
    <t>Question 2</t>
  </si>
  <si>
    <t>Accident</t>
  </si>
  <si>
    <t>Ratios of Closed Counts to Reported Counts</t>
  </si>
  <si>
    <t>Year</t>
  </si>
  <si>
    <t>Average Reported Claims</t>
  </si>
  <si>
    <t>Average Paid Claims</t>
  </si>
  <si>
    <t>Ratios of Paid Claims to Reported Claims</t>
  </si>
  <si>
    <t xml:space="preserve">Accident Year 2014 seems to show an anomaly. </t>
  </si>
  <si>
    <t xml:space="preserve">  - The annual claims trend is 0% and experience has generally been stable.</t>
  </si>
  <si>
    <t>You are given the following development triangles for investigative analysis on a book of business:</t>
  </si>
  <si>
    <r>
      <t>(</t>
    </r>
    <r>
      <rPr>
        <i/>
        <sz val="12"/>
        <color rgb="FF002060"/>
        <rFont val="Times New Roman"/>
        <family val="1"/>
      </rPr>
      <t>1.5 points</t>
    </r>
    <r>
      <rPr>
        <sz val="12"/>
        <color rgb="FF002060"/>
        <rFont val="Times New Roman"/>
        <family val="1"/>
      </rPr>
      <t>)  Provide one possible interpretation of this anomaly.  Justify your interpretation.</t>
    </r>
  </si>
  <si>
    <r>
      <t>(</t>
    </r>
    <r>
      <rPr>
        <i/>
        <sz val="12"/>
        <color rgb="FF002060"/>
        <rFont val="Times New Roman"/>
        <family val="1"/>
      </rPr>
      <t>1 point</t>
    </r>
    <r>
      <rPr>
        <sz val="12"/>
        <color rgb="FF002060"/>
        <rFont val="Times New Roman"/>
        <family val="1"/>
      </rPr>
      <t>)  Identify another anomaly from the diagnostics.</t>
    </r>
  </si>
  <si>
    <r>
      <t>(</t>
    </r>
    <r>
      <rPr>
        <i/>
        <sz val="12"/>
        <color rgb="FF002060"/>
        <rFont val="Times New Roman"/>
        <family val="1"/>
      </rPr>
      <t>1.5 points</t>
    </r>
    <r>
      <rPr>
        <sz val="12"/>
        <color rgb="FF002060"/>
        <rFont val="Times New Roman"/>
        <family val="1"/>
      </rPr>
      <t>)  Provide one possible interpretation of the anomaly you identified in part (b).  Justify your interpretation.</t>
    </r>
  </si>
  <si>
    <t>Question 3</t>
  </si>
  <si>
    <r>
      <t>(</t>
    </r>
    <r>
      <rPr>
        <i/>
        <sz val="12"/>
        <color rgb="FF002060"/>
        <rFont val="Times New Roman"/>
        <family val="1"/>
      </rPr>
      <t>7 points</t>
    </r>
    <r>
      <rPr>
        <sz val="12"/>
        <color rgb="FF002060"/>
        <rFont val="Times New Roman"/>
        <family val="1"/>
      </rPr>
      <t>)</t>
    </r>
  </si>
  <si>
    <t>You are estimating ultimate claims using the development-based frequency-severity method, and are given the following information:</t>
  </si>
  <si>
    <t>Projected Ultimate Based on Development Method</t>
  </si>
  <si>
    <t>Accident Year</t>
  </si>
  <si>
    <t>Earned Exposures</t>
  </si>
  <si>
    <t>Counts</t>
  </si>
  <si>
    <t>Claims</t>
  </si>
  <si>
    <t>Severity</t>
  </si>
  <si>
    <t>Total</t>
  </si>
  <si>
    <t>You have noticed that the ultimate severity from the development method is not equal to the development method ultimate claims divided by the development method ultimate counts in this case.</t>
  </si>
  <si>
    <r>
      <t>(</t>
    </r>
    <r>
      <rPr>
        <i/>
        <sz val="12"/>
        <color rgb="FF002060"/>
        <rFont val="Times New Roman"/>
        <family val="1"/>
      </rPr>
      <t>1 point</t>
    </r>
    <r>
      <rPr>
        <sz val="12"/>
        <color rgb="FF002060"/>
        <rFont val="Times New Roman"/>
        <family val="1"/>
      </rPr>
      <t>)  Calculate ultimate claims using the development-based frequency-severity method and the recommended claim frequency from part (b).</t>
    </r>
  </si>
  <si>
    <t>You are given the following additional information for calculating unpaid ULAE for this line of business:</t>
  </si>
  <si>
    <t>Calendar Year</t>
  </si>
  <si>
    <t>Paid ULAE</t>
  </si>
  <si>
    <t>Cumulative paid claims development factors by maturity age (months)</t>
  </si>
  <si>
    <t xml:space="preserve"> - Ultimate claims are selected from the development-based frequency-severity method.
</t>
  </si>
  <si>
    <t xml:space="preserve"> - You are using the classical paid method with a Mango-Allen smoothing adjustment to estimate unpaid ULAE.</t>
  </si>
  <si>
    <t xml:space="preserve"> - Approximately 25% of claim department expenses relate to opening a claim file and 75% relate to maintaining and closing a claim file.
</t>
  </si>
  <si>
    <t xml:space="preserve"> - The total case estimate is</t>
  </si>
  <si>
    <t xml:space="preserve"> - The total IBNR is </t>
  </si>
  <si>
    <r>
      <t>(</t>
    </r>
    <r>
      <rPr>
        <i/>
        <sz val="12"/>
        <color rgb="FF002060"/>
        <rFont val="Times New Roman"/>
        <family val="1"/>
      </rPr>
      <t>1.5 points</t>
    </r>
    <r>
      <rPr>
        <sz val="12"/>
        <color rgb="FF002060"/>
        <rFont val="Times New Roman"/>
        <family val="1"/>
      </rPr>
      <t>)  Calculate the expected claims paid for calendar years 2017 through 2020.</t>
    </r>
  </si>
  <si>
    <r>
      <t>(</t>
    </r>
    <r>
      <rPr>
        <i/>
        <sz val="12"/>
        <color rgb="FF002060"/>
        <rFont val="Times New Roman"/>
        <family val="1"/>
      </rPr>
      <t>0.5 points</t>
    </r>
    <r>
      <rPr>
        <sz val="12"/>
        <color rgb="FF002060"/>
        <rFont val="Times New Roman"/>
        <family val="1"/>
      </rPr>
      <t>)  Calculate the unpaid ULAE.</t>
    </r>
  </si>
  <si>
    <t>Question 4</t>
  </si>
  <si>
    <r>
      <t>(</t>
    </r>
    <r>
      <rPr>
        <i/>
        <sz val="12"/>
        <color rgb="FF002060"/>
        <rFont val="Times New Roman"/>
        <family val="1"/>
      </rPr>
      <t>5 points</t>
    </r>
    <r>
      <rPr>
        <sz val="12"/>
        <color rgb="FF002060"/>
        <rFont val="Times New Roman"/>
        <family val="1"/>
      </rPr>
      <t>)</t>
    </r>
  </si>
  <si>
    <t>Question 5</t>
  </si>
  <si>
    <r>
      <t>(</t>
    </r>
    <r>
      <rPr>
        <i/>
        <sz val="12"/>
        <color rgb="FF002060"/>
        <rFont val="Times New Roman"/>
        <family val="1"/>
      </rPr>
      <t>6 points</t>
    </r>
    <r>
      <rPr>
        <sz val="12"/>
        <color rgb="FF002060"/>
        <rFont val="Times New Roman"/>
        <family val="1"/>
      </rPr>
      <t>)</t>
    </r>
  </si>
  <si>
    <t>Claim</t>
  </si>
  <si>
    <t>Notes</t>
  </si>
  <si>
    <t>Claim reported to ABC</t>
  </si>
  <si>
    <t>Claim settled and closed</t>
  </si>
  <si>
    <t>Transaction Date (m/y)</t>
  </si>
  <si>
    <t>Indemnity</t>
  </si>
  <si>
    <t>ALAE</t>
  </si>
  <si>
    <t>Payment</t>
  </si>
  <si>
    <t>Gross of reinsurance</t>
  </si>
  <si>
    <t>Net of reinsurance with pro rata treatment of ALAE</t>
  </si>
  <si>
    <t>Net of reinsurance with ALAE included in the insurer's retention and the reinsurer's limit.</t>
  </si>
  <si>
    <t xml:space="preserve"> - Amounts in the table above are given as incremental changes. </t>
  </si>
  <si>
    <t xml:space="preserve"> - Claims 1 and 2 are from the same occurrence.</t>
  </si>
  <si>
    <t xml:space="preserve"> - ABC has a 600,000 excess 200,000 per occurrence excess of loss reinsurance treaty for claims occurring in 2017. </t>
  </si>
  <si>
    <t>(i)</t>
  </si>
  <si>
    <t>(ii)</t>
  </si>
  <si>
    <t>(iii)</t>
  </si>
  <si>
    <t>Question 6</t>
  </si>
  <si>
    <t>Question 7</t>
  </si>
  <si>
    <t>You are provided with the following information:</t>
  </si>
  <si>
    <t>Property</t>
  </si>
  <si>
    <t>Liability</t>
  </si>
  <si>
    <t>Gross</t>
  </si>
  <si>
    <t>Net</t>
  </si>
  <si>
    <t>Ultimate Claim Ratios including ALAE – Accident Year</t>
  </si>
  <si>
    <r>
      <t>(</t>
    </r>
    <r>
      <rPr>
        <i/>
        <sz val="12"/>
        <color rgb="FF002060"/>
        <rFont val="Times New Roman"/>
        <family val="1"/>
      </rPr>
      <t>1.5 points</t>
    </r>
    <r>
      <rPr>
        <sz val="12"/>
        <color rgb="FF002060"/>
        <rFont val="Times New Roman"/>
        <family val="1"/>
      </rPr>
      <t>)  Recommend expected claim ratios for each line of business, gross and net of reinsurance, that will be used in the determination of premium liabilities as of December 31, 2020.  Justify each recommendation.</t>
    </r>
  </si>
  <si>
    <t>The following information is provided:</t>
  </si>
  <si>
    <t xml:space="preserve"> - ULAE is 10% of claims (including ALAE), which is not covered by reinsurance.</t>
  </si>
  <si>
    <t xml:space="preserve"> - The selected general expense ratio is 15% of gross written premiums.</t>
  </si>
  <si>
    <t xml:space="preserve"> - The proportion of general expenses applicable to unearned premiums is 25%.</t>
  </si>
  <si>
    <t xml:space="preserve"> - The selected incentive commission ratio is 3% of gross premiums. </t>
  </si>
  <si>
    <r>
      <t>(</t>
    </r>
    <r>
      <rPr>
        <i/>
        <sz val="12"/>
        <color rgb="FF002060"/>
        <rFont val="Times New Roman"/>
        <family val="1"/>
      </rPr>
      <t>2 points</t>
    </r>
    <r>
      <rPr>
        <sz val="12"/>
        <color rgb="FF002060"/>
        <rFont val="Times New Roman"/>
        <family val="1"/>
      </rPr>
      <t>)  Calculate the premium liabilities, both gross and net of reinsurance.</t>
    </r>
  </si>
  <si>
    <r>
      <t>(</t>
    </r>
    <r>
      <rPr>
        <i/>
        <sz val="12"/>
        <color rgb="FF002060"/>
        <rFont val="Times New Roman"/>
        <family val="1"/>
      </rPr>
      <t>0.5 points</t>
    </r>
    <r>
      <rPr>
        <sz val="12"/>
        <color rgb="FF002060"/>
        <rFont val="Times New Roman"/>
        <family val="1"/>
      </rPr>
      <t>)  Determine the equity in unearned premiums.</t>
    </r>
  </si>
  <si>
    <t>Question 8</t>
  </si>
  <si>
    <t>The response for part (b) is to be provided in the Word document.</t>
  </si>
  <si>
    <t>County</t>
  </si>
  <si>
    <t>Modeled Gross Hurricane Wind Loss Per 1,000 Coverage A</t>
  </si>
  <si>
    <t>Selected Risk Load (Standard Deviation)</t>
  </si>
  <si>
    <t xml:space="preserve">Monroe </t>
  </si>
  <si>
    <t xml:space="preserve">Broward </t>
  </si>
  <si>
    <t xml:space="preserve">Palm Beach </t>
  </si>
  <si>
    <t xml:space="preserve">Miami-Dade </t>
  </si>
  <si>
    <t xml:space="preserve">Hillsborough </t>
  </si>
  <si>
    <t xml:space="preserve">Orange </t>
  </si>
  <si>
    <t xml:space="preserve">Okeechobee </t>
  </si>
  <si>
    <t xml:space="preserve">Duval </t>
  </si>
  <si>
    <t xml:space="preserve">Sarasota </t>
  </si>
  <si>
    <t xml:space="preserve"> - The average Coverage A limit is 207,500.</t>
  </si>
  <si>
    <t xml:space="preserve"> - The expense load is 27%.</t>
  </si>
  <si>
    <t xml:space="preserve"> - The risk load includes a provision for profit.</t>
  </si>
  <si>
    <r>
      <t>(</t>
    </r>
    <r>
      <rPr>
        <i/>
        <sz val="12"/>
        <color rgb="FF002060"/>
        <rFont val="Times New Roman"/>
        <family val="1"/>
      </rPr>
      <t>2 points</t>
    </r>
    <r>
      <rPr>
        <sz val="12"/>
        <color rgb="FF002060"/>
        <rFont val="Times New Roman"/>
        <family val="1"/>
      </rPr>
      <t>)  Calculate the hurricane wind premium by county for a 207,500 Coverage A limit.</t>
    </r>
  </si>
  <si>
    <t>Question 9</t>
  </si>
  <si>
    <t>Reported Counts</t>
  </si>
  <si>
    <t>Closed Counts</t>
  </si>
  <si>
    <t xml:space="preserve"> - The annual severity trend is 5%.</t>
  </si>
  <si>
    <t xml:space="preserve"> - There is no development after 60 months.</t>
  </si>
  <si>
    <r>
      <t>(</t>
    </r>
    <r>
      <rPr>
        <i/>
        <sz val="12"/>
        <color rgb="FF002060"/>
        <rFont val="Times New Roman"/>
        <family val="1"/>
      </rPr>
      <t>1.5 points</t>
    </r>
    <r>
      <rPr>
        <sz val="12"/>
        <color rgb="FF002060"/>
        <rFont val="Times New Roman"/>
        <family val="1"/>
      </rPr>
      <t>)  Calculate the average case estimate triangle.</t>
    </r>
  </si>
  <si>
    <t>You have decided to estimate IBNR using the development method with a Berquist-Sherman adjustment.</t>
  </si>
  <si>
    <r>
      <t>(</t>
    </r>
    <r>
      <rPr>
        <i/>
        <sz val="12"/>
        <color rgb="FF002060"/>
        <rFont val="Times New Roman"/>
        <family val="1"/>
      </rPr>
      <t>3 points</t>
    </r>
    <r>
      <rPr>
        <sz val="12"/>
        <color rgb="FF002060"/>
        <rFont val="Times New Roman"/>
        <family val="1"/>
      </rPr>
      <t>)  Calculate IBNR by accident year using the reported development method, with a Berquist-Sherman adjustment.</t>
    </r>
  </si>
  <si>
    <t>Selected Claim Ratio</t>
  </si>
  <si>
    <t>Question 10</t>
  </si>
  <si>
    <t>A property is valued at 1,000,000.</t>
  </si>
  <si>
    <t xml:space="preserve"> - The amount of insurance purchased for the property is 500,000.</t>
  </si>
  <si>
    <t xml:space="preserve"> - The coinsurance requirement is 80% of the property value, applied before the deductible.  </t>
  </si>
  <si>
    <r>
      <t>(</t>
    </r>
    <r>
      <rPr>
        <i/>
        <sz val="12"/>
        <color rgb="FF002060"/>
        <rFont val="Times New Roman"/>
        <family val="1"/>
      </rPr>
      <t>1 point</t>
    </r>
    <r>
      <rPr>
        <sz val="12"/>
        <color rgb="FF002060"/>
        <rFont val="Times New Roman"/>
        <family val="1"/>
      </rPr>
      <t>)  Calculate the claims paid by the insurer under the following scenarios:</t>
    </r>
  </si>
  <si>
    <t>Loss amount is 800,000 and the deductible is 10,000</t>
  </si>
  <si>
    <t>Loss amount is 900,000 and the deductible is 0</t>
  </si>
  <si>
    <t>Indemnity Range</t>
  </si>
  <si>
    <t>0 – 1,000</t>
  </si>
  <si>
    <t>Over 1,000</t>
  </si>
  <si>
    <r>
      <t>(</t>
    </r>
    <r>
      <rPr>
        <i/>
        <sz val="12"/>
        <color rgb="FF002060"/>
        <rFont val="Times New Roman"/>
        <family val="1"/>
      </rPr>
      <t>0.5 points</t>
    </r>
    <r>
      <rPr>
        <sz val="12"/>
        <color rgb="FF002060"/>
        <rFont val="Times New Roman"/>
        <family val="1"/>
      </rPr>
      <t>)  Calculate the elimination ratio to be used for pricing a deductible option of 1,000.</t>
    </r>
  </si>
  <si>
    <t xml:space="preserve"> - The underlying claim ratio is 70%.</t>
  </si>
  <si>
    <t xml:space="preserve"> - The underlying variable expense ratio is 20%.</t>
  </si>
  <si>
    <t xml:space="preserve"> - The underlying fixed expense ratio is 10%.</t>
  </si>
  <si>
    <t xml:space="preserve"> - There is no profit load.  </t>
  </si>
  <si>
    <r>
      <t>(</t>
    </r>
    <r>
      <rPr>
        <i/>
        <sz val="12"/>
        <color rgb="FF002060"/>
        <rFont val="Times New Roman"/>
        <family val="1"/>
      </rPr>
      <t>1 point</t>
    </r>
    <r>
      <rPr>
        <sz val="12"/>
        <color rgb="FF002060"/>
        <rFont val="Times New Roman"/>
        <family val="1"/>
      </rPr>
      <t>)  Calculate a rate for the 1,000 deductible option using results from part (d).</t>
    </r>
  </si>
  <si>
    <t>0 – 10,000</t>
  </si>
  <si>
    <t>10,000 – 20,000</t>
  </si>
  <si>
    <t>20,000 – 100,000</t>
  </si>
  <si>
    <t>20,000 limit, and</t>
  </si>
  <si>
    <t>100,000 limit.</t>
  </si>
  <si>
    <t>Question 11</t>
  </si>
  <si>
    <t>The response for question 4 is to be provided in the Word document.</t>
  </si>
  <si>
    <t>The response for question 6 is to be provided in the Word document.</t>
  </si>
  <si>
    <t>The response for question 11 is to be provided in the Word document.</t>
  </si>
  <si>
    <t>Question 12</t>
  </si>
  <si>
    <t>Written Exposures</t>
  </si>
  <si>
    <t>On-Level Written Premiums</t>
  </si>
  <si>
    <t>On-Level Earned Premiums</t>
  </si>
  <si>
    <r>
      <t>(</t>
    </r>
    <r>
      <rPr>
        <i/>
        <sz val="12"/>
        <color rgb="FF002060"/>
        <rFont val="Times New Roman"/>
        <family val="1"/>
      </rPr>
      <t>2 points</t>
    </r>
    <r>
      <rPr>
        <sz val="12"/>
        <color rgb="FF002060"/>
        <rFont val="Times New Roman"/>
        <family val="1"/>
      </rPr>
      <t>)  Recommend the annual premium trend to use for ratemaking. Justify your recommendation.</t>
    </r>
  </si>
  <si>
    <t>You are given the following additional information:</t>
  </si>
  <si>
    <t xml:space="preserve"> - New rates will be effective August 1, 2021 for six months.</t>
  </si>
  <si>
    <t xml:space="preserve"> - All policies are written as 12-month policies.</t>
  </si>
  <si>
    <t>Trended Ultimate Claims</t>
  </si>
  <si>
    <r>
      <t>(</t>
    </r>
    <r>
      <rPr>
        <i/>
        <sz val="12"/>
        <color rgb="FF002060"/>
        <rFont val="Times New Roman"/>
        <family val="1"/>
      </rPr>
      <t>1.5 points</t>
    </r>
    <r>
      <rPr>
        <sz val="12"/>
        <color rgb="FF002060"/>
        <rFont val="Times New Roman"/>
        <family val="1"/>
      </rPr>
      <t>)  Calculate the trended claim ratio for each accident year.</t>
    </r>
  </si>
  <si>
    <r>
      <t>(</t>
    </r>
    <r>
      <rPr>
        <i/>
        <sz val="12"/>
        <color rgb="FF002060"/>
        <rFont val="Times New Roman"/>
        <family val="1"/>
      </rPr>
      <t>0.5 points</t>
    </r>
    <r>
      <rPr>
        <sz val="12"/>
        <color rgb="FF002060"/>
        <rFont val="Times New Roman"/>
        <family val="1"/>
      </rPr>
      <t>)  Recommend a trended claim ratio to use for ratemaking. Justify your recommendation.</t>
    </r>
  </si>
  <si>
    <t xml:space="preserve"> - The annual pure premium trend is 5%.</t>
  </si>
  <si>
    <t xml:space="preserve"> - The complement of credibility is derived using the data from the last ratemaking analysis.</t>
  </si>
  <si>
    <t xml:space="preserve"> - The last ratemaking analysis was for policies effective January 1, 2021 through June 30, 2021, where</t>
  </si>
  <si>
    <t xml:space="preserve"> - the indicated rate change was 4%,</t>
  </si>
  <si>
    <t xml:space="preserve"> - the approved rate change was 2%, and</t>
  </si>
  <si>
    <t xml:space="preserve"> - the permissible claim ratio was 55%.</t>
  </si>
  <si>
    <r>
      <t>(</t>
    </r>
    <r>
      <rPr>
        <i/>
        <sz val="12"/>
        <color rgb="FF002060"/>
        <rFont val="Times New Roman"/>
        <family val="1"/>
      </rPr>
      <t>1 point</t>
    </r>
    <r>
      <rPr>
        <sz val="12"/>
        <color rgb="FF002060"/>
        <rFont val="Times New Roman"/>
        <family val="1"/>
      </rPr>
      <t>)  Calculate the claim ratio to use for the complement of credibility.</t>
    </r>
  </si>
  <si>
    <t xml:space="preserve"> - The ratio of fixed expenses to premiums at current rates including ULAE is 15%.</t>
  </si>
  <si>
    <t xml:space="preserve"> - The ratio of variable expenses to premiums is 11%.</t>
  </si>
  <si>
    <t xml:space="preserve"> - The ratio of profit and contingencies to premiums is 4%.</t>
  </si>
  <si>
    <t xml:space="preserve"> - The credibility assigned to the experience claim ratio is 77%.</t>
  </si>
  <si>
    <r>
      <t>(</t>
    </r>
    <r>
      <rPr>
        <i/>
        <sz val="12"/>
        <color rgb="FF002060"/>
        <rFont val="Times New Roman"/>
        <family val="1"/>
      </rPr>
      <t>1 point</t>
    </r>
    <r>
      <rPr>
        <sz val="12"/>
        <color rgb="FF002060"/>
        <rFont val="Times New Roman"/>
        <family val="1"/>
      </rPr>
      <t>)  Calculate the indicated rate change.</t>
    </r>
  </si>
  <si>
    <t>Question 13</t>
  </si>
  <si>
    <t>One principle of claims-made ratemaking states that a claims-made policy will cost less than an occurrence policy when claim costs are increasing.</t>
  </si>
  <si>
    <t>Another principle of claims-made ratemaking states that claims-made policies priced on the basis of prior trend will be closer to the correct price than occurrence policies priced in the same way, when there is a sudden unpredictable change in the underlying trend.</t>
  </si>
  <si>
    <r>
      <t>(</t>
    </r>
    <r>
      <rPr>
        <i/>
        <sz val="12"/>
        <color rgb="FF002060"/>
        <rFont val="Times New Roman"/>
        <family val="1"/>
      </rPr>
      <t>1.5 points</t>
    </r>
    <r>
      <rPr>
        <sz val="12"/>
        <color rgb="FF002060"/>
        <rFont val="Times New Roman"/>
        <family val="1"/>
      </rPr>
      <t>)  Construct a numerical example demonstrating this principle.</t>
    </r>
  </si>
  <si>
    <r>
      <t>(</t>
    </r>
    <r>
      <rPr>
        <i/>
        <sz val="12"/>
        <color rgb="FF002060"/>
        <rFont val="Times New Roman"/>
        <family val="1"/>
      </rPr>
      <t>2 points</t>
    </r>
    <r>
      <rPr>
        <sz val="12"/>
        <color rgb="FF002060"/>
        <rFont val="Times New Roman"/>
        <family val="1"/>
      </rPr>
      <t>)  Construct a numerical example demonstrating this principle.</t>
    </r>
  </si>
  <si>
    <t>Question 14</t>
  </si>
  <si>
    <r>
      <t>(</t>
    </r>
    <r>
      <rPr>
        <i/>
        <sz val="12"/>
        <color rgb="FF002060"/>
        <rFont val="Times New Roman"/>
        <family val="1"/>
      </rPr>
      <t>8 points</t>
    </r>
    <r>
      <rPr>
        <sz val="12"/>
        <color rgb="FF002060"/>
        <rFont val="Times New Roman"/>
        <family val="1"/>
      </rPr>
      <t>)</t>
    </r>
  </si>
  <si>
    <t>Earned Premiums</t>
  </si>
  <si>
    <t>Paid Claims as of December 31, 2020</t>
  </si>
  <si>
    <t>Cumulative Development Factors</t>
  </si>
  <si>
    <t>Projected Ultimate Claims from Development Method</t>
  </si>
  <si>
    <t>You are given the following information for estimating ultimate claims as of December 31, 2020:</t>
  </si>
  <si>
    <t>Rate Change History</t>
  </si>
  <si>
    <t>Effective Date</t>
  </si>
  <si>
    <t>Rate Change</t>
  </si>
  <si>
    <t>–3%</t>
  </si>
  <si>
    <t xml:space="preserve"> - All policies are annual and are written and earned evenly throughout the year.  </t>
  </si>
  <si>
    <t xml:space="preserve"> - Tort reform resulted in an estimated claim decrease of 20% for all accidents occurring on or after July 1, 2014. </t>
  </si>
  <si>
    <t xml:space="preserve"> - The annual claim trend is 0%.</t>
  </si>
  <si>
    <r>
      <t>(</t>
    </r>
    <r>
      <rPr>
        <i/>
        <sz val="12"/>
        <color rgb="FF002060"/>
        <rFont val="Times New Roman"/>
        <family val="1"/>
      </rPr>
      <t>1.5 points</t>
    </r>
    <r>
      <rPr>
        <sz val="12"/>
        <color rgb="FF002060"/>
        <rFont val="Times New Roman"/>
        <family val="1"/>
      </rPr>
      <t>)  Calculate premium on-level factors for all accident years for projecting claim ratios as of December 31, 2020.</t>
    </r>
  </si>
  <si>
    <r>
      <t>(</t>
    </r>
    <r>
      <rPr>
        <i/>
        <sz val="12"/>
        <color rgb="FF002060"/>
        <rFont val="Times New Roman"/>
        <family val="1"/>
      </rPr>
      <t>3.5 points</t>
    </r>
    <r>
      <rPr>
        <sz val="12"/>
        <color rgb="FF002060"/>
        <rFont val="Times New Roman"/>
        <family val="1"/>
      </rPr>
      <t>)  Calculate projected ultimate claims for all accident years using the expected method.</t>
    </r>
  </si>
  <si>
    <r>
      <t>(</t>
    </r>
    <r>
      <rPr>
        <i/>
        <sz val="12"/>
        <color rgb="FF002060"/>
        <rFont val="Times New Roman"/>
        <family val="1"/>
      </rPr>
      <t>3 points</t>
    </r>
    <r>
      <rPr>
        <sz val="12"/>
        <color rgb="FF002060"/>
        <rFont val="Times New Roman"/>
        <family val="1"/>
      </rPr>
      <t>)  Calculate projected ultimate claims for all accident years using the Cape Cod method.</t>
    </r>
  </si>
  <si>
    <t>Question 15</t>
  </si>
  <si>
    <t>The response for question 15 is to be provided in the Word document.</t>
  </si>
  <si>
    <t>Question 16</t>
  </si>
  <si>
    <t>You are estimating ultimate property claims in State X for ratemaking purposes using a large claims loading approach.</t>
  </si>
  <si>
    <t>Selected Ultimate Claims at</t>
  </si>
  <si>
    <t>Alternative Limits (000)</t>
  </si>
  <si>
    <t>Total Limits</t>
  </si>
  <si>
    <t>Selected Severity Trend at</t>
  </si>
  <si>
    <t xml:space="preserve"> - The new rates are to be effective February 1, 2022 through January 31, 2023.</t>
  </si>
  <si>
    <t xml:space="preserve"> - All policies are written for 12-month policy terms.</t>
  </si>
  <si>
    <t>Loadings for Large Claims</t>
  </si>
  <si>
    <t>250,000 to 500,000</t>
  </si>
  <si>
    <t>250,000 to Total Limits</t>
  </si>
  <si>
    <t>500,000 to Total Limits</t>
  </si>
  <si>
    <t>All-years average</t>
  </si>
  <si>
    <r>
      <t>(</t>
    </r>
    <r>
      <rPr>
        <i/>
        <sz val="12"/>
        <color rgb="FF002060"/>
        <rFont val="Times New Roman"/>
        <family val="1"/>
      </rPr>
      <t>2 points</t>
    </r>
    <r>
      <rPr>
        <sz val="12"/>
        <color rgb="FF002060"/>
        <rFont val="Times New Roman"/>
        <family val="1"/>
      </rPr>
      <t>)  Demonstrate that the all-years simple average of the loadings for large claims were calculated correctly in the table above.</t>
    </r>
  </si>
  <si>
    <t>A credibility procedure was used to select the State X loadings for large claims at a 250,000 limit and a 500,000 limit using the following assumptions:</t>
  </si>
  <si>
    <t xml:space="preserve"> - State X credibility is 50% for claims from 250,000 to 500,000, and 20% for claims from 500,000 to total limits. </t>
  </si>
  <si>
    <t xml:space="preserve"> - The countrywide loadings for large claims are 1.53 for claims from 250,000 to 500,000, and 1.05 for claims from 500,000 to total limits.</t>
  </si>
  <si>
    <t xml:space="preserve"> - The loading for large claims from 250,000 to total limits is derived from the loadings for large claims from 250,000 to 500,000, and 500,000 to total limits.</t>
  </si>
  <si>
    <r>
      <t>(</t>
    </r>
    <r>
      <rPr>
        <i/>
        <sz val="12"/>
        <color rgb="FF002060"/>
        <rFont val="Times New Roman"/>
        <family val="1"/>
      </rPr>
      <t>2 points</t>
    </r>
    <r>
      <rPr>
        <sz val="12"/>
        <color rgb="FF002060"/>
        <rFont val="Times New Roman"/>
        <family val="1"/>
      </rPr>
      <t>)  Calculate the ultimate claims at total limits for each accident year from 2016 to 2020, using selected ultimate claims at the following limits:</t>
    </r>
  </si>
  <si>
    <t>The response for part (c) is to be provided in the Word document.</t>
  </si>
  <si>
    <t>Question 17</t>
  </si>
  <si>
    <t>The response for question 17 is to be provided in the Word document.</t>
  </si>
  <si>
    <t>You are given the following information for a line of business:</t>
  </si>
  <si>
    <t>Question 18</t>
  </si>
  <si>
    <t>General and Other Acquisition Expenses</t>
  </si>
  <si>
    <t>Commission Expenses</t>
  </si>
  <si>
    <t>Direct Written Premiums</t>
  </si>
  <si>
    <t>Direct Earned Premiums</t>
  </si>
  <si>
    <t xml:space="preserve"> - Calendar year 2021 budgeted earned premiums are </t>
  </si>
  <si>
    <r>
      <t xml:space="preserve"> - Calendar year 2021 budgeted general and other acquisition expenses</t>
    </r>
    <r>
      <rPr>
        <b/>
        <sz val="12"/>
        <color rgb="FF002060"/>
        <rFont val="Times New Roman"/>
        <family val="1"/>
      </rPr>
      <t xml:space="preserve"> </t>
    </r>
    <r>
      <rPr>
        <sz val="12"/>
        <color rgb="FF002060"/>
        <rFont val="Times New Roman"/>
        <family val="1"/>
      </rPr>
      <t xml:space="preserve">are </t>
    </r>
  </si>
  <si>
    <t xml:space="preserve"> - The percent of general and other acquisition expenses that are fixed is </t>
  </si>
  <si>
    <r>
      <t>(</t>
    </r>
    <r>
      <rPr>
        <i/>
        <sz val="12"/>
        <color rgb="FF002060"/>
        <rFont val="Times New Roman"/>
        <family val="1"/>
      </rPr>
      <t>3 points</t>
    </r>
    <r>
      <rPr>
        <sz val="12"/>
        <color rgb="FF002060"/>
        <rFont val="Times New Roman"/>
        <family val="1"/>
      </rPr>
      <t>)  Recommend a fixed and a variable expense ratio to use for ratemaking.  Justify your recommendation.</t>
    </r>
  </si>
  <si>
    <t>Question 19</t>
  </si>
  <si>
    <t>You are given the following information for the purpose of estimating unpaid claims for an automobile insurance line of business:</t>
  </si>
  <si>
    <t>Earned Premiums (000)</t>
  </si>
  <si>
    <t>Cumulative Paid Claims (000)</t>
  </si>
  <si>
    <t xml:space="preserve"> - The tail factor at 72 months is 1.100.</t>
  </si>
  <si>
    <t xml:space="preserve"> - The a priori claim ratio for accident years 2015 to 2019 is 65%.</t>
  </si>
  <si>
    <t xml:space="preserve"> - The a priori claim ratio for accident year 2020 is 60% reflecting a lower expected claim frequency during COVID stay-at-home orders.</t>
  </si>
  <si>
    <r>
      <t>(</t>
    </r>
    <r>
      <rPr>
        <i/>
        <sz val="12"/>
        <color rgb="FF002060"/>
        <rFont val="Times New Roman"/>
        <family val="1"/>
      </rPr>
      <t>1 point</t>
    </r>
    <r>
      <rPr>
        <sz val="12"/>
        <color rgb="FF002060"/>
        <rFont val="Times New Roman"/>
        <family val="1"/>
      </rPr>
      <t>)  Select age-to-age development factors to be used in applying the development method.</t>
    </r>
  </si>
  <si>
    <r>
      <t>(</t>
    </r>
    <r>
      <rPr>
        <i/>
        <sz val="12"/>
        <color rgb="FF002060"/>
        <rFont val="Times New Roman"/>
        <family val="1"/>
      </rPr>
      <t>1 point</t>
    </r>
    <r>
      <rPr>
        <sz val="12"/>
        <color rgb="FF002060"/>
        <rFont val="Times New Roman"/>
        <family val="1"/>
      </rPr>
      <t>)  Estimate ultimate claim ratios as of December 31, 2020 for all accident years using the development method and selections from part (b).</t>
    </r>
  </si>
  <si>
    <r>
      <t>(</t>
    </r>
    <r>
      <rPr>
        <i/>
        <sz val="12"/>
        <color rgb="FF002060"/>
        <rFont val="Times New Roman"/>
        <family val="1"/>
      </rPr>
      <t>1 point</t>
    </r>
    <r>
      <rPr>
        <sz val="12"/>
        <color rgb="FF002060"/>
        <rFont val="Times New Roman"/>
        <family val="1"/>
      </rPr>
      <t>)  Estimate ultimate claim ratios as of December 31, 2020 for all accident years using the Bornhuetter Ferguson method.</t>
    </r>
  </si>
  <si>
    <r>
      <t>(</t>
    </r>
    <r>
      <rPr>
        <i/>
        <sz val="12"/>
        <color rgb="FF002060"/>
        <rFont val="Times New Roman"/>
        <family val="1"/>
      </rPr>
      <t>1 point</t>
    </r>
    <r>
      <rPr>
        <sz val="12"/>
        <color rgb="FF002060"/>
        <rFont val="Times New Roman"/>
        <family val="1"/>
      </rPr>
      <t>)  Recommend unpaid claims by accident year as of December 31, 2020.  Justify your recommendations.</t>
    </r>
  </si>
  <si>
    <t>You may choose to draw on this diagram to assist you in responding to this question. Use of this diagram is not required for full credit.</t>
  </si>
  <si>
    <t>The response for part (d) is to be provided in the Word document.</t>
  </si>
  <si>
    <r>
      <t>(</t>
    </r>
    <r>
      <rPr>
        <i/>
        <sz val="12"/>
        <color rgb="FF002060"/>
        <rFont val="Times New Roman"/>
        <family val="1"/>
      </rPr>
      <t>1 point</t>
    </r>
    <r>
      <rPr>
        <sz val="12"/>
        <color rgb="FF002060"/>
        <rFont val="Times New Roman"/>
        <family val="1"/>
      </rPr>
      <t>)  Recommend a ULAE ratio using the classical paid-to-paid method with the Mango-Allen smoothing adjustment.  Justify your recommendation.</t>
    </r>
  </si>
  <si>
    <r>
      <t>(</t>
    </r>
    <r>
      <rPr>
        <i/>
        <sz val="12"/>
        <color rgb="FF002060"/>
        <rFont val="Times New Roman"/>
        <family val="1"/>
      </rPr>
      <t>2.5 points</t>
    </r>
    <r>
      <rPr>
        <sz val="12"/>
        <color rgb="FF002060"/>
        <rFont val="Times New Roman"/>
        <family val="1"/>
      </rPr>
      <t>)  Recommend a claim frequency at the accident year 2020 cost level.  Justify your recommendation.</t>
    </r>
  </si>
  <si>
    <t>Change in Case Estimate</t>
  </si>
  <si>
    <t>You are reviewing premium liabilities as of December 31, 2020.</t>
  </si>
  <si>
    <r>
      <t>(</t>
    </r>
    <r>
      <rPr>
        <i/>
        <sz val="12"/>
        <color rgb="FF002060"/>
        <rFont val="Times New Roman"/>
        <family val="1"/>
      </rPr>
      <t>1 point</t>
    </r>
    <r>
      <rPr>
        <sz val="12"/>
        <color rgb="FF002060"/>
        <rFont val="Times New Roman"/>
        <family val="1"/>
      </rPr>
      <t>)  Verify the calculation of ultimate claim ratios.</t>
    </r>
  </si>
  <si>
    <t>As part of your investigations into IBNR reserves, you are conducting investigative tests for changing levels of case reserve adequacy.  You are given the following information:</t>
  </si>
  <si>
    <r>
      <t>(</t>
    </r>
    <r>
      <rPr>
        <i/>
        <sz val="12"/>
        <color rgb="FF002060"/>
        <rFont val="Times New Roman"/>
        <family val="1"/>
      </rPr>
      <t>1 point</t>
    </r>
    <r>
      <rPr>
        <sz val="12"/>
        <color rgb="FF002060"/>
        <rFont val="Times New Roman"/>
        <family val="1"/>
      </rPr>
      <t>)  Evaluate whether the average case estimate triangle indicates either decreasing, increasing or stable case reserve adequacy.</t>
    </r>
  </si>
  <si>
    <t>Reported Claims (000)</t>
  </si>
  <si>
    <t>Paid Claims (000)</t>
  </si>
  <si>
    <t>You are given the following aggregated claims data for auto collision coverage:</t>
  </si>
  <si>
    <t xml:space="preserve">The current rate for this auto collision coverage is 110 with no deductible.  </t>
  </si>
  <si>
    <t>You are given the following aggregated claims data for a different coverage:</t>
  </si>
  <si>
    <r>
      <t>(</t>
    </r>
    <r>
      <rPr>
        <i/>
        <sz val="12"/>
        <color rgb="FF002060"/>
        <rFont val="Times New Roman"/>
        <family val="1"/>
      </rPr>
      <t>1.5 points</t>
    </r>
    <r>
      <rPr>
        <sz val="12"/>
        <color rgb="FF002060"/>
        <rFont val="Times New Roman"/>
        <family val="1"/>
      </rPr>
      <t>)  Calculate the increased limits factors relative to a basic limit of 10,000 for:</t>
    </r>
  </si>
  <si>
    <t>Premium Taxes, Licenses and Fees</t>
  </si>
  <si>
    <t xml:space="preserve"> - All policies written on or before December 31, 2017 were 6-month policies.  These policies were written uniformly throughout the year.</t>
  </si>
  <si>
    <t xml:space="preserve"> - All new policies are written uniformly throughout the year.</t>
  </si>
  <si>
    <t xml:space="preserve"> - All policies are earned uniformly through the policy period.</t>
  </si>
  <si>
    <t>You are given the following transactional claims data for all claims that occurred in 2017 for ABC Insurance Company's liability coverage:</t>
  </si>
  <si>
    <t>Construct the accident year 2017 row as of December 31, 2020 of ABC's cumulative reported claims and ALAE for each of the following development triangles:</t>
  </si>
  <si>
    <t>Unearned Premiums (000) as of December 31 Each Year</t>
  </si>
  <si>
    <t>Written Premiums (000) – Calendar Year</t>
  </si>
  <si>
    <t>Ultimate Claims including ALAE (000) – Accident Year</t>
  </si>
  <si>
    <t>Claim activity</t>
  </si>
  <si>
    <t>Accident Year 2017 Reported Claims and ALAE Development</t>
  </si>
  <si>
    <t>You are given the following loadings for large claims in State X, which were calculated using experience from accident years 2013 to 2020:</t>
  </si>
  <si>
    <t xml:space="preserve">  A</t>
  </si>
  <si>
    <t>B</t>
  </si>
  <si>
    <t xml:space="preserve">A:  </t>
  </si>
  <si>
    <t xml:space="preserve">Area = 1/2 × 1 × 1/2 = </t>
  </si>
  <si>
    <t xml:space="preserve">B:  </t>
  </si>
  <si>
    <t>These are the policies from 2017 that expired in 2018 and then renewed</t>
  </si>
  <si>
    <t xml:space="preserve">Area = 1/2 – 1/8 = </t>
  </si>
  <si>
    <t>2. Policies written new in 2018:</t>
  </si>
  <si>
    <t>Total 2018 earned premium:</t>
  </si>
  <si>
    <t>Earned premium = 2,500 × 750 × 0.25 =</t>
  </si>
  <si>
    <t>Earned premium = 2,500 × 750 × 0.375 × 0.80 × (1 + 0.04) =</t>
  </si>
  <si>
    <t>Earned premium = 2,750 × 780 × 0.50  =</t>
  </si>
  <si>
    <t>1. Policies in force as of Dec. 31, 2017:</t>
  </si>
  <si>
    <t>These are the policies that are in force as of Dec. 31, 2017 and expire in 2018</t>
  </si>
  <si>
    <t>1 A:</t>
  </si>
  <si>
    <t>This area needs to reflect both rate changes to be on-level:</t>
  </si>
  <si>
    <t>1 B:</t>
  </si>
  <si>
    <t>This needs only needs to reflect the 2020 rate change:</t>
  </si>
  <si>
    <t xml:space="preserve">2. </t>
  </si>
  <si>
    <t>Total 2018 on-level earned premium:</t>
  </si>
  <si>
    <t>OLEP = 468,750 × (1 + 0.04) × (1 + 0.05) =</t>
  </si>
  <si>
    <t>OLEP = 585,000 × (1 + 0.05) =</t>
  </si>
  <si>
    <t>OLEP = 1,072,500 × (1 + 0.05) =</t>
  </si>
  <si>
    <t>OR</t>
  </si>
  <si>
    <t>Latest 2 diagonals (i.e., calendar years 2019-2020) for ratios of paid to reported claims is low</t>
  </si>
  <si>
    <t>This appears to be a slow-down in settlement patterns.</t>
  </si>
  <si>
    <t>Justification:</t>
  </si>
  <si>
    <t xml:space="preserve"> - Either paid claims have decreased or reported claims have increased.</t>
  </si>
  <si>
    <t>Indicated Frequency</t>
  </si>
  <si>
    <t>Year-to-year Change</t>
  </si>
  <si>
    <t>Trended Frequency</t>
  </si>
  <si>
    <t>Average all years except 2019&amp;2020:</t>
  </si>
  <si>
    <t>Recommended annual frequency trend:</t>
  </si>
  <si>
    <t>Frequency Trend</t>
  </si>
  <si>
    <t xml:space="preserve">     Rationale: 2019&amp;2020 are outliers.</t>
  </si>
  <si>
    <t>Recommended claim frequency at 2020 cost level:</t>
  </si>
  <si>
    <t>Indicated Severity</t>
  </si>
  <si>
    <t>Trended Severity</t>
  </si>
  <si>
    <t>Severity Trend</t>
  </si>
  <si>
    <t>Recommended claim severity at 2020 cost level:</t>
  </si>
  <si>
    <t>Ultimate Counts</t>
  </si>
  <si>
    <t>Ultimate Severity</t>
  </si>
  <si>
    <t>Ultimate Claims</t>
  </si>
  <si>
    <t>% Cumulative Paid</t>
  </si>
  <si>
    <t>% Incremental Paid</t>
  </si>
  <si>
    <t>Projected in Calendar Year</t>
  </si>
  <si>
    <t>Ratio ULAE to Claims</t>
  </si>
  <si>
    <t>Expected Claims</t>
  </si>
  <si>
    <t xml:space="preserve">Calculated unpaid ULAE = </t>
  </si>
  <si>
    <t xml:space="preserve">   Justification: there are no significant outliers</t>
  </si>
  <si>
    <t>Recommended ratio:</t>
  </si>
  <si>
    <t>Dev months</t>
  </si>
  <si>
    <t>Occurrence</t>
  </si>
  <si>
    <t>A</t>
  </si>
  <si>
    <t>C</t>
  </si>
  <si>
    <t>ABC Retention</t>
  </si>
  <si>
    <t>Reinsurer Limit</t>
  </si>
  <si>
    <t>Treaty year</t>
  </si>
  <si>
    <t/>
  </si>
  <si>
    <t>Occurrence year</t>
  </si>
  <si>
    <t>Indemnity + ALAE</t>
  </si>
  <si>
    <t>(ii) Ceded reinsurance with pro rata treatment of ALAE, by development month:</t>
  </si>
  <si>
    <t>(iii) Ceded reinsurance with ALAE included in the insurer’s retention and the reinsurer’s limit, by development month:</t>
  </si>
  <si>
    <t>Ultimate Claim Ratios including ALAE</t>
  </si>
  <si>
    <t xml:space="preserve">	Property gross and net are stable with little discernible trend, so the average used._x000D_
</t>
  </si>
  <si>
    <t>Liability has rising trend, so recommend using the latest year.  [Could even project out a year].</t>
  </si>
  <si>
    <t>ULAE Ratio</t>
  </si>
  <si>
    <t>General Expense Ratio</t>
  </si>
  <si>
    <t>General expenses applicable to unearned premium</t>
  </si>
  <si>
    <t>Incentive Commission Ratio</t>
  </si>
  <si>
    <t>Unearned premiums</t>
  </si>
  <si>
    <t>Selected claim ratios</t>
  </si>
  <si>
    <t>Expected claims</t>
  </si>
  <si>
    <t>ULAE</t>
  </si>
  <si>
    <t>General expenses</t>
  </si>
  <si>
    <t>Incentive commissions</t>
  </si>
  <si>
    <t>Premium liabilities</t>
  </si>
  <si>
    <t xml:space="preserve">Equity in unearned premiums = UEP - Premium liabilities = </t>
  </si>
  <si>
    <t>Expense Load</t>
  </si>
  <si>
    <t>Case Estimates = Reported Claims - Paid Claims</t>
  </si>
  <si>
    <t>Open Counts = Reported Counts - Closed Counts</t>
  </si>
  <si>
    <t>Average Case = Case Estimates / Open Counts</t>
  </si>
  <si>
    <t>Changes in Average Case Estimates</t>
  </si>
  <si>
    <t>There is some instability.</t>
  </si>
  <si>
    <t>The last diagonal shows significant increases, suggested a significant increase in case reserve adequacy.</t>
  </si>
  <si>
    <t>AY</t>
  </si>
  <si>
    <t>Average</t>
  </si>
  <si>
    <t>Age-to-Ultimate</t>
  </si>
  <si>
    <t>Reported Claims</t>
  </si>
  <si>
    <t>Age-to-Ultimate Development Factor</t>
  </si>
  <si>
    <t>IBNR</t>
  </si>
  <si>
    <t>12 to 24</t>
  </si>
  <si>
    <t>24 to 36</t>
  </si>
  <si>
    <t>36 to 48</t>
  </si>
  <si>
    <t>48 to 60</t>
  </si>
  <si>
    <t>60 to Ult</t>
  </si>
  <si>
    <t>Adjusted average case estimates</t>
  </si>
  <si>
    <t>Adjusted case estimates</t>
  </si>
  <si>
    <t>Adjusted Reported Claims</t>
  </si>
  <si>
    <t>Development factors</t>
  </si>
  <si>
    <t>Property value</t>
  </si>
  <si>
    <t>Coverage</t>
  </si>
  <si>
    <t>Coinsurance requirement</t>
  </si>
  <si>
    <t>Coinsurance penalty percentage</t>
  </si>
  <si>
    <t>Loss amount</t>
  </si>
  <si>
    <t>Deductible</t>
  </si>
  <si>
    <t>Amount paid by insurer</t>
  </si>
  <si>
    <t>Claims eliminated at 1,000 deductible:</t>
  </si>
  <si>
    <t xml:space="preserve">Elimination ratio = </t>
  </si>
  <si>
    <t>Rate</t>
  </si>
  <si>
    <t>Ratios</t>
  </si>
  <si>
    <t>Variable Expenses</t>
  </si>
  <si>
    <t>Fixed Expenses</t>
  </si>
  <si>
    <t>New Rate calc:</t>
  </si>
  <si>
    <t>Using the Formula:  P = Claims + Variable Expenses + Fixed Expenses ==&gt; P = P×CR + P×V + F</t>
  </si>
  <si>
    <t>Reduce claims for claims eliminated by deductible:</t>
  </si>
  <si>
    <t xml:space="preserve">P = </t>
  </si>
  <si>
    <t>P×CR =</t>
  </si>
  <si>
    <t>Therefore, solve for P = 62.138 + P×V + 11</t>
  </si>
  <si>
    <t>Total Claims</t>
  </si>
  <si>
    <t>Claims Limited to 10,000</t>
  </si>
  <si>
    <t>Claims Limited to 20,000</t>
  </si>
  <si>
    <t>ILF (10,000 to 20,000)</t>
  </si>
  <si>
    <t>ILF (10,000 to Unlimited)</t>
  </si>
  <si>
    <t>6%</t>
  </si>
  <si>
    <t>-3%</t>
  </si>
  <si>
    <t>5%</t>
  </si>
  <si>
    <t>D</t>
  </si>
  <si>
    <t>of Rate Change</t>
  </si>
  <si>
    <t>Initial</t>
  </si>
  <si>
    <t>Average Rate Level in each CY:</t>
  </si>
  <si>
    <t>On-Level Factors for reserving:</t>
  </si>
  <si>
    <t>Change %</t>
  </si>
  <si>
    <t>Rate Level</t>
  </si>
  <si>
    <t>Index</t>
  </si>
  <si>
    <t>Percent Premium Earned in Each CY at Rate Level</t>
  </si>
  <si>
    <t>On-Level Factors</t>
  </si>
  <si>
    <t>Tort Reform</t>
  </si>
  <si>
    <t>Trended On-Level Claim Ratio</t>
  </si>
  <si>
    <t>Claim Ratio at Cost Level of Each AY</t>
  </si>
  <si>
    <t>Accident Year (AY)</t>
  </si>
  <si>
    <t>On-Level Earned Premium</t>
  </si>
  <si>
    <t>Expected % Paid</t>
  </si>
  <si>
    <t>Used-Up On-Level Earned Premium</t>
  </si>
  <si>
    <t>Adjusted Paid Claims at Dec. 31, 2020</t>
  </si>
  <si>
    <t>Adjusted Expected Claim Ratio:</t>
  </si>
  <si>
    <t>Expected % Unpaid</t>
  </si>
  <si>
    <t>Expected Unpaid Claims</t>
  </si>
  <si>
    <t>Projected Ultimate Claims</t>
  </si>
  <si>
    <t>Year-to-Year Change in Average OLWP</t>
  </si>
  <si>
    <t>Average On-Level Written Premium (OLWP)</t>
  </si>
  <si>
    <t>Average all years</t>
  </si>
  <si>
    <t>Average excluding 2015 outlier</t>
  </si>
  <si>
    <t>Recommended annual premium trend:</t>
  </si>
  <si>
    <t>Justification: Annual trend is reasonably stable except for 2015, which appears to be an outlier.</t>
  </si>
  <si>
    <t>Average Earned Premium Date</t>
  </si>
  <si>
    <t>Experience Period</t>
  </si>
  <si>
    <t>Forecast Period</t>
  </si>
  <si>
    <t>Trending Period (months)</t>
  </si>
  <si>
    <t>Trended Claim Ratios</t>
  </si>
  <si>
    <t>Trended On-Level Earned Premium @1.23%</t>
  </si>
  <si>
    <t>Excluding high/low:</t>
  </si>
  <si>
    <t>All year average:</t>
  </si>
  <si>
    <t>Average earned premium date in the future rating period = 9 months after August 1, 2021 = May 1, 2022</t>
  </si>
  <si>
    <t>Average (2018-2020):</t>
  </si>
  <si>
    <t>Selected weighted average trended experience claim ratio:</t>
  </si>
  <si>
    <t>Justification: Exclude high and low years to smooth the erratic values. No clear trend.</t>
  </si>
  <si>
    <t>Pure premium trend</t>
  </si>
  <si>
    <t>Indicated rate change for policies effective January 1, 2021 through June 30, 2021</t>
  </si>
  <si>
    <t>Permissible claim ratio for policies effective January 1, 2021 through June 30, 2021</t>
  </si>
  <si>
    <t>Premium trend</t>
  </si>
  <si>
    <t>Average accident date of prior filing</t>
  </si>
  <si>
    <t>Average accident date of forecast period</t>
  </si>
  <si>
    <t>Trending period in months</t>
  </si>
  <si>
    <t>Approved rate change for policies effective January 1, 2021 through June 30, 2021</t>
  </si>
  <si>
    <t>Selected trended claim ratio</t>
  </si>
  <si>
    <t>Complement of credibility</t>
  </si>
  <si>
    <t>Credibility weighed claim ratio</t>
  </si>
  <si>
    <t>Indicated rate change</t>
  </si>
  <si>
    <t>Complement of credibility claim ratio</t>
  </si>
  <si>
    <t>AY Lag by Report Year Matrix</t>
  </si>
  <si>
    <t>AY Lag</t>
  </si>
  <si>
    <t>RY1 Claims-made policy:</t>
  </si>
  <si>
    <t>RY1 Occurrence policy:</t>
  </si>
  <si>
    <t>Assume 3 year reported, 100 reported each year, annual trend of:</t>
  </si>
  <si>
    <t>Use same example as part (c), except with a trend after reported year 1 of:</t>
  </si>
  <si>
    <t>RY2 @20% Trend</t>
  </si>
  <si>
    <t>RY2 @10% Trend</t>
  </si>
  <si>
    <t xml:space="preserve">Change in claims-made = </t>
  </si>
  <si>
    <t xml:space="preserve">Change in occurrence = </t>
  </si>
  <si>
    <t>Average earned date in rating period:</t>
  </si>
  <si>
    <t>Trend Period (years)</t>
  </si>
  <si>
    <t>Severity Trend at</t>
  </si>
  <si>
    <t>Trended Ultimate Claims at Limit</t>
  </si>
  <si>
    <t>Loading for Large Claims</t>
  </si>
  <si>
    <t>Therefore, the loadings provided were not calculated correctly.</t>
  </si>
  <si>
    <t>Coutrytwide</t>
  </si>
  <si>
    <t>State X cred.</t>
  </si>
  <si>
    <t>Trend Factor for Large Claim Loading</t>
  </si>
  <si>
    <t xml:space="preserve">Large Claim Loading adjusted for cost level </t>
  </si>
  <si>
    <t>Indicated Ultimate Claims at Total Limits based on projections at
Alternative Limits (000)</t>
  </si>
  <si>
    <t xml:space="preserve"> ( 12 months following the effective date)</t>
  </si>
  <si>
    <t xml:space="preserve">Loadings for large claims </t>
  </si>
  <si>
    <t>Credibility-weighted loadings for large claims</t>
  </si>
  <si>
    <t xml:space="preserve">A large claim may have been reported between 24 and 36 months (which remains unpaid).  </t>
  </si>
  <si>
    <t xml:space="preserve"> - A large reported claim would explain the increase in average reported claims for AY 2014 only, with no change in average paid claims.</t>
  </si>
  <si>
    <t xml:space="preserve"> - A large reported but unpaid claim would explain the decrease in the Ratios for Paid to Reported claims for AY 2014 only beginning at 36 months.</t>
  </si>
  <si>
    <t xml:space="preserve"> - A single large claim would not have a material effect on counts.</t>
  </si>
  <si>
    <t>Latest 2 diagonals (i.e., calendar years 2019-2020) for ratios of closed to reported counts is low</t>
  </si>
  <si>
    <t xml:space="preserve"> - Changes on the diagonal often relate to settlement changes or case reserve adequacy changes.</t>
  </si>
  <si>
    <t xml:space="preserve"> - Closed counts and paid claims have both decreased.</t>
  </si>
  <si>
    <t xml:space="preserve"> - Since average reported claims didn't change, this does not appear to be a change in case adequacy.</t>
  </si>
  <si>
    <t>Premium Taxes and Licenses</t>
  </si>
  <si>
    <t>Budgeted ratio:</t>
  </si>
  <si>
    <t>Recommended gen &amp; other acq expense ratio:</t>
  </si>
  <si>
    <t>Fixed expense ratio:</t>
  </si>
  <si>
    <t>Average:</t>
  </si>
  <si>
    <t xml:space="preserve">Justification: Budget is similar to all other prior years except 2020, so budget appears to be a reasonable ratio. </t>
  </si>
  <si>
    <t>General and Other Acquisition Expenses Ratio</t>
  </si>
  <si>
    <t>Variable expense ratio for general and other acquisition expenses:</t>
  </si>
  <si>
    <t>Total variable expense ratio:</t>
  </si>
  <si>
    <t>Alternative solution using correct loadings as calculated in part (a).</t>
  </si>
  <si>
    <t>Loadings for large claims (from part (a))</t>
  </si>
  <si>
    <t>12:24</t>
  </si>
  <si>
    <t>24:36</t>
  </si>
  <si>
    <t>36:48</t>
  </si>
  <si>
    <t>48:60</t>
  </si>
  <si>
    <t>60:72</t>
  </si>
  <si>
    <t>Tail</t>
  </si>
  <si>
    <t>Latest 3 years:</t>
  </si>
  <si>
    <t>Simple average:</t>
  </si>
  <si>
    <t>Selection:</t>
  </si>
  <si>
    <t>Justification: Use the most recent 3 years to give consideration to the decreasing ratios down the columns.</t>
  </si>
  <si>
    <t>Calculated CDFs</t>
  </si>
  <si>
    <t>CDF</t>
  </si>
  <si>
    <t>Paid Claims</t>
  </si>
  <si>
    <t>Ultimate Claim Ratios</t>
  </si>
  <si>
    <t>% Unpaid</t>
  </si>
  <si>
    <t>A Priori Claim Ratio</t>
  </si>
  <si>
    <t>Selected Ultimate Claim Ratio</t>
  </si>
  <si>
    <t>Unpaid Claims</t>
  </si>
  <si>
    <t>Ultimate Claim Ratio from Part (c)</t>
  </si>
  <si>
    <t>Ultimate Claim Ratio from Part (d)</t>
  </si>
  <si>
    <t>Recommend the development method for AYs 2019 and prior, and the Bornhuetter Ferguson (BF)method for AY 2020.  The development method is used for older years to reflect actual experience.  The BF is better for immature periods and more than half of paids in AY 2020 are unpaid.  Also, BF method allows incorporation of expected change from COVID in the a priori claim ratio for AY 2020.</t>
  </si>
  <si>
    <t>Hurricane Wind
Premium Per
1,000 Coverage A</t>
  </si>
  <si>
    <t>Hurricane Wind
Premium $ for
207.5K Coverage A Limit</t>
  </si>
  <si>
    <t xml:space="preserve">Credibility assigned to the experience claim ratio </t>
  </si>
  <si>
    <t xml:space="preserve">     Also, 2020 may be an outlier due to premium growth in excess premium growth exhibited in prior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</si>
</sst>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0"/>
    <numFmt numFmtId="165" formatCode="0.000"/>
    <numFmt numFmtId="166" formatCode="mm/yyyy;@"/>
    <numFmt numFmtId="167" formatCode="0.0%"/>
    <numFmt numFmtId="168" formatCode="0.000000"/>
    <numFmt numFmtId="169" formatCode="0.0000%"/>
    <numFmt numFmtId="170" formatCode="#,##0.0000"/>
    <numFmt numFmtId="171" formatCode="#,##0;\–#,##0;0"/>
    <numFmt numFmtId="172" formatCode="_(* #,##0_);_(* \(#,##0\);_(* &quot;-&quot;??_);_(@_)"/>
    <numFmt numFmtId="173" formatCode="_(* #,##0.00_);_(* \(#,##0.00\);_(* &quot;-&quot;??_);_(@_)"/>
    <numFmt numFmtId="174" formatCode="_(* #,##0.000_);_(* \(#,##0.000\);_(* &quot;-&quot;??_);_(@_)"/>
    <numFmt numFmtId="175" formatCode="0.00000"/>
    <numFmt numFmtId="176" formatCode="0.0000"/>
    <numFmt numFmtId="177" formatCode="mmm\.\ d\,\ yyyy"/>
    <numFmt numFmtId="178" formatCode="0.00%;\-;\-"/>
    <numFmt numFmtId="179" formatCode="#,##0.000_ "/>
    <numFmt numFmtId="180" formatCode="#,##0_ "/>
  </numFmts>
  <fonts count="24" x14ac:knownFonts="1">
    <font>
      <sz val="11"/>
      <color theme="1"/>
      <name val="Calibri"/>
      <family val="2"/>
      <scheme val="minor"/>
    </font>
    <font>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sz val="11"/>
      <color theme="1"/>
      <name val="Calibri"/>
      <family val="2"/>
      <scheme val="minor"/>
    </font>
    <font>
      <b/>
      <sz val="12"/>
      <color rgb="FF002060"/>
      <name val="Times New Roman"/>
      <family val="1"/>
    </font>
    <font>
      <sz val="11"/>
      <color rgb="FF002060"/>
      <name val="Calibri"/>
      <family val="2"/>
      <scheme val="minor"/>
    </font>
    <font>
      <b/>
      <i/>
      <sz val="12"/>
      <color rgb="FF002060"/>
      <name val="Times New Roman"/>
      <family val="1"/>
    </font>
    <font>
      <sz val="12"/>
      <color theme="8" tint="-0.499984740745262"/>
      <name val="Times New Roman"/>
      <family val="1"/>
    </font>
    <font>
      <b/>
      <sz val="12"/>
      <color theme="8" tint="-0.499984740745262"/>
      <name val="Times New Roman"/>
      <family val="1"/>
    </font>
    <font>
      <b/>
      <sz val="12"/>
      <color theme="1"/>
      <name val="Times New Roman"/>
      <family val="1"/>
    </font>
    <font>
      <b/>
      <sz val="12"/>
      <name val="Times New Roman"/>
      <family val="1"/>
    </font>
    <font>
      <sz val="11"/>
      <name val="Calibri"/>
      <family val="2"/>
      <scheme val="minor"/>
    </font>
    <font>
      <sz val="11"/>
      <name val="Times New Roman"/>
      <family val="1"/>
    </font>
    <font>
      <sz val="12"/>
      <name val="Calibri"/>
      <family val="2"/>
      <scheme val="minor"/>
    </font>
    <font>
      <u/>
      <sz val="12"/>
      <color theme="1"/>
      <name val="Times New Roman"/>
      <family val="1"/>
    </font>
    <font>
      <sz val="12"/>
      <color theme="1"/>
      <name val="Calibri"/>
      <family val="2"/>
    </font>
    <font>
      <sz val="11"/>
      <color theme="1"/>
      <name val="Times New Roman"/>
      <family val="1"/>
    </font>
    <font>
      <sz val="12"/>
      <color rgb="FF000000"/>
      <name val="Times New Roman"/>
      <family val="1"/>
    </font>
    <font>
      <u/>
      <sz val="12"/>
      <name val="Times New Roman"/>
      <family val="1"/>
    </font>
    <font>
      <i/>
      <sz val="12"/>
      <color theme="4" tint="-0.499984740745262"/>
      <name val="Times New Roman"/>
      <family val="1"/>
    </font>
    <font>
      <sz val="12"/>
      <color theme="4"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gradientFill degree="90">
        <stop position="0">
          <color theme="0"/>
        </stop>
        <stop position="1">
          <color theme="0"/>
        </stop>
      </gradientFill>
    </fill>
  </fills>
  <borders count="21">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416">
    <xf numFmtId="0" fontId="0" fillId="0" borderId="0" xfId="0"/>
    <xf numFmtId="0" fontId="2" fillId="0" borderId="0" xfId="0" applyFont="1"/>
    <xf numFmtId="0" fontId="3" fillId="3" borderId="0" xfId="0" applyFont="1" applyFill="1"/>
    <xf numFmtId="0" fontId="2" fillId="3" borderId="0" xfId="0" applyFont="1" applyFill="1"/>
    <xf numFmtId="0" fontId="1" fillId="3" borderId="0" xfId="0" applyFont="1" applyFill="1"/>
    <xf numFmtId="0" fontId="4" fillId="3" borderId="0" xfId="0" applyFont="1" applyFill="1"/>
    <xf numFmtId="0" fontId="1" fillId="3" borderId="0" xfId="0" quotePrefix="1" applyFont="1" applyFill="1" applyAlignment="1">
      <alignment vertical="center"/>
    </xf>
    <xf numFmtId="0" fontId="5" fillId="0" borderId="0" xfId="0" applyFont="1"/>
    <xf numFmtId="0" fontId="1" fillId="0" borderId="0" xfId="0" applyFont="1"/>
    <xf numFmtId="0" fontId="1" fillId="2" borderId="0" xfId="0" applyFont="1" applyFill="1"/>
    <xf numFmtId="0" fontId="1" fillId="2" borderId="0" xfId="0" applyFont="1" applyFill="1" applyAlignment="1"/>
    <xf numFmtId="0" fontId="2" fillId="0" borderId="0" xfId="0" applyFont="1" applyAlignment="1"/>
    <xf numFmtId="0" fontId="1" fillId="3" borderId="0" xfId="0" applyFont="1" applyFill="1" applyAlignment="1"/>
    <xf numFmtId="0" fontId="1" fillId="3" borderId="0" xfId="0" quotePrefix="1" applyFont="1" applyFill="1" applyAlignment="1"/>
    <xf numFmtId="0" fontId="7" fillId="2" borderId="1" xfId="0" applyFont="1" applyFill="1" applyBorder="1" applyAlignment="1">
      <alignment horizontal="center"/>
    </xf>
    <xf numFmtId="0" fontId="7" fillId="2" borderId="2" xfId="0" applyFont="1" applyFill="1" applyBorder="1" applyAlignment="1">
      <alignment horizontal="centerContinuous"/>
    </xf>
    <xf numFmtId="0" fontId="7" fillId="2" borderId="3" xfId="0" applyFont="1" applyFill="1" applyBorder="1" applyAlignment="1">
      <alignment horizontal="centerContinuous"/>
    </xf>
    <xf numFmtId="0" fontId="7" fillId="2" borderId="4" xfId="0" applyFont="1" applyFill="1" applyBorder="1" applyAlignment="1">
      <alignment horizontal="center"/>
    </xf>
    <xf numFmtId="1" fontId="7" fillId="2" borderId="3" xfId="0" applyNumberFormat="1" applyFont="1" applyFill="1" applyBorder="1" applyAlignment="1">
      <alignment horizontal="center"/>
    </xf>
    <xf numFmtId="1" fontId="7" fillId="2" borderId="5" xfId="0" applyNumberFormat="1" applyFont="1" applyFill="1" applyBorder="1" applyAlignment="1">
      <alignment horizontal="center"/>
    </xf>
    <xf numFmtId="0" fontId="1" fillId="2" borderId="4" xfId="0" applyFont="1" applyFill="1" applyBorder="1" applyAlignment="1">
      <alignment horizontal="center"/>
    </xf>
    <xf numFmtId="164" fontId="1" fillId="2" borderId="5" xfId="1" applyNumberFormat="1" applyFont="1" applyFill="1" applyBorder="1" applyAlignment="1">
      <alignment horizontal="center"/>
    </xf>
    <xf numFmtId="0" fontId="1" fillId="2" borderId="5" xfId="0" applyFont="1" applyFill="1" applyBorder="1" applyAlignment="1">
      <alignment horizontal="center"/>
    </xf>
    <xf numFmtId="3" fontId="1" fillId="2" borderId="5" xfId="1" applyNumberFormat="1" applyFont="1" applyFill="1" applyBorder="1" applyAlignment="1">
      <alignment horizontal="center"/>
    </xf>
    <xf numFmtId="0" fontId="8" fillId="2" borderId="0" xfId="0" applyFont="1" applyFill="1"/>
    <xf numFmtId="0" fontId="1" fillId="2" borderId="0" xfId="0" quotePrefix="1" applyFont="1" applyFill="1" applyAlignment="1"/>
    <xf numFmtId="0" fontId="2" fillId="2" borderId="0" xfId="0" applyFont="1" applyFill="1"/>
    <xf numFmtId="0" fontId="7" fillId="2" borderId="5" xfId="0" applyFont="1" applyFill="1" applyBorder="1" applyAlignment="1">
      <alignment horizontal="center" wrapText="1"/>
    </xf>
    <xf numFmtId="3" fontId="1" fillId="2" borderId="5" xfId="0" applyNumberFormat="1" applyFont="1" applyFill="1" applyBorder="1" applyAlignment="1">
      <alignment horizontal="center"/>
    </xf>
    <xf numFmtId="0" fontId="7" fillId="2" borderId="5" xfId="0" applyFont="1" applyFill="1" applyBorder="1" applyAlignment="1">
      <alignment horizontal="center"/>
    </xf>
    <xf numFmtId="3" fontId="7" fillId="2" borderId="5" xfId="0" applyNumberFormat="1" applyFont="1" applyFill="1" applyBorder="1" applyAlignment="1">
      <alignment horizontal="center"/>
    </xf>
    <xf numFmtId="3" fontId="1" fillId="2" borderId="4" xfId="0" applyNumberFormat="1" applyFont="1" applyFill="1" applyBorder="1" applyAlignment="1">
      <alignment horizontal="center"/>
    </xf>
    <xf numFmtId="0" fontId="1" fillId="2" borderId="11" xfId="0" applyFont="1" applyFill="1" applyBorder="1"/>
    <xf numFmtId="0" fontId="1" fillId="2" borderId="6" xfId="0" applyFont="1" applyFill="1" applyBorder="1"/>
    <xf numFmtId="0" fontId="1" fillId="2" borderId="2" xfId="0" applyFont="1" applyFill="1" applyBorder="1"/>
    <xf numFmtId="0" fontId="1" fillId="2" borderId="15" xfId="0" applyFont="1" applyFill="1" applyBorder="1"/>
    <xf numFmtId="165" fontId="1" fillId="2" borderId="12" xfId="0" applyNumberFormat="1" applyFont="1" applyFill="1" applyBorder="1" applyAlignment="1">
      <alignment horizontal="center"/>
    </xf>
    <xf numFmtId="165" fontId="1" fillId="2" borderId="14" xfId="0" applyNumberFormat="1" applyFont="1" applyFill="1" applyBorder="1" applyAlignment="1">
      <alignment horizontal="center"/>
    </xf>
    <xf numFmtId="0" fontId="1" fillId="2" borderId="1" xfId="0" applyFont="1" applyFill="1" applyBorder="1"/>
    <xf numFmtId="165" fontId="1" fillId="2" borderId="4" xfId="0" applyNumberFormat="1" applyFont="1" applyFill="1" applyBorder="1" applyAlignment="1">
      <alignment horizont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2" fillId="2" borderId="0" xfId="0" applyFont="1" applyFill="1" applyAlignment="1"/>
    <xf numFmtId="0" fontId="1" fillId="2" borderId="0" xfId="0" quotePrefix="1" applyFont="1" applyFill="1"/>
    <xf numFmtId="3" fontId="1" fillId="2" borderId="0" xfId="0" applyNumberFormat="1" applyFont="1" applyFill="1" applyAlignment="1"/>
    <xf numFmtId="0" fontId="1" fillId="0" borderId="0" xfId="0" applyFont="1" applyFill="1"/>
    <xf numFmtId="0" fontId="2" fillId="0" borderId="0" xfId="0" applyFont="1" applyFill="1"/>
    <xf numFmtId="0" fontId="1" fillId="3" borderId="1" xfId="0" applyFont="1" applyFill="1" applyBorder="1" applyAlignment="1"/>
    <xf numFmtId="0" fontId="9" fillId="3" borderId="0" xfId="0" applyFont="1" applyFill="1"/>
    <xf numFmtId="0" fontId="10" fillId="2" borderId="5" xfId="0" applyFont="1" applyFill="1" applyBorder="1" applyAlignment="1">
      <alignment horizontal="center"/>
    </xf>
    <xf numFmtId="3" fontId="10" fillId="2" borderId="5" xfId="0" applyNumberFormat="1" applyFont="1" applyFill="1" applyBorder="1"/>
    <xf numFmtId="0" fontId="10" fillId="2" borderId="5" xfId="0" applyFont="1" applyFill="1" applyBorder="1"/>
    <xf numFmtId="166" fontId="10" fillId="2" borderId="5" xfId="0" applyNumberFormat="1" applyFont="1" applyFill="1" applyBorder="1" applyAlignment="1">
      <alignment horizontal="center"/>
    </xf>
    <xf numFmtId="0" fontId="7" fillId="3" borderId="1" xfId="0" applyFont="1" applyFill="1" applyBorder="1" applyAlignment="1"/>
    <xf numFmtId="0" fontId="7" fillId="3" borderId="1" xfId="0" applyFont="1" applyFill="1" applyBorder="1" applyAlignment="1">
      <alignment horizontal="left"/>
    </xf>
    <xf numFmtId="0" fontId="11" fillId="2" borderId="4" xfId="0" applyFont="1" applyFill="1" applyBorder="1" applyAlignment="1">
      <alignment horizontal="center" wrapText="1"/>
    </xf>
    <xf numFmtId="0" fontId="11" fillId="2" borderId="5" xfId="0" applyFont="1" applyFill="1" applyBorder="1" applyAlignment="1">
      <alignment horizontal="center" wrapText="1"/>
    </xf>
    <xf numFmtId="0" fontId="11" fillId="2" borderId="4" xfId="0" applyFont="1" applyFill="1" applyBorder="1" applyAlignment="1">
      <alignment horizontal="left" wrapText="1"/>
    </xf>
    <xf numFmtId="0" fontId="1" fillId="2" borderId="5" xfId="0" applyFont="1" applyFill="1" applyBorder="1" applyAlignment="1">
      <alignment vertical="top"/>
    </xf>
    <xf numFmtId="0" fontId="7" fillId="2" borderId="5" xfId="0" applyFont="1" applyFill="1" applyBorder="1" applyAlignment="1">
      <alignment horizontal="center" vertical="center"/>
    </xf>
    <xf numFmtId="0" fontId="1" fillId="2" borderId="5" xfId="0"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2" borderId="5" xfId="0" applyFont="1" applyFill="1" applyBorder="1" applyAlignment="1">
      <alignment horizontal="right" vertical="center"/>
    </xf>
    <xf numFmtId="9" fontId="1" fillId="2" borderId="5" xfId="0" applyNumberFormat="1" applyFont="1" applyFill="1" applyBorder="1" applyAlignment="1">
      <alignment horizontal="center" vertical="center"/>
    </xf>
    <xf numFmtId="0" fontId="1" fillId="2" borderId="5" xfId="0" applyFont="1" applyFill="1" applyBorder="1" applyAlignment="1">
      <alignment vertical="center"/>
    </xf>
    <xf numFmtId="0" fontId="5" fillId="2" borderId="0" xfId="0" applyFont="1" applyFill="1"/>
    <xf numFmtId="0" fontId="7" fillId="2" borderId="5" xfId="0" applyFont="1" applyFill="1" applyBorder="1" applyAlignment="1">
      <alignment horizontal="center" vertical="center" wrapText="1"/>
    </xf>
    <xf numFmtId="0" fontId="7" fillId="2" borderId="5" xfId="0" applyFont="1" applyFill="1" applyBorder="1" applyAlignment="1"/>
    <xf numFmtId="0" fontId="1" fillId="2" borderId="0" xfId="0" applyFont="1" applyFill="1" applyAlignment="1">
      <alignment vertical="center"/>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0" xfId="0" quotePrefix="1" applyFont="1" applyFill="1" applyAlignment="1">
      <alignment vertical="center"/>
    </xf>
    <xf numFmtId="0" fontId="0" fillId="0" borderId="15" xfId="0" applyFill="1" applyBorder="1" applyAlignment="1">
      <alignment vertical="top"/>
    </xf>
    <xf numFmtId="0" fontId="2" fillId="0" borderId="11" xfId="0" applyFont="1" applyFill="1" applyBorder="1"/>
    <xf numFmtId="0" fontId="0" fillId="0" borderId="12" xfId="0" applyFill="1" applyBorder="1" applyAlignment="1">
      <alignment vertical="top"/>
    </xf>
    <xf numFmtId="0" fontId="2" fillId="0" borderId="14" xfId="0" applyFont="1" applyFill="1" applyBorder="1"/>
    <xf numFmtId="0" fontId="2" fillId="0" borderId="6" xfId="0" applyFont="1" applyFill="1" applyBorder="1" applyAlignment="1">
      <alignment vertical="center"/>
    </xf>
    <xf numFmtId="0" fontId="2" fillId="0" borderId="3" xfId="0" applyFont="1" applyFill="1" applyBorder="1"/>
    <xf numFmtId="0" fontId="12" fillId="0" borderId="5" xfId="0" applyFont="1" applyFill="1" applyBorder="1" applyAlignment="1">
      <alignment horizontal="center" vertical="center"/>
    </xf>
    <xf numFmtId="0" fontId="7" fillId="2" borderId="15" xfId="0" applyFont="1" applyFill="1" applyBorder="1" applyAlignment="1">
      <alignment horizontal="left" vertical="center"/>
    </xf>
    <xf numFmtId="0" fontId="1" fillId="2" borderId="10" xfId="0" applyFont="1" applyFill="1" applyBorder="1" applyAlignment="1"/>
    <xf numFmtId="0" fontId="1" fillId="2" borderId="12" xfId="0" applyFont="1" applyFill="1" applyBorder="1" applyAlignment="1">
      <alignment horizontal="left" vertical="center"/>
    </xf>
    <xf numFmtId="0" fontId="1" fillId="2" borderId="13" xfId="0" applyFont="1" applyFill="1" applyBorder="1" applyAlignment="1"/>
    <xf numFmtId="0" fontId="1" fillId="2" borderId="6" xfId="0" applyFont="1" applyFill="1" applyBorder="1" applyAlignment="1">
      <alignment horizontal="left" vertical="center"/>
    </xf>
    <xf numFmtId="0" fontId="1" fillId="2" borderId="2" xfId="0" applyFont="1" applyFill="1" applyBorder="1" applyAlignment="1"/>
    <xf numFmtId="0" fontId="7" fillId="2" borderId="5" xfId="0" applyFont="1" applyFill="1" applyBorder="1" applyAlignment="1">
      <alignment horizontal="left" vertical="center"/>
    </xf>
    <xf numFmtId="0" fontId="1" fillId="2" borderId="5" xfId="0" applyFont="1" applyFill="1" applyBorder="1" applyAlignment="1">
      <alignment horizontal="left"/>
    </xf>
    <xf numFmtId="0" fontId="1" fillId="2" borderId="5" xfId="0" applyFont="1" applyFill="1" applyBorder="1" applyAlignment="1">
      <alignment horizontal="left" vertical="center"/>
    </xf>
    <xf numFmtId="15" fontId="1" fillId="2" borderId="5" xfId="0" applyNumberFormat="1"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xf>
    <xf numFmtId="3" fontId="1" fillId="3" borderId="0" xfId="0" applyNumberFormat="1" applyFont="1" applyFill="1"/>
    <xf numFmtId="0" fontId="1" fillId="2" borderId="0" xfId="0" quotePrefix="1" applyFont="1" applyFill="1" applyAlignment="1">
      <alignment horizontal="right"/>
    </xf>
    <xf numFmtId="3" fontId="1" fillId="3" borderId="0" xfId="0" applyNumberFormat="1" applyFont="1" applyFill="1" applyAlignment="1"/>
    <xf numFmtId="9" fontId="1" fillId="3" borderId="0" xfId="0" applyNumberFormat="1" applyFont="1" applyFill="1" applyAlignment="1"/>
    <xf numFmtId="0" fontId="1" fillId="2" borderId="5" xfId="0" applyFont="1" applyFill="1" applyBorder="1" applyAlignment="1">
      <alignment vertical="center" wrapText="1"/>
    </xf>
    <xf numFmtId="0" fontId="9" fillId="0" borderId="0" xfId="0" applyFont="1"/>
    <xf numFmtId="167" fontId="1" fillId="2" borderId="5" xfId="0" applyNumberFormat="1" applyFont="1" applyFill="1" applyBorder="1" applyAlignment="1">
      <alignment horizontal="center" vertical="center"/>
    </xf>
    <xf numFmtId="0" fontId="5" fillId="0" borderId="0" xfId="0" applyFont="1" applyBorder="1"/>
    <xf numFmtId="0" fontId="2" fillId="0" borderId="19" xfId="0" applyFont="1" applyFill="1" applyBorder="1" applyAlignment="1">
      <alignment vertical="center" wrapText="1"/>
    </xf>
    <xf numFmtId="0" fontId="2" fillId="0" borderId="20" xfId="0" applyFont="1" applyFill="1" applyBorder="1" applyAlignment="1">
      <alignment horizontal="center" vertical="center" wrapText="1"/>
    </xf>
    <xf numFmtId="165" fontId="1" fillId="2" borderId="5" xfId="0" applyNumberFormat="1" applyFont="1" applyFill="1" applyBorder="1" applyAlignment="1">
      <alignment horizontal="center" vertical="center"/>
    </xf>
    <xf numFmtId="2" fontId="1" fillId="2" borderId="5" xfId="0" applyNumberFormat="1" applyFont="1" applyFill="1" applyBorder="1" applyAlignment="1">
      <alignment horizontal="center" vertical="center"/>
    </xf>
    <xf numFmtId="0" fontId="2" fillId="4" borderId="15" xfId="0" applyFont="1" applyFill="1" applyBorder="1"/>
    <xf numFmtId="0" fontId="2" fillId="4" borderId="10" xfId="0" applyFont="1" applyFill="1" applyBorder="1"/>
    <xf numFmtId="0" fontId="2" fillId="4" borderId="11" xfId="0" applyFont="1" applyFill="1" applyBorder="1"/>
    <xf numFmtId="0" fontId="2" fillId="4" borderId="8" xfId="0" applyFont="1" applyFill="1" applyBorder="1"/>
    <xf numFmtId="0" fontId="2" fillId="4" borderId="0" xfId="0" applyFont="1" applyFill="1"/>
    <xf numFmtId="0" fontId="2" fillId="4" borderId="9" xfId="0" applyFont="1" applyFill="1" applyBorder="1"/>
    <xf numFmtId="0" fontId="2" fillId="4" borderId="12" xfId="0" applyFont="1" applyFill="1" applyBorder="1"/>
    <xf numFmtId="0" fontId="2" fillId="4" borderId="13" xfId="0" applyFont="1" applyFill="1" applyBorder="1"/>
    <xf numFmtId="0" fontId="2" fillId="4" borderId="14" xfId="0" applyFont="1" applyFill="1" applyBorder="1"/>
    <xf numFmtId="0" fontId="2" fillId="0" borderId="0" xfId="0" applyFont="1" applyFill="1" applyAlignment="1">
      <alignment horizontal="right"/>
    </xf>
    <xf numFmtId="9" fontId="2" fillId="0" borderId="0" xfId="1" applyFont="1" applyFill="1"/>
    <xf numFmtId="3" fontId="2" fillId="0" borderId="0" xfId="0" applyNumberFormat="1" applyFont="1" applyFill="1"/>
    <xf numFmtId="167" fontId="2" fillId="0" borderId="0" xfId="1" applyNumberFormat="1" applyFont="1" applyFill="1"/>
    <xf numFmtId="3" fontId="2" fillId="0" borderId="0" xfId="0" applyNumberFormat="1" applyFont="1" applyFill="1" applyAlignment="1">
      <alignment horizontal="left"/>
    </xf>
    <xf numFmtId="18" fontId="2" fillId="0" borderId="0" xfId="0" quotePrefix="1" applyNumberFormat="1" applyFont="1" applyFill="1"/>
    <xf numFmtId="0" fontId="5" fillId="0" borderId="0" xfId="0" applyFont="1" applyFill="1"/>
    <xf numFmtId="0" fontId="2" fillId="0" borderId="0" xfId="0" quotePrefix="1" applyFont="1" applyFill="1"/>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xf>
    <xf numFmtId="0" fontId="2" fillId="0" borderId="0" xfId="0" quotePrefix="1" applyFont="1"/>
    <xf numFmtId="0" fontId="2" fillId="0" borderId="13" xfId="0" applyFont="1" applyBorder="1" applyAlignment="1">
      <alignment horizontal="center" wrapText="1"/>
    </xf>
    <xf numFmtId="168" fontId="2" fillId="0" borderId="0" xfId="0" applyNumberFormat="1" applyFont="1" applyAlignment="1">
      <alignment horizontal="center"/>
    </xf>
    <xf numFmtId="0" fontId="12" fillId="0" borderId="0" xfId="0" applyFont="1" applyAlignment="1">
      <alignment horizontal="center"/>
    </xf>
    <xf numFmtId="169" fontId="2" fillId="0" borderId="0" xfId="0" applyNumberFormat="1" applyFont="1" applyFill="1" applyAlignment="1">
      <alignment horizontal="center"/>
    </xf>
    <xf numFmtId="0" fontId="0" fillId="0" borderId="0" xfId="0" applyFill="1"/>
    <xf numFmtId="168" fontId="2" fillId="0" borderId="0" xfId="0" applyNumberFormat="1" applyFont="1" applyFill="1" applyAlignment="1">
      <alignment horizontal="center"/>
    </xf>
    <xf numFmtId="10" fontId="5" fillId="0" borderId="0" xfId="0" applyNumberFormat="1" applyFont="1" applyFill="1" applyAlignment="1">
      <alignment horizontal="center"/>
    </xf>
    <xf numFmtId="3" fontId="2" fillId="0" borderId="0" xfId="0" applyNumberFormat="1" applyFont="1" applyAlignment="1">
      <alignment horizontal="center"/>
    </xf>
    <xf numFmtId="4" fontId="2" fillId="0" borderId="0" xfId="0" applyNumberFormat="1" applyFont="1" applyAlignment="1">
      <alignment horizontal="center"/>
    </xf>
    <xf numFmtId="0" fontId="13" fillId="0" borderId="0" xfId="0" applyFont="1" applyFill="1" applyAlignment="1">
      <alignment horizontal="center"/>
    </xf>
    <xf numFmtId="169" fontId="5" fillId="0" borderId="0" xfId="0" applyNumberFormat="1" applyFont="1" applyFill="1" applyAlignment="1">
      <alignment horizontal="center"/>
    </xf>
    <xf numFmtId="0" fontId="14" fillId="0" borderId="0" xfId="0" applyFont="1" applyFill="1"/>
    <xf numFmtId="4" fontId="5" fillId="0" borderId="0" xfId="0" applyNumberFormat="1" applyFont="1" applyFill="1" applyAlignment="1">
      <alignment horizontal="center"/>
    </xf>
    <xf numFmtId="0" fontId="2" fillId="0" borderId="13" xfId="0" applyFont="1" applyBorder="1" applyAlignment="1">
      <alignment horizontal="center"/>
    </xf>
    <xf numFmtId="4" fontId="2" fillId="0" borderId="13" xfId="0" applyNumberFormat="1" applyFont="1" applyBorder="1" applyAlignment="1">
      <alignment horizontal="center"/>
    </xf>
    <xf numFmtId="3" fontId="2" fillId="0" borderId="13" xfId="0" applyNumberFormat="1" applyFont="1" applyBorder="1" applyAlignment="1">
      <alignment horizontal="center"/>
    </xf>
    <xf numFmtId="167" fontId="2" fillId="0" borderId="5" xfId="1" applyNumberFormat="1" applyFont="1" applyFill="1" applyBorder="1" applyAlignment="1">
      <alignment horizontal="center"/>
    </xf>
    <xf numFmtId="3" fontId="5" fillId="0" borderId="0" xfId="0" applyNumberFormat="1" applyFont="1" applyAlignment="1">
      <alignment horizontal="center"/>
    </xf>
    <xf numFmtId="3" fontId="5" fillId="0" borderId="13" xfId="0" applyNumberFormat="1" applyFont="1" applyBorder="1" applyAlignment="1">
      <alignment horizontal="center"/>
    </xf>
    <xf numFmtId="0" fontId="5" fillId="0" borderId="13" xfId="0" applyFont="1" applyBorder="1" applyAlignment="1">
      <alignment horizontal="center" wrapText="1"/>
    </xf>
    <xf numFmtId="10" fontId="5" fillId="0" borderId="0" xfId="1" applyNumberFormat="1" applyFont="1" applyFill="1" applyBorder="1" applyAlignment="1">
      <alignment horizontal="center"/>
    </xf>
    <xf numFmtId="0" fontId="5" fillId="0" borderId="13" xfId="0" applyFont="1" applyBorder="1" applyAlignment="1">
      <alignment horizontal="center"/>
    </xf>
    <xf numFmtId="10" fontId="5" fillId="0" borderId="13" xfId="1" applyNumberFormat="1" applyFont="1" applyFill="1" applyBorder="1" applyAlignment="1">
      <alignment horizontal="center"/>
    </xf>
    <xf numFmtId="0" fontId="2" fillId="0" borderId="5" xfId="0" applyFont="1" applyFill="1" applyBorder="1"/>
    <xf numFmtId="167" fontId="2" fillId="0" borderId="5" xfId="0" applyNumberFormat="1" applyFont="1" applyFill="1" applyBorder="1" applyAlignment="1">
      <alignment horizontal="center"/>
    </xf>
    <xf numFmtId="167" fontId="2" fillId="0" borderId="0" xfId="0" applyNumberFormat="1" applyFont="1" applyFill="1"/>
    <xf numFmtId="170" fontId="2" fillId="0" borderId="0" xfId="0" applyNumberFormat="1" applyFont="1" applyFill="1" applyAlignment="1">
      <alignment horizontal="center"/>
    </xf>
    <xf numFmtId="0" fontId="2" fillId="0" borderId="13" xfId="0" applyFont="1" applyFill="1" applyBorder="1" applyAlignment="1">
      <alignment horizontal="center" wrapText="1"/>
    </xf>
    <xf numFmtId="0" fontId="2" fillId="0" borderId="13" xfId="0" applyFont="1" applyFill="1" applyBorder="1" applyAlignment="1">
      <alignment horizontal="center"/>
    </xf>
    <xf numFmtId="0" fontId="2" fillId="0" borderId="0" xfId="0" applyFont="1" applyFill="1" applyAlignment="1">
      <alignment horizontal="center"/>
    </xf>
    <xf numFmtId="3" fontId="5" fillId="0" borderId="0" xfId="0" applyNumberFormat="1" applyFont="1" applyFill="1" applyAlignment="1">
      <alignment horizontal="center"/>
    </xf>
    <xf numFmtId="3" fontId="2" fillId="0" borderId="0" xfId="0" applyNumberFormat="1" applyFont="1" applyFill="1" applyAlignment="1">
      <alignment horizontal="center"/>
    </xf>
    <xf numFmtId="3" fontId="5" fillId="0" borderId="13" xfId="0" applyNumberFormat="1" applyFont="1" applyFill="1" applyBorder="1" applyAlignment="1">
      <alignment horizontal="center"/>
    </xf>
    <xf numFmtId="3" fontId="2" fillId="0" borderId="13" xfId="0" applyNumberFormat="1" applyFont="1" applyFill="1" applyBorder="1" applyAlignment="1">
      <alignment horizontal="center"/>
    </xf>
    <xf numFmtId="0" fontId="13" fillId="0" borderId="5" xfId="0" applyFont="1" applyFill="1" applyBorder="1" applyAlignment="1">
      <alignment horizontal="center"/>
    </xf>
    <xf numFmtId="0" fontId="5" fillId="0" borderId="5" xfId="0" applyFont="1" applyBorder="1"/>
    <xf numFmtId="0" fontId="5" fillId="0" borderId="0" xfId="0" applyFont="1" applyFill="1" applyAlignment="1">
      <alignment horizontal="center"/>
    </xf>
    <xf numFmtId="10" fontId="5" fillId="0" borderId="0" xfId="1" applyNumberFormat="1" applyFont="1" applyFill="1"/>
    <xf numFmtId="0" fontId="2" fillId="0" borderId="13" xfId="0" applyFont="1" applyFill="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3" fontId="5" fillId="0" borderId="5" xfId="0" applyNumberFormat="1" applyFont="1" applyBorder="1" applyAlignment="1">
      <alignment horizontal="center"/>
    </xf>
    <xf numFmtId="171" fontId="5" fillId="0" borderId="5" xfId="0" applyNumberFormat="1" applyFont="1" applyBorder="1"/>
    <xf numFmtId="3" fontId="5" fillId="0" borderId="5" xfId="0" applyNumberFormat="1" applyFont="1" applyFill="1" applyBorder="1" applyAlignment="1">
      <alignment vertical="center" wrapText="1"/>
    </xf>
    <xf numFmtId="0" fontId="5" fillId="0" borderId="5" xfId="0" applyFont="1" applyFill="1" applyBorder="1" applyAlignment="1">
      <alignment vertical="center" wrapText="1"/>
    </xf>
    <xf numFmtId="0" fontId="16" fillId="0" borderId="0" xfId="0" applyFont="1" applyFill="1"/>
    <xf numFmtId="0" fontId="16" fillId="0" borderId="0" xfId="0" quotePrefix="1" applyFont="1" applyFill="1"/>
    <xf numFmtId="0" fontId="2" fillId="0" borderId="5" xfId="0" applyFont="1" applyBorder="1"/>
    <xf numFmtId="0" fontId="2" fillId="0" borderId="5" xfId="0" applyFont="1" applyBorder="1" applyAlignment="1">
      <alignment horizontal="center"/>
    </xf>
    <xf numFmtId="3" fontId="2" fillId="0" borderId="5" xfId="0" applyNumberFormat="1" applyFont="1" applyBorder="1"/>
    <xf numFmtId="3" fontId="2" fillId="0" borderId="0" xfId="0" applyNumberFormat="1" applyFont="1"/>
    <xf numFmtId="0" fontId="2" fillId="0" borderId="0" xfId="0" applyFont="1" applyBorder="1"/>
    <xf numFmtId="0" fontId="2" fillId="0" borderId="5" xfId="0" quotePrefix="1" applyFont="1" applyBorder="1"/>
    <xf numFmtId="3" fontId="2" fillId="0" borderId="5" xfId="0" quotePrefix="1" applyNumberFormat="1" applyFont="1" applyBorder="1"/>
    <xf numFmtId="3" fontId="2" fillId="0" borderId="20" xfId="0" applyNumberFormat="1" applyFont="1" applyFill="1" applyBorder="1" applyAlignment="1">
      <alignment vertical="center" wrapText="1"/>
    </xf>
    <xf numFmtId="0" fontId="2" fillId="0" borderId="13" xfId="0" applyFont="1" applyBorder="1" applyAlignment="1">
      <alignment horizontal="center" vertical="center"/>
    </xf>
    <xf numFmtId="0" fontId="2" fillId="0" borderId="0" xfId="0" applyFont="1" applyAlignment="1">
      <alignment horizontal="center" vertical="center"/>
    </xf>
    <xf numFmtId="9" fontId="2" fillId="0" borderId="0" xfId="0" applyNumberFormat="1" applyFont="1" applyAlignment="1">
      <alignment horizontal="center" vertical="center"/>
    </xf>
    <xf numFmtId="167" fontId="2" fillId="0" borderId="5" xfId="0" applyNumberFormat="1" applyFont="1" applyBorder="1" applyAlignment="1">
      <alignment horizontal="center" vertical="center"/>
    </xf>
    <xf numFmtId="0" fontId="2" fillId="0" borderId="0" xfId="0" applyFont="1" applyAlignment="1">
      <alignment vertical="top"/>
    </xf>
    <xf numFmtId="0" fontId="2" fillId="0" borderId="13" xfId="0" applyFont="1" applyBorder="1" applyAlignment="1">
      <alignment vertical="top"/>
    </xf>
    <xf numFmtId="4" fontId="2" fillId="0" borderId="0" xfId="0" applyNumberFormat="1" applyFont="1"/>
    <xf numFmtId="4" fontId="2" fillId="0" borderId="0" xfId="2" applyNumberFormat="1" applyFont="1" applyFill="1" applyBorder="1"/>
    <xf numFmtId="0" fontId="2" fillId="0" borderId="13" xfId="0" applyFont="1" applyBorder="1"/>
    <xf numFmtId="9" fontId="2" fillId="0" borderId="13" xfId="1" applyFont="1" applyFill="1" applyBorder="1"/>
    <xf numFmtId="4" fontId="18" fillId="0" borderId="0" xfId="0" applyNumberFormat="1" applyFont="1"/>
    <xf numFmtId="4" fontId="2" fillId="0" borderId="13" xfId="0" applyNumberFormat="1" applyFont="1" applyBorder="1"/>
    <xf numFmtId="167" fontId="2" fillId="0" borderId="13" xfId="1" applyNumberFormat="1" applyFont="1" applyFill="1" applyBorder="1"/>
    <xf numFmtId="0" fontId="5" fillId="0" borderId="0" xfId="0" applyFont="1" applyFill="1" applyAlignment="1">
      <alignment horizontal="left" vertical="center"/>
    </xf>
    <xf numFmtId="9" fontId="5" fillId="0" borderId="0" xfId="0" applyNumberFormat="1" applyFont="1" applyFill="1"/>
    <xf numFmtId="172" fontId="5" fillId="0" borderId="0" xfId="0" applyNumberFormat="1" applyFont="1" applyFill="1"/>
    <xf numFmtId="173" fontId="5" fillId="0" borderId="0" xfId="0" applyNumberFormat="1" applyFont="1" applyFill="1"/>
    <xf numFmtId="0" fontId="13" fillId="0" borderId="5" xfId="0" applyFont="1" applyFill="1" applyBorder="1" applyAlignment="1"/>
    <xf numFmtId="0" fontId="5" fillId="0" borderId="5" xfId="0" applyFont="1" applyFill="1" applyBorder="1" applyAlignment="1">
      <alignment vertical="center"/>
    </xf>
    <xf numFmtId="0" fontId="19" fillId="0" borderId="5" xfId="0" applyFont="1" applyBorder="1" applyAlignment="1">
      <alignment horizontal="center"/>
    </xf>
    <xf numFmtId="0" fontId="19" fillId="0" borderId="5" xfId="0" applyFont="1" applyBorder="1" applyAlignment="1">
      <alignment horizontal="center" wrapText="1"/>
    </xf>
    <xf numFmtId="2" fontId="19" fillId="0" borderId="5" xfId="0" applyNumberFormat="1" applyFont="1" applyBorder="1" applyAlignment="1">
      <alignment horizontal="right"/>
    </xf>
    <xf numFmtId="3" fontId="19" fillId="0" borderId="5" xfId="2" applyNumberFormat="1" applyFont="1" applyFill="1" applyBorder="1" applyAlignment="1">
      <alignment horizontal="right"/>
    </xf>
    <xf numFmtId="0" fontId="20" fillId="0" borderId="0" xfId="0" applyFont="1" applyAlignment="1">
      <alignment horizontal="center" vertical="center" wrapText="1"/>
    </xf>
    <xf numFmtId="172" fontId="20" fillId="0" borderId="0" xfId="2" applyNumberFormat="1" applyFont="1" applyFill="1" applyBorder="1" applyAlignment="1">
      <alignment horizontal="center" vertical="center" wrapText="1"/>
    </xf>
    <xf numFmtId="4" fontId="2" fillId="0" borderId="0" xfId="2" applyNumberFormat="1" applyFont="1" applyFill="1" applyAlignment="1">
      <alignment horizontal="center"/>
    </xf>
    <xf numFmtId="3" fontId="2" fillId="0" borderId="0" xfId="2" applyNumberFormat="1" applyFont="1" applyFill="1" applyAlignment="1">
      <alignment horizontal="center"/>
    </xf>
    <xf numFmtId="165" fontId="2" fillId="0" borderId="0" xfId="2" applyNumberFormat="1" applyFont="1" applyFill="1" applyAlignment="1">
      <alignment horizontal="center"/>
    </xf>
    <xf numFmtId="165" fontId="2" fillId="0" borderId="13" xfId="2" applyNumberFormat="1" applyFont="1" applyFill="1" applyBorder="1" applyAlignment="1">
      <alignment horizontal="center"/>
    </xf>
    <xf numFmtId="3" fontId="2" fillId="0" borderId="13" xfId="2" applyNumberFormat="1" applyFont="1" applyFill="1" applyBorder="1" applyAlignment="1">
      <alignment horizontal="center"/>
    </xf>
    <xf numFmtId="0" fontId="20" fillId="0" borderId="13" xfId="0" applyFont="1" applyFill="1" applyBorder="1" applyAlignment="1">
      <alignment horizontal="center" wrapText="1"/>
    </xf>
    <xf numFmtId="165" fontId="2" fillId="0" borderId="0" xfId="0" applyNumberFormat="1" applyFont="1" applyFill="1" applyAlignment="1">
      <alignment horizontal="center"/>
    </xf>
    <xf numFmtId="165" fontId="2" fillId="0" borderId="13" xfId="0" applyNumberFormat="1" applyFont="1" applyFill="1" applyBorder="1" applyAlignment="1">
      <alignment horizontal="center"/>
    </xf>
    <xf numFmtId="174" fontId="2" fillId="0" borderId="0" xfId="0" applyNumberFormat="1" applyFont="1" applyFill="1"/>
    <xf numFmtId="0" fontId="5" fillId="0" borderId="0" xfId="0" applyFont="1" applyFill="1" applyAlignment="1">
      <alignment horizontal="left"/>
    </xf>
    <xf numFmtId="172" fontId="5" fillId="0" borderId="0" xfId="2" applyNumberFormat="1" applyFont="1" applyFill="1" applyAlignment="1"/>
    <xf numFmtId="0" fontId="5" fillId="0" borderId="0" xfId="0" applyFont="1" applyFill="1" applyAlignment="1">
      <alignment horizontal="right"/>
    </xf>
    <xf numFmtId="174" fontId="5" fillId="0" borderId="0" xfId="1" applyNumberFormat="1" applyFont="1" applyFill="1" applyAlignment="1"/>
    <xf numFmtId="0" fontId="5" fillId="0" borderId="13" xfId="0" applyFont="1" applyFill="1" applyBorder="1" applyAlignment="1">
      <alignment horizontal="center" vertical="center" wrapText="1"/>
    </xf>
    <xf numFmtId="0" fontId="5" fillId="0" borderId="13" xfId="0" applyFont="1" applyFill="1" applyBorder="1" applyAlignment="1">
      <alignment horizontal="left"/>
    </xf>
    <xf numFmtId="3" fontId="5" fillId="0" borderId="0" xfId="0" applyNumberFormat="1" applyFont="1" applyFill="1" applyAlignment="1">
      <alignment horizontal="center" vertical="center" wrapText="1"/>
    </xf>
    <xf numFmtId="0" fontId="5" fillId="0" borderId="13" xfId="0" applyFont="1" applyFill="1" applyBorder="1" applyAlignment="1">
      <alignment horizontal="center" wrapText="1"/>
    </xf>
    <xf numFmtId="0" fontId="5" fillId="0" borderId="0" xfId="0" applyFont="1" applyFill="1" applyBorder="1" applyAlignment="1">
      <alignment horizontal="left" vertical="center"/>
    </xf>
    <xf numFmtId="0" fontId="5" fillId="0" borderId="0" xfId="0" applyFont="1" applyFill="1" applyBorder="1"/>
    <xf numFmtId="3" fontId="5" fillId="0" borderId="0" xfId="0" applyNumberFormat="1" applyFont="1" applyFill="1" applyBorder="1"/>
    <xf numFmtId="0" fontId="5" fillId="0" borderId="13" xfId="0" applyFont="1" applyFill="1" applyBorder="1" applyAlignment="1">
      <alignment horizontal="left" vertical="center"/>
    </xf>
    <xf numFmtId="0" fontId="5" fillId="0" borderId="13" xfId="0" applyFont="1" applyFill="1" applyBorder="1"/>
    <xf numFmtId="3" fontId="5" fillId="0" borderId="13" xfId="0" applyNumberFormat="1" applyFont="1" applyFill="1" applyBorder="1"/>
    <xf numFmtId="165" fontId="2" fillId="0" borderId="0" xfId="0" applyNumberFormat="1" applyFont="1"/>
    <xf numFmtId="9" fontId="5" fillId="0" borderId="0" xfId="0" applyNumberFormat="1" applyFont="1" applyFill="1" applyAlignment="1">
      <alignment horizontal="center"/>
    </xf>
    <xf numFmtId="176" fontId="5" fillId="0" borderId="0" xfId="0" applyNumberFormat="1" applyFont="1" applyFill="1"/>
    <xf numFmtId="0" fontId="5" fillId="0" borderId="0" xfId="0" quotePrefix="1" applyFont="1" applyFill="1"/>
    <xf numFmtId="0" fontId="5" fillId="0" borderId="8" xfId="0" applyFont="1" applyFill="1" applyBorder="1"/>
    <xf numFmtId="165" fontId="5" fillId="0" borderId="0" xfId="0" applyNumberFormat="1" applyFont="1" applyFill="1"/>
    <xf numFmtId="2" fontId="5" fillId="0" borderId="0" xfId="0" applyNumberFormat="1" applyFont="1" applyFill="1"/>
    <xf numFmtId="3" fontId="5" fillId="0" borderId="13" xfId="0" applyNumberFormat="1" applyFont="1" applyFill="1" applyBorder="1" applyAlignment="1">
      <alignment horizontal="center" vertical="center" wrapText="1"/>
    </xf>
    <xf numFmtId="0" fontId="5" fillId="0" borderId="0" xfId="0" applyFont="1" applyFill="1" applyBorder="1" applyAlignment="1">
      <alignment horizontal="left"/>
    </xf>
    <xf numFmtId="3"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Border="1"/>
    <xf numFmtId="0" fontId="5" fillId="4" borderId="15" xfId="0" applyFont="1" applyFill="1" applyBorder="1"/>
    <xf numFmtId="0" fontId="5" fillId="4" borderId="10" xfId="0" applyFont="1" applyFill="1" applyBorder="1"/>
    <xf numFmtId="0" fontId="5" fillId="4" borderId="11" xfId="0" applyFont="1" applyFill="1" applyBorder="1"/>
    <xf numFmtId="0" fontId="5" fillId="4" borderId="8" xfId="0" applyFont="1" applyFill="1" applyBorder="1"/>
    <xf numFmtId="0" fontId="5" fillId="4" borderId="0" xfId="0" applyFont="1" applyFill="1"/>
    <xf numFmtId="0" fontId="5" fillId="4" borderId="9" xfId="0" applyFont="1" applyFill="1" applyBorder="1"/>
    <xf numFmtId="0" fontId="5" fillId="4" borderId="12" xfId="0" applyFont="1" applyFill="1" applyBorder="1"/>
    <xf numFmtId="0" fontId="5" fillId="4" borderId="13" xfId="0" applyFont="1" applyFill="1" applyBorder="1"/>
    <xf numFmtId="0" fontId="5" fillId="4" borderId="14" xfId="0" applyFont="1" applyFill="1" applyBorder="1"/>
    <xf numFmtId="0" fontId="5" fillId="4" borderId="0" xfId="0" quotePrefix="1" applyFont="1" applyFill="1"/>
    <xf numFmtId="0" fontId="15" fillId="0" borderId="13" xfId="0" applyFont="1" applyFill="1" applyBorder="1" applyAlignment="1">
      <alignment horizontal="centerContinuous"/>
    </xf>
    <xf numFmtId="0" fontId="15" fillId="0" borderId="0" xfId="0" applyFont="1" applyFill="1"/>
    <xf numFmtId="0" fontId="15" fillId="0" borderId="0" xfId="0" applyFont="1" applyFill="1" applyAlignment="1">
      <alignment horizontal="center"/>
    </xf>
    <xf numFmtId="0" fontId="15" fillId="0" borderId="13" xfId="0" applyFont="1" applyFill="1" applyBorder="1" applyAlignment="1">
      <alignment horizontal="center"/>
    </xf>
    <xf numFmtId="177" fontId="15" fillId="0" borderId="0" xfId="0" applyNumberFormat="1" applyFont="1" applyFill="1" applyAlignment="1">
      <alignment horizontal="center"/>
    </xf>
    <xf numFmtId="167" fontId="15" fillId="0" borderId="0" xfId="0" applyNumberFormat="1" applyFont="1" applyFill="1" applyAlignment="1">
      <alignment horizontal="center"/>
    </xf>
    <xf numFmtId="175" fontId="15" fillId="0" borderId="0" xfId="0" applyNumberFormat="1" applyFont="1" applyFill="1" applyAlignment="1">
      <alignment horizontal="center"/>
    </xf>
    <xf numFmtId="178" fontId="15" fillId="0" borderId="0" xfId="1" applyNumberFormat="1" applyFont="1" applyFill="1" applyAlignment="1">
      <alignment horizontal="center"/>
    </xf>
    <xf numFmtId="177" fontId="15" fillId="0" borderId="13" xfId="0" applyNumberFormat="1" applyFont="1" applyFill="1" applyBorder="1" applyAlignment="1">
      <alignment horizontal="center"/>
    </xf>
    <xf numFmtId="167" fontId="15" fillId="0" borderId="13" xfId="0" applyNumberFormat="1" applyFont="1" applyFill="1" applyBorder="1" applyAlignment="1">
      <alignment horizontal="center"/>
    </xf>
    <xf numFmtId="175" fontId="15" fillId="0" borderId="13" xfId="0" applyNumberFormat="1" applyFont="1" applyFill="1" applyBorder="1" applyAlignment="1">
      <alignment horizontal="center"/>
    </xf>
    <xf numFmtId="178" fontId="15" fillId="0" borderId="13" xfId="1" applyNumberFormat="1" applyFont="1" applyFill="1" applyBorder="1" applyAlignment="1">
      <alignment horizontal="center"/>
    </xf>
    <xf numFmtId="9" fontId="15" fillId="0" borderId="0" xfId="0" applyNumberFormat="1" applyFont="1" applyFill="1" applyAlignment="1">
      <alignment horizontal="left"/>
    </xf>
    <xf numFmtId="0" fontId="5" fillId="0" borderId="0" xfId="0" applyFont="1" applyFill="1" applyBorder="1" applyAlignment="1">
      <alignment horizontal="center" vertical="center"/>
    </xf>
    <xf numFmtId="175" fontId="2" fillId="0" borderId="0" xfId="0" applyNumberFormat="1" applyFont="1" applyAlignment="1">
      <alignment horizontal="center"/>
    </xf>
    <xf numFmtId="167" fontId="2" fillId="0" borderId="0" xfId="1" applyNumberFormat="1" applyFont="1" applyFill="1" applyAlignment="1">
      <alignment horizontal="center"/>
    </xf>
    <xf numFmtId="167" fontId="2" fillId="0" borderId="13" xfId="1" applyNumberFormat="1" applyFont="1" applyFill="1" applyBorder="1" applyAlignment="1">
      <alignment horizontal="center"/>
    </xf>
    <xf numFmtId="167" fontId="2" fillId="0" borderId="0" xfId="0" applyNumberFormat="1" applyFont="1" applyFill="1" applyAlignment="1">
      <alignment horizontal="center"/>
    </xf>
    <xf numFmtId="2" fontId="2" fillId="0" borderId="0" xfId="0" applyNumberFormat="1" applyFont="1" applyFill="1" applyAlignment="1">
      <alignment horizontal="center"/>
    </xf>
    <xf numFmtId="2" fontId="2" fillId="0" borderId="13" xfId="0" applyNumberFormat="1" applyFont="1" applyFill="1" applyBorder="1" applyAlignment="1">
      <alignment horizontal="center"/>
    </xf>
    <xf numFmtId="0" fontId="5" fillId="0" borderId="13" xfId="0" applyFont="1" applyFill="1" applyBorder="1" applyAlignment="1">
      <alignment horizontal="center" vertical="center"/>
    </xf>
    <xf numFmtId="175" fontId="2" fillId="0" borderId="13" xfId="0" applyNumberFormat="1" applyFont="1" applyBorder="1" applyAlignment="1">
      <alignment horizontal="center"/>
    </xf>
    <xf numFmtId="3" fontId="2" fillId="0" borderId="0" xfId="0" applyNumberFormat="1" applyFont="1" applyFill="1" applyAlignment="1">
      <alignment horizontal="right"/>
    </xf>
    <xf numFmtId="2" fontId="5" fillId="0" borderId="0" xfId="0" applyNumberFormat="1" applyFont="1" applyFill="1" applyAlignment="1">
      <alignment horizontal="center"/>
    </xf>
    <xf numFmtId="2" fontId="5" fillId="0" borderId="0" xfId="0" applyNumberFormat="1" applyFont="1" applyFill="1" applyBorder="1" applyAlignment="1">
      <alignment horizontal="center"/>
    </xf>
    <xf numFmtId="10" fontId="5" fillId="0" borderId="0" xfId="1" applyNumberFormat="1" applyFont="1" applyAlignment="1">
      <alignment horizontal="center"/>
    </xf>
    <xf numFmtId="2" fontId="5" fillId="0" borderId="13" xfId="0" applyNumberFormat="1" applyFont="1" applyFill="1" applyBorder="1" applyAlignment="1">
      <alignment horizontal="center"/>
    </xf>
    <xf numFmtId="10" fontId="5" fillId="0" borderId="13" xfId="1" applyNumberFormat="1" applyFont="1" applyBorder="1" applyAlignment="1">
      <alignment horizontal="center"/>
    </xf>
    <xf numFmtId="14" fontId="5" fillId="0" borderId="0" xfId="0" applyNumberFormat="1" applyFont="1" applyFill="1" applyAlignment="1">
      <alignment horizontal="center"/>
    </xf>
    <xf numFmtId="10" fontId="5" fillId="0" borderId="0" xfId="1" applyNumberFormat="1" applyFont="1" applyFill="1" applyAlignment="1">
      <alignment horizontal="center"/>
    </xf>
    <xf numFmtId="10" fontId="5" fillId="0" borderId="0" xfId="0" applyNumberFormat="1" applyFont="1" applyFill="1"/>
    <xf numFmtId="0" fontId="5" fillId="0" borderId="0" xfId="0" quotePrefix="1" applyFont="1" applyFill="1" applyAlignment="1">
      <alignment horizontal="right"/>
    </xf>
    <xf numFmtId="167" fontId="5" fillId="0" borderId="0" xfId="0" applyNumberFormat="1" applyFont="1" applyFill="1"/>
    <xf numFmtId="15" fontId="5" fillId="0" borderId="0" xfId="0" applyNumberFormat="1" applyFont="1" applyFill="1"/>
    <xf numFmtId="0" fontId="5" fillId="0" borderId="13" xfId="0" applyFont="1" applyFill="1" applyBorder="1" applyAlignment="1">
      <alignment horizontal="center"/>
    </xf>
    <xf numFmtId="0" fontId="5" fillId="0" borderId="0" xfId="0" applyFont="1" applyFill="1" applyAlignment="1">
      <alignment horizontal="center"/>
    </xf>
    <xf numFmtId="167" fontId="5" fillId="0" borderId="0" xfId="1" applyNumberFormat="1" applyFont="1" applyFill="1"/>
    <xf numFmtId="14" fontId="5" fillId="0" borderId="0" xfId="0" applyNumberFormat="1" applyFont="1" applyFill="1"/>
    <xf numFmtId="3" fontId="5" fillId="0" borderId="0" xfId="0" applyNumberFormat="1" applyFont="1" applyFill="1" applyBorder="1" applyAlignment="1">
      <alignment horizontal="center"/>
    </xf>
    <xf numFmtId="1"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5" fillId="0" borderId="0" xfId="0" applyFont="1" applyFill="1" applyBorder="1" applyAlignment="1">
      <alignment horizontal="center"/>
    </xf>
    <xf numFmtId="164" fontId="5" fillId="0" borderId="0" xfId="0" applyNumberFormat="1" applyFont="1" applyFill="1" applyBorder="1" applyAlignment="1">
      <alignment horizontal="center"/>
    </xf>
    <xf numFmtId="167" fontId="5" fillId="0" borderId="13" xfId="0" applyNumberFormat="1" applyFont="1" applyFill="1" applyBorder="1" applyAlignment="1">
      <alignment horizontal="center"/>
    </xf>
    <xf numFmtId="3" fontId="5" fillId="0" borderId="13" xfId="0" applyNumberFormat="1" applyFont="1" applyFill="1" applyBorder="1" applyAlignment="1">
      <alignment horizontal="center" wrapText="1"/>
    </xf>
    <xf numFmtId="1" fontId="5" fillId="0" borderId="13" xfId="0" applyNumberFormat="1" applyFont="1" applyFill="1" applyBorder="1" applyAlignment="1">
      <alignment horizontal="center" vertical="center"/>
    </xf>
    <xf numFmtId="165" fontId="5" fillId="0" borderId="13"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164" fontId="5" fillId="0" borderId="13" xfId="0" applyNumberFormat="1" applyFont="1" applyFill="1" applyBorder="1" applyAlignment="1">
      <alignment horizontal="center" vertical="center"/>
    </xf>
    <xf numFmtId="175" fontId="5" fillId="0" borderId="0" xfId="0" applyNumberFormat="1" applyFont="1" applyFill="1" applyBorder="1" applyAlignment="1">
      <alignment horizontal="center"/>
    </xf>
    <xf numFmtId="0" fontId="5" fillId="0" borderId="0" xfId="0" applyFont="1" applyFill="1" applyBorder="1" applyAlignment="1">
      <alignment vertical="center" wrapText="1"/>
    </xf>
    <xf numFmtId="0" fontId="5" fillId="0" borderId="13" xfId="0" applyFont="1" applyFill="1" applyBorder="1" applyAlignment="1">
      <alignment vertical="center" wrapText="1"/>
    </xf>
    <xf numFmtId="167" fontId="5" fillId="0" borderId="13" xfId="1" applyNumberFormat="1" applyFont="1" applyFill="1" applyBorder="1" applyAlignment="1">
      <alignment horizontal="center"/>
    </xf>
    <xf numFmtId="165" fontId="5" fillId="0" borderId="0" xfId="0" applyNumberFormat="1" applyFont="1" applyFill="1" applyBorder="1" applyAlignment="1">
      <alignment horizontal="center"/>
    </xf>
    <xf numFmtId="165" fontId="5" fillId="0" borderId="13" xfId="0" applyNumberFormat="1" applyFont="1" applyFill="1" applyBorder="1" applyAlignment="1">
      <alignment horizontal="center"/>
    </xf>
    <xf numFmtId="0" fontId="5" fillId="4" borderId="8" xfId="0" applyFont="1" applyFill="1" applyBorder="1" applyAlignment="1">
      <alignment horizontal="center"/>
    </xf>
    <xf numFmtId="0" fontId="5" fillId="4" borderId="8" xfId="0" applyFont="1" applyFill="1" applyBorder="1" applyAlignment="1">
      <alignment horizontal="right"/>
    </xf>
    <xf numFmtId="167" fontId="5" fillId="0" borderId="0" xfId="1" applyNumberFormat="1" applyFont="1" applyFill="1" applyAlignment="1">
      <alignment horizontal="center"/>
    </xf>
    <xf numFmtId="167" fontId="5" fillId="0" borderId="0" xfId="0" applyNumberFormat="1" applyFont="1" applyFill="1" applyAlignment="1">
      <alignment horizontal="center"/>
    </xf>
    <xf numFmtId="0" fontId="22" fillId="0" borderId="0" xfId="0" applyFont="1"/>
    <xf numFmtId="0" fontId="23" fillId="0" borderId="0" xfId="0" applyFont="1"/>
    <xf numFmtId="0" fontId="23" fillId="0" borderId="0" xfId="0" applyFont="1" applyAlignment="1">
      <alignment vertical="center" wrapText="1"/>
    </xf>
    <xf numFmtId="0" fontId="23" fillId="0" borderId="13" xfId="0" applyFont="1" applyBorder="1" applyAlignment="1">
      <alignment vertical="center" wrapText="1"/>
    </xf>
    <xf numFmtId="0" fontId="23" fillId="0" borderId="13" xfId="0" applyFont="1" applyBorder="1"/>
    <xf numFmtId="0" fontId="23" fillId="0" borderId="13" xfId="0" applyFont="1" applyBorder="1" applyAlignment="1">
      <alignment horizontal="center" vertical="center" wrapText="1"/>
    </xf>
    <xf numFmtId="0" fontId="23" fillId="0" borderId="0" xfId="0" applyFont="1" applyAlignment="1">
      <alignment horizontal="left" vertical="center"/>
    </xf>
    <xf numFmtId="164" fontId="23" fillId="0" borderId="0" xfId="0" applyNumberFormat="1" applyFont="1" applyAlignment="1">
      <alignment horizontal="center" vertical="center"/>
    </xf>
    <xf numFmtId="164" fontId="23" fillId="0" borderId="0" xfId="0" applyNumberFormat="1" applyFont="1" applyAlignment="1">
      <alignment horizontal="center"/>
    </xf>
    <xf numFmtId="167" fontId="23" fillId="0" borderId="13" xfId="1" applyNumberFormat="1" applyFont="1" applyFill="1" applyBorder="1" applyAlignment="1">
      <alignment horizontal="center"/>
    </xf>
    <xf numFmtId="0" fontId="23" fillId="0" borderId="13" xfId="0" applyFont="1" applyBorder="1" applyAlignment="1">
      <alignment horizontal="center"/>
    </xf>
    <xf numFmtId="175" fontId="23" fillId="0" borderId="0" xfId="0" applyNumberFormat="1" applyFont="1" applyAlignment="1">
      <alignment horizontal="center"/>
    </xf>
    <xf numFmtId="3" fontId="23" fillId="0" borderId="13" xfId="0" applyNumberFormat="1" applyFont="1" applyBorder="1" applyAlignment="1">
      <alignment horizontal="center" wrapText="1"/>
    </xf>
    <xf numFmtId="3" fontId="23" fillId="0" borderId="13" xfId="0" applyNumberFormat="1" applyFont="1" applyBorder="1" applyAlignment="1">
      <alignment horizontal="center"/>
    </xf>
    <xf numFmtId="0" fontId="23" fillId="0" borderId="0" xfId="0" applyFont="1" applyAlignment="1">
      <alignment horizontal="center" vertical="center"/>
    </xf>
    <xf numFmtId="165" fontId="23" fillId="0" borderId="0" xfId="0" applyNumberFormat="1" applyFont="1" applyAlignment="1">
      <alignment horizontal="center"/>
    </xf>
    <xf numFmtId="3" fontId="23" fillId="0" borderId="0" xfId="0" applyNumberFormat="1" applyFont="1" applyAlignment="1">
      <alignment horizontal="center"/>
    </xf>
    <xf numFmtId="0" fontId="23" fillId="0" borderId="13" xfId="0" applyFont="1" applyBorder="1" applyAlignment="1">
      <alignment horizontal="center" vertical="center"/>
    </xf>
    <xf numFmtId="165" fontId="23" fillId="0" borderId="13" xfId="0" applyNumberFormat="1" applyFont="1" applyBorder="1" applyAlignment="1">
      <alignment horizontal="center"/>
    </xf>
    <xf numFmtId="0" fontId="23" fillId="0" borderId="0" xfId="0" applyFont="1" applyAlignment="1">
      <alignment horizontal="center"/>
    </xf>
    <xf numFmtId="20" fontId="5" fillId="0" borderId="13" xfId="0" quotePrefix="1" applyNumberFormat="1" applyFont="1" applyFill="1" applyBorder="1" applyAlignment="1">
      <alignment horizontal="center"/>
    </xf>
    <xf numFmtId="20" fontId="5" fillId="0" borderId="13" xfId="0" applyNumberFormat="1" applyFont="1" applyFill="1" applyBorder="1" applyAlignment="1">
      <alignment horizontal="center"/>
    </xf>
    <xf numFmtId="165" fontId="5" fillId="0" borderId="0" xfId="0" applyNumberFormat="1" applyFont="1" applyFill="1" applyAlignment="1">
      <alignment horizontal="center"/>
    </xf>
    <xf numFmtId="172" fontId="5" fillId="0" borderId="0" xfId="2" applyNumberFormat="1" applyFont="1" applyFill="1"/>
    <xf numFmtId="180" fontId="5" fillId="0" borderId="0" xfId="0" applyNumberFormat="1" applyFont="1" applyFill="1"/>
    <xf numFmtId="167" fontId="5" fillId="0" borderId="0" xfId="1" applyNumberFormat="1" applyFont="1" applyFill="1" applyAlignment="1"/>
    <xf numFmtId="167" fontId="5" fillId="0" borderId="13" xfId="1" applyNumberFormat="1" applyFont="1" applyFill="1" applyBorder="1" applyAlignment="1"/>
    <xf numFmtId="3" fontId="5" fillId="0" borderId="0" xfId="2" applyNumberFormat="1" applyFont="1" applyFill="1"/>
    <xf numFmtId="3" fontId="5" fillId="0" borderId="13" xfId="2" applyNumberFormat="1" applyFont="1" applyFill="1" applyBorder="1"/>
    <xf numFmtId="3" fontId="5" fillId="0" borderId="0" xfId="0" applyNumberFormat="1" applyFont="1" applyFill="1"/>
    <xf numFmtId="174" fontId="5" fillId="0" borderId="0" xfId="2" applyNumberFormat="1" applyFont="1" applyFill="1" applyAlignment="1"/>
    <xf numFmtId="9" fontId="5" fillId="0" borderId="0" xfId="1" applyFont="1" applyFill="1" applyAlignment="1"/>
    <xf numFmtId="179" fontId="5" fillId="0" borderId="0" xfId="0" applyNumberFormat="1" applyFont="1" applyFill="1" applyAlignment="1">
      <alignment horizontal="center"/>
    </xf>
    <xf numFmtId="179" fontId="5" fillId="0" borderId="13" xfId="0" applyNumberFormat="1" applyFont="1" applyFill="1" applyBorder="1" applyAlignment="1">
      <alignment horizontal="center"/>
    </xf>
    <xf numFmtId="9" fontId="5" fillId="0" borderId="0" xfId="1" applyFont="1" applyFill="1" applyAlignment="1">
      <alignment horizontal="center"/>
    </xf>
    <xf numFmtId="9" fontId="5" fillId="0" borderId="13" xfId="1" applyFont="1" applyFill="1" applyBorder="1" applyAlignment="1">
      <alignment horizontal="center"/>
    </xf>
    <xf numFmtId="9" fontId="5" fillId="0" borderId="13" xfId="0" applyNumberFormat="1" applyFont="1" applyFill="1" applyBorder="1" applyAlignment="1">
      <alignment horizontal="center"/>
    </xf>
    <xf numFmtId="3" fontId="5" fillId="0" borderId="0" xfId="2" applyNumberFormat="1" applyFont="1" applyFill="1" applyAlignment="1">
      <alignment horizontal="center"/>
    </xf>
    <xf numFmtId="3" fontId="5" fillId="0" borderId="13" xfId="2" applyNumberFormat="1" applyFont="1" applyFill="1" applyBorder="1" applyAlignment="1">
      <alignment horizontal="center"/>
    </xf>
    <xf numFmtId="0" fontId="5" fillId="0" borderId="10" xfId="0" applyFont="1" applyFill="1" applyBorder="1" applyAlignment="1">
      <alignment horizontal="center"/>
    </xf>
    <xf numFmtId="0" fontId="20" fillId="0" borderId="0" xfId="0" applyFont="1" applyBorder="1" applyAlignment="1">
      <alignment horizontal="center" vertical="center" wrapText="1"/>
    </xf>
    <xf numFmtId="167" fontId="20" fillId="0" borderId="0" xfId="1" applyNumberFormat="1" applyFont="1" applyFill="1" applyBorder="1" applyAlignment="1">
      <alignment horizontal="center" vertical="center" wrapText="1"/>
    </xf>
    <xf numFmtId="0" fontId="20" fillId="0" borderId="13" xfId="0" applyFont="1" applyBorder="1" applyAlignment="1">
      <alignment horizontal="center" wrapText="1"/>
    </xf>
    <xf numFmtId="0" fontId="2" fillId="4" borderId="13" xfId="0" applyFont="1" applyFill="1" applyBorder="1" applyAlignment="1">
      <alignment horizontal="center"/>
    </xf>
    <xf numFmtId="0" fontId="1" fillId="3" borderId="0" xfId="0" quotePrefix="1" applyFont="1" applyFill="1" applyAlignment="1">
      <alignment wrapText="1"/>
    </xf>
    <xf numFmtId="0" fontId="1" fillId="2" borderId="0" xfId="0" applyFont="1" applyFill="1" applyAlignment="1">
      <alignment wrapText="1"/>
    </xf>
    <xf numFmtId="0" fontId="0" fillId="0" borderId="0" xfId="0" applyAlignment="1">
      <alignment wrapText="1"/>
    </xf>
    <xf numFmtId="0" fontId="2" fillId="0" borderId="13" xfId="0" applyFont="1" applyFill="1" applyBorder="1" applyAlignment="1">
      <alignment horizontal="center"/>
    </xf>
    <xf numFmtId="0" fontId="7" fillId="2" borderId="7" xfId="0" applyFont="1" applyFill="1" applyBorder="1" applyAlignment="1">
      <alignment horizontal="center" wrapText="1"/>
    </xf>
    <xf numFmtId="0" fontId="0" fillId="0" borderId="4" xfId="0" applyBorder="1" applyAlignment="1">
      <alignment horizontal="center" wrapText="1"/>
    </xf>
    <xf numFmtId="0" fontId="1" fillId="2" borderId="8" xfId="0" applyFont="1" applyFill="1" applyBorder="1" applyAlignment="1">
      <alignment wrapText="1"/>
    </xf>
    <xf numFmtId="0" fontId="8" fillId="2" borderId="0" xfId="0" applyFont="1" applyFill="1" applyBorder="1" applyAlignment="1">
      <alignment wrapText="1"/>
    </xf>
    <xf numFmtId="0" fontId="8" fillId="2" borderId="12" xfId="0" applyFont="1" applyFill="1" applyBorder="1" applyAlignment="1">
      <alignment wrapText="1"/>
    </xf>
    <xf numFmtId="0" fontId="8" fillId="2" borderId="13" xfId="0" applyFont="1" applyFill="1" applyBorder="1" applyAlignment="1">
      <alignment wrapText="1"/>
    </xf>
    <xf numFmtId="0" fontId="1" fillId="3" borderId="0" xfId="0" applyFont="1" applyFill="1" applyAlignment="1">
      <alignment wrapText="1"/>
    </xf>
    <xf numFmtId="0" fontId="7" fillId="2" borderId="15" xfId="0" applyFont="1" applyFill="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7" fillId="3" borderId="6" xfId="0" applyFont="1" applyFill="1" applyBorder="1" applyAlignment="1">
      <alignment horizontal="center"/>
    </xf>
    <xf numFmtId="0" fontId="7" fillId="3" borderId="3" xfId="0" applyFont="1" applyFill="1" applyBorder="1" applyAlignment="1">
      <alignment horizontal="center"/>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7" fillId="0" borderId="0" xfId="0" applyFont="1" applyAlignment="1">
      <alignment horizontal="center" vertical="center"/>
    </xf>
    <xf numFmtId="0" fontId="7" fillId="2" borderId="5" xfId="0" applyFont="1" applyFill="1" applyBorder="1" applyAlignment="1">
      <alignment vertical="center"/>
    </xf>
    <xf numFmtId="0" fontId="2" fillId="0" borderId="13" xfId="0" applyFont="1" applyBorder="1" applyAlignment="1">
      <alignment horizontal="center"/>
    </xf>
    <xf numFmtId="0" fontId="17" fillId="0" borderId="10" xfId="0" applyFont="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pplyAlignment="1">
      <alignment vertical="center" wrapText="1"/>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0"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Fill="1" applyAlignment="1">
      <alignment horizontal="center"/>
    </xf>
    <xf numFmtId="0" fontId="5" fillId="0" borderId="0" xfId="0" applyFont="1" applyFill="1" applyAlignment="1">
      <alignment horizontal="center"/>
    </xf>
    <xf numFmtId="0" fontId="5" fillId="4" borderId="13" xfId="0" applyFont="1" applyFill="1" applyBorder="1" applyAlignment="1">
      <alignment horizontal="center"/>
    </xf>
    <xf numFmtId="0" fontId="15" fillId="0" borderId="0" xfId="0" applyFont="1" applyFill="1" applyBorder="1" applyAlignment="1">
      <alignment horizontal="center"/>
    </xf>
    <xf numFmtId="0" fontId="23" fillId="0" borderId="0" xfId="0" applyFont="1" applyAlignment="1">
      <alignment horizontal="center" vertical="center"/>
    </xf>
    <xf numFmtId="0" fontId="23" fillId="0" borderId="0" xfId="0" applyFont="1" applyAlignment="1">
      <alignment horizontal="center" wrapText="1"/>
    </xf>
    <xf numFmtId="0" fontId="23" fillId="0" borderId="13" xfId="0" applyFont="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vertical="center"/>
    </xf>
    <xf numFmtId="0" fontId="5" fillId="0" borderId="13" xfId="0" applyFont="1" applyFill="1" applyBorder="1" applyAlignment="1">
      <alignment horizontal="center" wrapText="1"/>
    </xf>
    <xf numFmtId="0" fontId="1" fillId="2" borderId="0" xfId="0" quotePrefix="1" applyFont="1" applyFill="1" applyAlignment="1">
      <alignment vertical="center" wrapText="1"/>
    </xf>
    <xf numFmtId="0" fontId="7" fillId="2" borderId="1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5" fillId="0" borderId="0" xfId="0" applyFont="1" applyFill="1" applyBorder="1" applyAlignment="1">
      <alignment horizontal="center"/>
    </xf>
    <xf numFmtId="0" fontId="2" fillId="0" borderId="0" xfId="0" applyFont="1" applyAlignment="1">
      <alignment wrapText="1"/>
    </xf>
    <xf numFmtId="0" fontId="8" fillId="2" borderId="0" xfId="0" applyFont="1" applyFill="1" applyAlignment="1">
      <alignment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24</xdr:row>
      <xdr:rowOff>9525</xdr:rowOff>
    </xdr:from>
    <xdr:to>
      <xdr:col>14</xdr:col>
      <xdr:colOff>0</xdr:colOff>
      <xdr:row>28</xdr:row>
      <xdr:rowOff>0</xdr:rowOff>
    </xdr:to>
    <xdr:cxnSp macro="">
      <xdr:nvCxnSpPr>
        <xdr:cNvPr id="2" name="Straight Connector 1">
          <a:extLst>
            <a:ext uri="{FF2B5EF4-FFF2-40B4-BE49-F238E27FC236}">
              <a16:creationId xmlns:a16="http://schemas.microsoft.com/office/drawing/2014/main" id="{8AC252A7-F529-4D55-9999-1EF837F9046B}"/>
            </a:ext>
          </a:extLst>
        </xdr:cNvPr>
        <xdr:cNvCxnSpPr/>
      </xdr:nvCxnSpPr>
      <xdr:spPr>
        <a:xfrm flipV="1">
          <a:off x="6267450" y="2697480"/>
          <a:ext cx="590550" cy="1131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9525</xdr:colOff>
      <xdr:row>24</xdr:row>
      <xdr:rowOff>9525</xdr:rowOff>
    </xdr:from>
    <xdr:to>
      <xdr:col>16</xdr:col>
      <xdr:colOff>0</xdr:colOff>
      <xdr:row>28</xdr:row>
      <xdr:rowOff>0</xdr:rowOff>
    </xdr:to>
    <xdr:cxnSp macro="">
      <xdr:nvCxnSpPr>
        <xdr:cNvPr id="3" name="Straight Connector 2">
          <a:extLst>
            <a:ext uri="{FF2B5EF4-FFF2-40B4-BE49-F238E27FC236}">
              <a16:creationId xmlns:a16="http://schemas.microsoft.com/office/drawing/2014/main" id="{C35E63DC-6FBF-4B57-A39D-C90FE403F508}"/>
            </a:ext>
          </a:extLst>
        </xdr:cNvPr>
        <xdr:cNvCxnSpPr/>
      </xdr:nvCxnSpPr>
      <xdr:spPr>
        <a:xfrm flipV="1">
          <a:off x="6278880" y="2697480"/>
          <a:ext cx="1169670" cy="1131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24</xdr:row>
      <xdr:rowOff>9525</xdr:rowOff>
    </xdr:from>
    <xdr:to>
      <xdr:col>18</xdr:col>
      <xdr:colOff>0</xdr:colOff>
      <xdr:row>27</xdr:row>
      <xdr:rowOff>304800</xdr:rowOff>
    </xdr:to>
    <xdr:cxnSp macro="">
      <xdr:nvCxnSpPr>
        <xdr:cNvPr id="4" name="Straight Connector 3">
          <a:extLst>
            <a:ext uri="{FF2B5EF4-FFF2-40B4-BE49-F238E27FC236}">
              <a16:creationId xmlns:a16="http://schemas.microsoft.com/office/drawing/2014/main" id="{7BA8E839-A5CB-48F0-A957-A45432217533}"/>
            </a:ext>
          </a:extLst>
        </xdr:cNvPr>
        <xdr:cNvCxnSpPr/>
      </xdr:nvCxnSpPr>
      <xdr:spPr>
        <a:xfrm flipV="1">
          <a:off x="6858000" y="2697480"/>
          <a:ext cx="1181100" cy="1131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1485900</xdr:colOff>
      <xdr:row>33</xdr:row>
      <xdr:rowOff>9525</xdr:rowOff>
    </xdr:from>
    <xdr:to>
      <xdr:col>7</xdr:col>
      <xdr:colOff>590550</xdr:colOff>
      <xdr:row>37</xdr:row>
      <xdr:rowOff>11430</xdr:rowOff>
    </xdr:to>
    <xdr:cxnSp macro="">
      <xdr:nvCxnSpPr>
        <xdr:cNvPr id="10" name="Straight Connector 9">
          <a:extLst>
            <a:ext uri="{FF2B5EF4-FFF2-40B4-BE49-F238E27FC236}">
              <a16:creationId xmlns:a16="http://schemas.microsoft.com/office/drawing/2014/main" id="{D64BFA07-D63C-4573-ADCE-3D3F99C5AD9C}"/>
            </a:ext>
          </a:extLst>
        </xdr:cNvPr>
        <xdr:cNvCxnSpPr/>
      </xdr:nvCxnSpPr>
      <xdr:spPr>
        <a:xfrm flipV="1">
          <a:off x="6219825" y="7412355"/>
          <a:ext cx="1101090" cy="9944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33</xdr:row>
      <xdr:rowOff>9525</xdr:rowOff>
    </xdr:from>
    <xdr:to>
      <xdr:col>17</xdr:col>
      <xdr:colOff>0</xdr:colOff>
      <xdr:row>37</xdr:row>
      <xdr:rowOff>0</xdr:rowOff>
    </xdr:to>
    <xdr:cxnSp macro="">
      <xdr:nvCxnSpPr>
        <xdr:cNvPr id="11" name="Straight Connector 10">
          <a:extLst>
            <a:ext uri="{FF2B5EF4-FFF2-40B4-BE49-F238E27FC236}">
              <a16:creationId xmlns:a16="http://schemas.microsoft.com/office/drawing/2014/main" id="{56108150-51E4-4919-851F-B8AA0D3DD973}"/>
            </a:ext>
          </a:extLst>
        </xdr:cNvPr>
        <xdr:cNvCxnSpPr/>
      </xdr:nvCxnSpPr>
      <xdr:spPr>
        <a:xfrm flipV="1">
          <a:off x="10058400" y="7412355"/>
          <a:ext cx="1104900" cy="9791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9525</xdr:colOff>
      <xdr:row>33</xdr:row>
      <xdr:rowOff>9525</xdr:rowOff>
    </xdr:from>
    <xdr:to>
      <xdr:col>31</xdr:col>
      <xdr:colOff>0</xdr:colOff>
      <xdr:row>37</xdr:row>
      <xdr:rowOff>0</xdr:rowOff>
    </xdr:to>
    <xdr:cxnSp macro="">
      <xdr:nvCxnSpPr>
        <xdr:cNvPr id="12" name="Straight Connector 11">
          <a:extLst>
            <a:ext uri="{FF2B5EF4-FFF2-40B4-BE49-F238E27FC236}">
              <a16:creationId xmlns:a16="http://schemas.microsoft.com/office/drawing/2014/main" id="{9B7FF154-D04A-4530-859B-7B932F811A2D}"/>
            </a:ext>
          </a:extLst>
        </xdr:cNvPr>
        <xdr:cNvCxnSpPr/>
      </xdr:nvCxnSpPr>
      <xdr:spPr>
        <a:xfrm flipV="1">
          <a:off x="13936980" y="7412355"/>
          <a:ext cx="1093470" cy="9791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CE2F-AEC1-4A0A-9F06-F548DA5064BE}">
  <dimension ref="A1:T54"/>
  <sheetViews>
    <sheetView tabSelected="1" zoomScaleNormal="100" workbookViewId="0"/>
  </sheetViews>
  <sheetFormatPr defaultRowHeight="15.6" x14ac:dyDescent="0.3"/>
  <cols>
    <col min="1" max="1" width="8.88671875" style="1" customWidth="1"/>
    <col min="2" max="2" width="14.6640625" style="1" customWidth="1"/>
    <col min="3" max="5" width="8.88671875" style="1" customWidth="1"/>
    <col min="6" max="6" width="11.109375" style="1" customWidth="1"/>
    <col min="7" max="7" width="8.88671875" style="1"/>
    <col min="8" max="8" width="8.88671875" style="1" customWidth="1"/>
    <col min="9" max="20" width="4" style="1" customWidth="1"/>
    <col min="21" max="16384" width="8.88671875" style="1"/>
  </cols>
  <sheetData>
    <row r="1" spans="1:12" ht="17.399999999999999" x14ac:dyDescent="0.3">
      <c r="A1" s="2" t="s">
        <v>19</v>
      </c>
      <c r="B1" s="4"/>
      <c r="C1" s="9" t="s">
        <v>9</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10</v>
      </c>
      <c r="B3" s="12"/>
      <c r="C3" s="12"/>
      <c r="D3" s="12"/>
      <c r="E3" s="12"/>
      <c r="F3" s="12"/>
      <c r="G3" s="12"/>
      <c r="H3" s="12"/>
      <c r="I3" s="12"/>
      <c r="J3" s="12"/>
      <c r="K3" s="4"/>
      <c r="L3" s="3"/>
    </row>
    <row r="4" spans="1:12" s="11" customFormat="1" x14ac:dyDescent="0.3">
      <c r="A4" s="359" t="s">
        <v>253</v>
      </c>
      <c r="B4" s="359"/>
      <c r="C4" s="359"/>
      <c r="D4" s="359"/>
      <c r="E4" s="359"/>
      <c r="F4" s="359"/>
      <c r="G4" s="359"/>
      <c r="H4" s="359"/>
      <c r="I4" s="359"/>
      <c r="J4" s="10"/>
      <c r="K4" s="10"/>
      <c r="L4" s="10"/>
    </row>
    <row r="5" spans="1:12" s="11" customFormat="1" x14ac:dyDescent="0.3">
      <c r="A5" s="359"/>
      <c r="B5" s="359"/>
      <c r="C5" s="359"/>
      <c r="D5" s="359"/>
      <c r="E5" s="359"/>
      <c r="F5" s="359"/>
      <c r="G5" s="359"/>
      <c r="H5" s="359"/>
      <c r="I5" s="359"/>
      <c r="J5" s="10"/>
      <c r="K5" s="10"/>
      <c r="L5" s="10"/>
    </row>
    <row r="6" spans="1:12" s="11" customFormat="1" x14ac:dyDescent="0.3">
      <c r="A6" s="13" t="s">
        <v>15</v>
      </c>
      <c r="B6" s="12"/>
      <c r="C6" s="12"/>
      <c r="D6" s="12"/>
      <c r="E6" s="12"/>
      <c r="F6" s="12"/>
      <c r="G6" s="12"/>
      <c r="H6" s="10"/>
      <c r="I6" s="10"/>
      <c r="J6" s="10"/>
      <c r="K6" s="10"/>
      <c r="L6" s="10"/>
    </row>
    <row r="7" spans="1:12" s="11" customFormat="1" x14ac:dyDescent="0.3">
      <c r="A7" s="13" t="s">
        <v>254</v>
      </c>
      <c r="B7" s="12"/>
      <c r="C7" s="12"/>
      <c r="D7" s="12"/>
      <c r="E7" s="12"/>
      <c r="F7" s="12"/>
      <c r="G7" s="12"/>
      <c r="H7" s="10"/>
      <c r="I7" s="10"/>
      <c r="J7" s="10"/>
      <c r="K7" s="10"/>
      <c r="L7" s="10"/>
    </row>
    <row r="8" spans="1:12" s="11" customFormat="1" x14ac:dyDescent="0.3">
      <c r="A8" s="13" t="s">
        <v>255</v>
      </c>
      <c r="B8" s="12"/>
      <c r="C8" s="12"/>
      <c r="D8" s="12"/>
      <c r="E8" s="12"/>
      <c r="F8" s="12"/>
      <c r="G8" s="12"/>
      <c r="H8" s="10"/>
      <c r="I8" s="10"/>
      <c r="J8" s="10"/>
      <c r="K8" s="10"/>
      <c r="L8" s="10"/>
    </row>
    <row r="9" spans="1:12" s="11" customFormat="1" x14ac:dyDescent="0.3">
      <c r="A9" s="359" t="s">
        <v>16</v>
      </c>
      <c r="B9" s="359"/>
      <c r="C9" s="359"/>
      <c r="D9" s="359"/>
      <c r="E9" s="359"/>
      <c r="F9" s="359"/>
      <c r="G9" s="359"/>
      <c r="H9" s="359"/>
      <c r="I9" s="359"/>
      <c r="J9" s="10"/>
      <c r="K9" s="10"/>
      <c r="L9" s="10"/>
    </row>
    <row r="10" spans="1:12" s="11" customFormat="1" x14ac:dyDescent="0.3">
      <c r="A10" s="359"/>
      <c r="B10" s="359"/>
      <c r="C10" s="359"/>
      <c r="D10" s="359"/>
      <c r="E10" s="359"/>
      <c r="F10" s="359"/>
      <c r="G10" s="359"/>
      <c r="H10" s="359"/>
      <c r="I10" s="359"/>
      <c r="J10" s="10"/>
      <c r="K10" s="10"/>
      <c r="L10" s="10"/>
    </row>
    <row r="11" spans="1:12" s="11" customFormat="1" x14ac:dyDescent="0.3">
      <c r="A11" s="13" t="s">
        <v>17</v>
      </c>
      <c r="B11" s="12"/>
      <c r="C11" s="12"/>
      <c r="D11" s="12"/>
      <c r="E11" s="12"/>
      <c r="F11" s="12"/>
      <c r="G11" s="12"/>
      <c r="H11" s="10"/>
      <c r="I11" s="10"/>
      <c r="J11" s="10"/>
      <c r="K11" s="10"/>
      <c r="L11" s="10"/>
    </row>
    <row r="12" spans="1:12" s="11" customFormat="1" x14ac:dyDescent="0.3">
      <c r="A12" s="12"/>
      <c r="B12" s="12" t="s">
        <v>14</v>
      </c>
      <c r="C12" s="12"/>
      <c r="D12" s="12"/>
      <c r="E12" s="12"/>
      <c r="F12" s="12"/>
      <c r="G12" s="12"/>
      <c r="H12" s="10"/>
      <c r="I12" s="10"/>
      <c r="J12" s="10"/>
      <c r="K12" s="10"/>
      <c r="L12" s="10"/>
    </row>
    <row r="13" spans="1:12" s="11" customFormat="1" x14ac:dyDescent="0.3">
      <c r="A13" s="12"/>
      <c r="B13" s="12" t="s">
        <v>13</v>
      </c>
      <c r="C13" s="12"/>
      <c r="D13" s="12"/>
      <c r="E13" s="12"/>
      <c r="F13" s="12"/>
      <c r="G13" s="12"/>
      <c r="H13" s="10"/>
      <c r="I13" s="10"/>
      <c r="J13" s="10"/>
      <c r="K13" s="10"/>
      <c r="L13" s="10"/>
    </row>
    <row r="14" spans="1:12" s="11" customFormat="1" x14ac:dyDescent="0.3">
      <c r="A14" s="13" t="s">
        <v>18</v>
      </c>
      <c r="B14" s="12"/>
      <c r="C14" s="12"/>
      <c r="D14" s="12"/>
      <c r="E14" s="12"/>
      <c r="F14" s="12"/>
      <c r="G14" s="12"/>
      <c r="H14" s="10"/>
      <c r="I14" s="10"/>
      <c r="J14" s="10"/>
      <c r="K14" s="10"/>
      <c r="L14" s="10"/>
    </row>
    <row r="15" spans="1:12" s="11" customFormat="1" x14ac:dyDescent="0.3">
      <c r="A15" s="12"/>
      <c r="B15" s="12" t="s">
        <v>11</v>
      </c>
      <c r="C15" s="12"/>
      <c r="D15" s="12"/>
      <c r="E15" s="12"/>
      <c r="F15" s="12"/>
      <c r="G15" s="12"/>
      <c r="H15" s="10"/>
      <c r="I15" s="10"/>
      <c r="J15" s="10"/>
      <c r="K15" s="10"/>
      <c r="L15" s="10"/>
    </row>
    <row r="16" spans="1:12" s="11" customFormat="1" x14ac:dyDescent="0.3">
      <c r="A16" s="12"/>
      <c r="B16" s="12" t="s">
        <v>12</v>
      </c>
      <c r="C16" s="12"/>
      <c r="D16" s="12"/>
      <c r="E16" s="12"/>
      <c r="F16" s="12"/>
      <c r="G16" s="12"/>
      <c r="H16" s="10"/>
      <c r="I16" s="10"/>
      <c r="J16" s="10"/>
      <c r="K16" s="10"/>
      <c r="L16" s="10"/>
    </row>
    <row r="17" spans="1:20" s="11" customFormat="1" x14ac:dyDescent="0.3">
      <c r="A17" s="12"/>
      <c r="B17" s="12"/>
      <c r="C17" s="12"/>
      <c r="D17" s="12"/>
      <c r="E17" s="12"/>
      <c r="F17" s="12"/>
      <c r="G17" s="12"/>
      <c r="H17" s="10"/>
      <c r="I17" s="10"/>
      <c r="J17" s="10"/>
      <c r="K17" s="10"/>
      <c r="L17" s="10"/>
    </row>
    <row r="18" spans="1:20" x14ac:dyDescent="0.3">
      <c r="A18" s="7"/>
      <c r="B18" s="7"/>
      <c r="C18" s="7"/>
      <c r="D18" s="7"/>
      <c r="E18" s="7"/>
      <c r="F18" s="7"/>
      <c r="G18" s="7"/>
      <c r="H18" s="7"/>
      <c r="I18" s="7"/>
      <c r="J18" s="7"/>
      <c r="K18" s="7"/>
      <c r="L18" s="7"/>
    </row>
    <row r="19" spans="1:20" x14ac:dyDescent="0.3">
      <c r="A19" s="6" t="s">
        <v>5</v>
      </c>
      <c r="B19" s="6" t="s">
        <v>21</v>
      </c>
      <c r="C19" s="4"/>
      <c r="D19" s="4"/>
      <c r="E19" s="4"/>
      <c r="F19" s="4"/>
      <c r="G19" s="4"/>
      <c r="H19" s="4"/>
      <c r="I19" s="4"/>
      <c r="J19" s="4"/>
      <c r="K19" s="4"/>
      <c r="L19" s="4"/>
      <c r="M19" s="8"/>
      <c r="N19" s="8"/>
      <c r="O19" s="8"/>
      <c r="P19" s="8"/>
      <c r="Q19" s="8"/>
      <c r="R19" s="8"/>
    </row>
    <row r="20" spans="1:20" x14ac:dyDescent="0.3">
      <c r="A20" s="7"/>
      <c r="B20" s="7"/>
      <c r="C20" s="7"/>
      <c r="D20" s="7"/>
      <c r="E20" s="7"/>
      <c r="F20" s="7"/>
      <c r="G20" s="7"/>
      <c r="H20" s="7"/>
      <c r="I20" s="7"/>
      <c r="J20" s="7"/>
      <c r="K20" s="7"/>
      <c r="L20" s="7"/>
      <c r="M20" s="7"/>
    </row>
    <row r="21" spans="1:20" x14ac:dyDescent="0.3">
      <c r="A21" s="7" t="s">
        <v>2</v>
      </c>
      <c r="B21" s="7"/>
      <c r="C21" s="7"/>
      <c r="D21" s="7"/>
      <c r="E21" s="7"/>
      <c r="F21" s="7"/>
      <c r="G21" s="7"/>
      <c r="H21" s="7"/>
      <c r="I21" s="7"/>
      <c r="J21" s="7"/>
      <c r="K21" s="7"/>
      <c r="L21" s="7"/>
      <c r="M21" s="7"/>
      <c r="N21" s="8"/>
    </row>
    <row r="22" spans="1:20" x14ac:dyDescent="0.3">
      <c r="A22" s="7"/>
      <c r="B22" s="7"/>
      <c r="C22" s="7"/>
      <c r="D22" s="7"/>
      <c r="E22" s="7"/>
      <c r="F22" s="7"/>
      <c r="G22" s="7"/>
      <c r="H22" s="7"/>
      <c r="I22" s="7"/>
      <c r="J22" s="7"/>
      <c r="K22" s="7"/>
      <c r="L22" s="7"/>
      <c r="M22" s="7"/>
      <c r="N22" s="8"/>
    </row>
    <row r="23" spans="1:20" ht="16.2" x14ac:dyDescent="0.35">
      <c r="A23" s="100" t="s">
        <v>237</v>
      </c>
      <c r="B23" s="7"/>
      <c r="C23" s="7"/>
      <c r="D23" s="7"/>
      <c r="E23" s="7"/>
      <c r="F23" s="7"/>
      <c r="G23" s="7"/>
      <c r="H23" s="7"/>
      <c r="I23" s="7"/>
      <c r="J23" s="7"/>
      <c r="K23" s="7"/>
      <c r="L23" s="7"/>
      <c r="M23" s="7"/>
      <c r="N23" s="8"/>
    </row>
    <row r="24" spans="1:20" x14ac:dyDescent="0.3">
      <c r="I24" s="358">
        <v>2017</v>
      </c>
      <c r="J24" s="358"/>
      <c r="K24" s="358"/>
      <c r="L24" s="358"/>
      <c r="M24" s="358">
        <f>I24+1</f>
        <v>2018</v>
      </c>
      <c r="N24" s="358"/>
      <c r="O24" s="358"/>
      <c r="P24" s="358"/>
      <c r="Q24" s="358">
        <f>M24+1</f>
        <v>2019</v>
      </c>
      <c r="R24" s="358"/>
      <c r="S24" s="358"/>
      <c r="T24" s="358"/>
    </row>
    <row r="25" spans="1:20" ht="19.95" customHeight="1" x14ac:dyDescent="0.3">
      <c r="I25" s="107"/>
      <c r="J25" s="108"/>
      <c r="K25" s="108"/>
      <c r="L25" s="109"/>
      <c r="M25" s="107"/>
      <c r="N25" s="108"/>
      <c r="O25" s="108"/>
      <c r="P25" s="109"/>
      <c r="Q25" s="107"/>
      <c r="R25" s="108"/>
      <c r="S25" s="108"/>
      <c r="T25" s="109"/>
    </row>
    <row r="26" spans="1:20" ht="19.95" customHeight="1" x14ac:dyDescent="0.3">
      <c r="I26" s="110"/>
      <c r="J26" s="111"/>
      <c r="K26" s="111"/>
      <c r="L26" s="112"/>
      <c r="M26" s="110" t="s">
        <v>264</v>
      </c>
      <c r="N26" s="111"/>
      <c r="O26" s="111"/>
      <c r="P26" s="112"/>
      <c r="Q26" s="110"/>
      <c r="R26" s="111"/>
      <c r="S26" s="111"/>
      <c r="T26" s="112"/>
    </row>
    <row r="27" spans="1:20" ht="19.95" customHeight="1" x14ac:dyDescent="0.3">
      <c r="I27" s="110"/>
      <c r="J27" s="111"/>
      <c r="K27" s="111"/>
      <c r="L27" s="112"/>
      <c r="M27" s="110"/>
      <c r="N27" s="111"/>
      <c r="O27" s="111" t="s">
        <v>265</v>
      </c>
      <c r="P27" s="112"/>
      <c r="Q27" s="110"/>
      <c r="R27" s="111"/>
      <c r="S27" s="111"/>
      <c r="T27" s="112"/>
    </row>
    <row r="28" spans="1:20" ht="19.95" customHeight="1" x14ac:dyDescent="0.3">
      <c r="I28" s="113"/>
      <c r="J28" s="114"/>
      <c r="K28" s="114"/>
      <c r="L28" s="115"/>
      <c r="M28" s="113"/>
      <c r="N28" s="114"/>
      <c r="O28" s="114"/>
      <c r="P28" s="115"/>
      <c r="Q28" s="113"/>
      <c r="R28" s="114"/>
      <c r="S28" s="114"/>
      <c r="T28" s="115"/>
    </row>
    <row r="29" spans="1:20" x14ac:dyDescent="0.3">
      <c r="M29" s="8"/>
      <c r="N29" s="8"/>
    </row>
    <row r="30" spans="1:20" x14ac:dyDescent="0.3">
      <c r="A30" s="46" t="s">
        <v>276</v>
      </c>
      <c r="B30" s="46"/>
      <c r="C30" s="46"/>
      <c r="D30" s="46"/>
      <c r="E30" s="46"/>
      <c r="F30" s="46"/>
      <c r="G30" s="46"/>
      <c r="H30" s="46"/>
      <c r="I30" s="46"/>
    </row>
    <row r="31" spans="1:20" x14ac:dyDescent="0.3">
      <c r="A31" s="116" t="s">
        <v>266</v>
      </c>
      <c r="B31" s="46" t="s">
        <v>277</v>
      </c>
      <c r="C31" s="46"/>
      <c r="D31" s="46"/>
      <c r="E31" s="46"/>
      <c r="F31" s="46"/>
      <c r="G31" s="46"/>
      <c r="H31" s="46"/>
      <c r="I31" s="46"/>
    </row>
    <row r="32" spans="1:20" x14ac:dyDescent="0.3">
      <c r="A32" s="46"/>
      <c r="B32" s="46" t="s">
        <v>267</v>
      </c>
      <c r="C32" s="46"/>
      <c r="D32" s="117">
        <v>0.25</v>
      </c>
      <c r="E32" s="46"/>
      <c r="F32" s="46"/>
      <c r="G32" s="46"/>
      <c r="H32" s="46"/>
      <c r="I32" s="46"/>
    </row>
    <row r="33" spans="1:14" x14ac:dyDescent="0.3">
      <c r="A33" s="46"/>
      <c r="B33" s="46" t="s">
        <v>273</v>
      </c>
      <c r="C33" s="46"/>
      <c r="D33" s="46"/>
      <c r="E33" s="46"/>
      <c r="F33" s="118">
        <f>2500*750*0.25</f>
        <v>468750</v>
      </c>
      <c r="G33" s="46"/>
      <c r="H33" s="46"/>
      <c r="I33" s="46"/>
    </row>
    <row r="34" spans="1:14" x14ac:dyDescent="0.3">
      <c r="A34" s="116" t="s">
        <v>268</v>
      </c>
      <c r="B34" s="46" t="s">
        <v>269</v>
      </c>
      <c r="C34" s="46"/>
      <c r="D34" s="46"/>
      <c r="E34" s="46"/>
      <c r="F34" s="46"/>
      <c r="G34" s="46"/>
      <c r="H34" s="46"/>
      <c r="I34" s="46"/>
    </row>
    <row r="35" spans="1:14" x14ac:dyDescent="0.3">
      <c r="A35" s="46"/>
      <c r="B35" s="46" t="s">
        <v>270</v>
      </c>
      <c r="C35" s="46"/>
      <c r="D35" s="119">
        <f>0.5-1/8</f>
        <v>0.375</v>
      </c>
      <c r="E35" s="46"/>
      <c r="F35" s="46"/>
      <c r="G35" s="46"/>
      <c r="H35" s="46"/>
      <c r="I35" s="46"/>
    </row>
    <row r="36" spans="1:14" x14ac:dyDescent="0.3">
      <c r="A36" s="46"/>
      <c r="B36" s="46" t="s">
        <v>274</v>
      </c>
      <c r="C36" s="46"/>
      <c r="D36" s="46"/>
      <c r="E36" s="46"/>
      <c r="F36" s="46"/>
      <c r="G36" s="46"/>
      <c r="H36" s="120">
        <f>2500*750*0.375*0.8*1.04</f>
        <v>585000</v>
      </c>
      <c r="I36" s="46"/>
    </row>
    <row r="37" spans="1:14" x14ac:dyDescent="0.3">
      <c r="A37" s="46"/>
      <c r="B37" s="46"/>
      <c r="C37" s="46"/>
      <c r="D37" s="46"/>
      <c r="E37" s="46"/>
      <c r="F37" s="46"/>
      <c r="G37" s="46"/>
      <c r="H37" s="46"/>
      <c r="I37" s="46"/>
    </row>
    <row r="38" spans="1:14" x14ac:dyDescent="0.3">
      <c r="A38" s="46" t="s">
        <v>271</v>
      </c>
      <c r="B38" s="46"/>
      <c r="C38" s="46"/>
      <c r="D38" s="46"/>
      <c r="E38" s="46"/>
      <c r="F38" s="46"/>
      <c r="G38" s="46"/>
      <c r="H38" s="46"/>
      <c r="I38" s="46"/>
    </row>
    <row r="39" spans="1:14" x14ac:dyDescent="0.3">
      <c r="A39" s="46"/>
      <c r="B39" s="46" t="s">
        <v>275</v>
      </c>
      <c r="C39" s="46"/>
      <c r="D39" s="46"/>
      <c r="E39" s="46"/>
      <c r="F39" s="118">
        <f>2750*780*0.5</f>
        <v>1072500</v>
      </c>
      <c r="G39" s="46"/>
      <c r="H39" s="46"/>
      <c r="I39" s="46"/>
    </row>
    <row r="40" spans="1:14" x14ac:dyDescent="0.3">
      <c r="A40" s="46"/>
      <c r="B40" s="46"/>
      <c r="C40" s="46"/>
      <c r="D40" s="46"/>
      <c r="E40" s="46"/>
      <c r="F40" s="46"/>
      <c r="G40" s="46"/>
      <c r="H40" s="46"/>
      <c r="I40" s="46"/>
      <c r="M40" s="8"/>
      <c r="N40" s="8"/>
    </row>
    <row r="41" spans="1:14" x14ac:dyDescent="0.3">
      <c r="A41" s="46" t="s">
        <v>272</v>
      </c>
      <c r="B41" s="46"/>
      <c r="C41" s="46"/>
      <c r="D41" s="46"/>
      <c r="E41" s="46"/>
      <c r="F41" s="118">
        <f>F33+H36+F39</f>
        <v>2126250</v>
      </c>
      <c r="G41" s="46"/>
      <c r="H41" s="46"/>
      <c r="I41" s="46"/>
      <c r="M41" s="8"/>
      <c r="N41" s="8"/>
    </row>
    <row r="43" spans="1:14" x14ac:dyDescent="0.3">
      <c r="A43" s="6" t="s">
        <v>6</v>
      </c>
      <c r="B43" s="4" t="s">
        <v>20</v>
      </c>
      <c r="C43" s="4"/>
      <c r="D43" s="4"/>
      <c r="E43" s="4"/>
      <c r="F43" s="4"/>
      <c r="G43" s="4"/>
      <c r="H43" s="4"/>
      <c r="I43" s="4"/>
      <c r="J43" s="4"/>
      <c r="K43" s="4"/>
      <c r="L43" s="4"/>
    </row>
    <row r="44" spans="1:14" x14ac:dyDescent="0.3">
      <c r="A44" s="7"/>
      <c r="B44" s="7"/>
      <c r="C44" s="7"/>
      <c r="D44" s="7"/>
      <c r="E44" s="7"/>
      <c r="F44" s="7"/>
      <c r="G44" s="7"/>
      <c r="H44" s="7"/>
      <c r="I44" s="7"/>
      <c r="J44" s="7"/>
      <c r="K44" s="7"/>
      <c r="L44" s="7"/>
    </row>
    <row r="45" spans="1:14" x14ac:dyDescent="0.3">
      <c r="A45" s="7" t="s">
        <v>2</v>
      </c>
      <c r="B45" s="7"/>
      <c r="C45" s="7"/>
      <c r="D45" s="7"/>
      <c r="E45" s="7"/>
      <c r="F45" s="7"/>
      <c r="G45" s="7"/>
      <c r="H45" s="7"/>
      <c r="I45" s="7"/>
      <c r="J45" s="7"/>
      <c r="K45" s="7"/>
      <c r="L45" s="7"/>
    </row>
    <row r="46" spans="1:14" x14ac:dyDescent="0.3">
      <c r="A46" s="7"/>
      <c r="B46" s="7"/>
      <c r="C46" s="7"/>
      <c r="D46" s="7"/>
      <c r="E46" s="7"/>
      <c r="F46" s="7"/>
      <c r="G46" s="7"/>
      <c r="H46" s="7"/>
      <c r="I46" s="7"/>
      <c r="J46" s="7"/>
      <c r="K46" s="7"/>
      <c r="L46" s="7"/>
    </row>
    <row r="47" spans="1:14" x14ac:dyDescent="0.3">
      <c r="A47" s="121" t="s">
        <v>278</v>
      </c>
      <c r="B47" s="46" t="s">
        <v>279</v>
      </c>
      <c r="C47" s="46"/>
      <c r="D47" s="46"/>
      <c r="E47" s="46"/>
      <c r="F47" s="46"/>
      <c r="G47" s="122"/>
      <c r="H47" s="7"/>
      <c r="I47" s="7"/>
      <c r="J47" s="7"/>
      <c r="K47" s="7"/>
      <c r="L47" s="7"/>
    </row>
    <row r="48" spans="1:14" x14ac:dyDescent="0.3">
      <c r="A48" s="46"/>
      <c r="B48" s="46" t="s">
        <v>284</v>
      </c>
      <c r="C48" s="46"/>
      <c r="D48" s="46"/>
      <c r="E48" s="46"/>
      <c r="F48" s="118">
        <f>F33*1.04*1.05</f>
        <v>511875</v>
      </c>
      <c r="M48" s="7"/>
    </row>
    <row r="49" spans="1:13" x14ac:dyDescent="0.3">
      <c r="A49" s="123" t="s">
        <v>280</v>
      </c>
      <c r="B49" s="46" t="s">
        <v>281</v>
      </c>
      <c r="C49" s="46"/>
      <c r="D49" s="46"/>
      <c r="E49" s="46"/>
      <c r="F49" s="46"/>
      <c r="G49" s="46"/>
      <c r="M49" s="7"/>
    </row>
    <row r="50" spans="1:13" x14ac:dyDescent="0.3">
      <c r="A50" s="46"/>
      <c r="B50" s="46" t="s">
        <v>285</v>
      </c>
      <c r="C50" s="46"/>
      <c r="D50" s="46"/>
      <c r="E50" s="46"/>
      <c r="F50" s="118">
        <f>H36*1.05</f>
        <v>614250</v>
      </c>
      <c r="G50" s="46"/>
      <c r="M50" s="7"/>
    </row>
    <row r="51" spans="1:13" x14ac:dyDescent="0.3">
      <c r="A51" s="123" t="s">
        <v>282</v>
      </c>
      <c r="B51" s="46" t="s">
        <v>281</v>
      </c>
      <c r="C51" s="46"/>
      <c r="D51" s="46"/>
      <c r="E51" s="46"/>
      <c r="F51" s="46"/>
      <c r="G51" s="46"/>
    </row>
    <row r="52" spans="1:13" x14ac:dyDescent="0.3">
      <c r="A52" s="46"/>
      <c r="B52" s="46" t="s">
        <v>286</v>
      </c>
      <c r="C52" s="46"/>
      <c r="D52" s="46"/>
      <c r="E52" s="46"/>
      <c r="F52" s="118">
        <f>F39*1.05</f>
        <v>1126125</v>
      </c>
      <c r="G52" s="46"/>
    </row>
    <row r="53" spans="1:13" x14ac:dyDescent="0.3">
      <c r="A53" s="46"/>
      <c r="B53" s="46"/>
      <c r="C53" s="46"/>
      <c r="D53" s="46"/>
      <c r="E53" s="46"/>
      <c r="F53" s="46"/>
      <c r="G53" s="46"/>
    </row>
    <row r="54" spans="1:13" x14ac:dyDescent="0.3">
      <c r="A54" s="46" t="s">
        <v>283</v>
      </c>
      <c r="B54" s="46"/>
      <c r="C54" s="46"/>
      <c r="D54" s="46"/>
      <c r="E54" s="46"/>
      <c r="F54" s="118">
        <f>F48+F50+F52</f>
        <v>2252250</v>
      </c>
      <c r="G54" s="46"/>
    </row>
  </sheetData>
  <mergeCells count="5">
    <mergeCell ref="I24:L24"/>
    <mergeCell ref="M24:P24"/>
    <mergeCell ref="Q24:T24"/>
    <mergeCell ref="A4:I5"/>
    <mergeCell ref="A9:I10"/>
  </mergeCells>
  <pageMargins left="0.7" right="0.7" top="0.75" bottom="0.75" header="0.3" footer="0.3"/>
  <pageSetup scale="84"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2634-2831-4B41-85FC-59F8B74FDF67}">
  <dimension ref="A1:R98"/>
  <sheetViews>
    <sheetView zoomScaleNormal="100" workbookViewId="0"/>
  </sheetViews>
  <sheetFormatPr defaultRowHeight="15.6" x14ac:dyDescent="0.3"/>
  <cols>
    <col min="1" max="3" width="8.88671875" style="1" customWidth="1"/>
    <col min="4" max="4" width="11.77734375" style="1" customWidth="1"/>
    <col min="5" max="6" width="14.77734375" style="1" customWidth="1"/>
    <col min="7" max="7" width="8.88671875" style="1"/>
    <col min="8" max="8" width="8.88671875" style="1" customWidth="1"/>
    <col min="9" max="16384" width="8.88671875" style="1"/>
  </cols>
  <sheetData>
    <row r="1" spans="1:18" ht="17.399999999999999" x14ac:dyDescent="0.3">
      <c r="A1" s="2" t="s">
        <v>122</v>
      </c>
      <c r="B1" s="4"/>
      <c r="C1" s="9" t="s">
        <v>61</v>
      </c>
      <c r="D1" s="4"/>
      <c r="E1" s="4"/>
      <c r="F1" s="4"/>
      <c r="G1" s="4"/>
      <c r="H1" s="4"/>
      <c r="I1" s="4"/>
      <c r="J1" s="4"/>
      <c r="K1" s="4"/>
      <c r="L1" s="3"/>
    </row>
    <row r="2" spans="1:18" x14ac:dyDescent="0.3">
      <c r="A2" s="4"/>
      <c r="B2" s="4"/>
      <c r="C2" s="4"/>
      <c r="D2" s="4"/>
      <c r="E2" s="4"/>
      <c r="F2" s="4"/>
      <c r="G2" s="4"/>
      <c r="H2" s="4"/>
      <c r="I2" s="4"/>
      <c r="J2" s="4"/>
      <c r="K2" s="4"/>
      <c r="L2" s="3"/>
    </row>
    <row r="4" spans="1:18" x14ac:dyDescent="0.3">
      <c r="A4" s="5" t="s">
        <v>8</v>
      </c>
      <c r="B4" s="3"/>
      <c r="C4" s="3"/>
      <c r="D4" s="3"/>
      <c r="E4" s="3"/>
      <c r="F4" s="3"/>
      <c r="G4" s="3"/>
      <c r="H4" s="3"/>
      <c r="I4" s="3"/>
      <c r="J4" s="3"/>
      <c r="K4" s="3"/>
      <c r="L4" s="3"/>
    </row>
    <row r="5" spans="1:18" x14ac:dyDescent="0.3">
      <c r="A5" s="7"/>
      <c r="B5" s="7"/>
      <c r="C5" s="7"/>
      <c r="D5" s="7"/>
      <c r="E5" s="7"/>
      <c r="F5" s="7"/>
      <c r="G5" s="7"/>
      <c r="H5" s="7"/>
      <c r="I5" s="7"/>
      <c r="J5" s="7"/>
      <c r="K5" s="7"/>
      <c r="L5" s="7"/>
    </row>
    <row r="6" spans="1:18" x14ac:dyDescent="0.3">
      <c r="A6" s="5" t="s">
        <v>96</v>
      </c>
      <c r="B6" s="3"/>
      <c r="C6" s="3"/>
      <c r="D6" s="3"/>
      <c r="E6" s="3"/>
      <c r="F6" s="3"/>
      <c r="G6" s="3"/>
      <c r="H6" s="3"/>
      <c r="I6" s="3"/>
      <c r="J6" s="3"/>
      <c r="K6" s="3"/>
      <c r="L6" s="3"/>
    </row>
    <row r="7" spans="1:18" x14ac:dyDescent="0.3">
      <c r="A7" s="7"/>
      <c r="B7" s="7"/>
      <c r="C7" s="7"/>
      <c r="D7" s="7"/>
      <c r="E7" s="7"/>
      <c r="F7" s="7"/>
      <c r="G7" s="7"/>
      <c r="H7" s="7"/>
      <c r="I7" s="7"/>
      <c r="J7" s="7"/>
      <c r="K7" s="7"/>
      <c r="L7" s="7"/>
    </row>
    <row r="8" spans="1:18" x14ac:dyDescent="0.3">
      <c r="A8" s="9"/>
      <c r="B8" s="9"/>
      <c r="C8" s="9"/>
      <c r="D8" s="9"/>
      <c r="E8" s="9"/>
      <c r="F8" s="9"/>
      <c r="G8" s="9"/>
      <c r="H8" s="9"/>
      <c r="I8" s="9"/>
      <c r="J8" s="9"/>
      <c r="K8" s="9"/>
      <c r="L8" s="9"/>
    </row>
    <row r="9" spans="1:18" x14ac:dyDescent="0.3">
      <c r="A9" s="9" t="s">
        <v>123</v>
      </c>
      <c r="B9" s="9"/>
      <c r="C9" s="9"/>
      <c r="D9" s="9"/>
      <c r="E9" s="9"/>
      <c r="F9" s="9"/>
      <c r="G9" s="9"/>
      <c r="H9" s="9"/>
      <c r="I9" s="9"/>
      <c r="J9" s="9"/>
      <c r="K9" s="9"/>
      <c r="L9" s="9"/>
    </row>
    <row r="10" spans="1:18" x14ac:dyDescent="0.3">
      <c r="A10" s="9"/>
      <c r="B10" s="9"/>
      <c r="C10" s="9"/>
      <c r="D10" s="9"/>
      <c r="E10" s="9"/>
      <c r="F10" s="9"/>
      <c r="G10" s="9"/>
      <c r="H10" s="9"/>
      <c r="I10" s="9"/>
      <c r="J10" s="9"/>
      <c r="K10" s="9"/>
      <c r="L10" s="9"/>
    </row>
    <row r="11" spans="1:18" x14ac:dyDescent="0.3">
      <c r="A11" s="9"/>
      <c r="B11" s="75" t="s">
        <v>124</v>
      </c>
      <c r="C11" s="9"/>
      <c r="D11" s="9"/>
      <c r="E11" s="9"/>
      <c r="F11" s="9"/>
      <c r="G11" s="9"/>
      <c r="H11" s="9"/>
      <c r="I11" s="9"/>
      <c r="J11" s="9"/>
      <c r="K11" s="9"/>
      <c r="L11" s="9"/>
    </row>
    <row r="12" spans="1:18" x14ac:dyDescent="0.3">
      <c r="A12" s="9"/>
      <c r="B12" s="75" t="s">
        <v>125</v>
      </c>
      <c r="C12" s="9"/>
      <c r="D12" s="9"/>
      <c r="E12" s="9"/>
      <c r="F12" s="9"/>
      <c r="G12" s="9"/>
      <c r="H12" s="9"/>
      <c r="I12" s="9"/>
      <c r="J12" s="9"/>
      <c r="K12" s="9"/>
      <c r="L12" s="9"/>
    </row>
    <row r="13" spans="1:18" x14ac:dyDescent="0.3">
      <c r="A13" s="9"/>
      <c r="B13" s="9"/>
      <c r="C13" s="9"/>
      <c r="D13" s="9"/>
      <c r="E13" s="9"/>
      <c r="F13" s="9"/>
      <c r="G13" s="9"/>
      <c r="H13" s="9"/>
      <c r="I13" s="9"/>
      <c r="J13" s="9"/>
      <c r="K13" s="9"/>
      <c r="L13" s="9"/>
    </row>
    <row r="14" spans="1:18" x14ac:dyDescent="0.3">
      <c r="A14" s="7"/>
      <c r="B14" s="7"/>
      <c r="C14" s="7"/>
      <c r="D14" s="7"/>
      <c r="E14" s="7"/>
      <c r="F14" s="7"/>
      <c r="G14" s="7"/>
      <c r="H14" s="7"/>
      <c r="I14" s="7"/>
      <c r="J14" s="7"/>
      <c r="K14" s="7"/>
      <c r="L14" s="7"/>
    </row>
    <row r="15" spans="1:18" x14ac:dyDescent="0.3">
      <c r="A15" s="6" t="s">
        <v>1</v>
      </c>
      <c r="B15" s="9" t="s">
        <v>126</v>
      </c>
      <c r="C15" s="4"/>
      <c r="D15" s="4"/>
      <c r="E15" s="4"/>
      <c r="F15" s="4"/>
      <c r="G15" s="4"/>
      <c r="H15" s="4"/>
      <c r="I15" s="4"/>
      <c r="J15" s="4"/>
      <c r="K15" s="4"/>
      <c r="L15" s="4"/>
      <c r="M15" s="8"/>
      <c r="N15" s="8"/>
      <c r="O15" s="8"/>
      <c r="P15" s="8"/>
      <c r="Q15" s="8"/>
      <c r="R15" s="8"/>
    </row>
    <row r="16" spans="1:18" x14ac:dyDescent="0.3">
      <c r="A16" s="6"/>
      <c r="B16" s="4"/>
      <c r="C16" s="4"/>
      <c r="D16" s="4"/>
      <c r="E16" s="4"/>
      <c r="F16" s="4"/>
      <c r="G16" s="4"/>
      <c r="H16" s="4"/>
      <c r="I16" s="4"/>
      <c r="J16" s="4"/>
      <c r="K16" s="4"/>
      <c r="L16" s="4"/>
      <c r="M16" s="8"/>
      <c r="N16" s="8"/>
      <c r="O16" s="8"/>
      <c r="P16" s="8"/>
      <c r="Q16" s="8"/>
      <c r="R16" s="8"/>
    </row>
    <row r="17" spans="1:18" x14ac:dyDescent="0.3">
      <c r="A17" s="6"/>
      <c r="B17" s="9" t="s">
        <v>76</v>
      </c>
      <c r="C17" s="9" t="s">
        <v>127</v>
      </c>
      <c r="D17" s="4"/>
      <c r="E17" s="4"/>
      <c r="F17" s="4"/>
      <c r="G17" s="4"/>
      <c r="H17" s="4"/>
      <c r="I17" s="4"/>
      <c r="J17" s="4"/>
      <c r="K17" s="4"/>
      <c r="L17" s="4"/>
      <c r="M17" s="8"/>
      <c r="N17" s="8"/>
      <c r="O17" s="8"/>
      <c r="P17" s="8"/>
      <c r="Q17" s="8"/>
      <c r="R17" s="8"/>
    </row>
    <row r="18" spans="1:18" x14ac:dyDescent="0.3">
      <c r="A18" s="6"/>
      <c r="B18" s="9"/>
      <c r="C18" s="9"/>
      <c r="D18" s="4"/>
      <c r="E18" s="4"/>
      <c r="F18" s="4"/>
      <c r="G18" s="4"/>
      <c r="H18" s="4"/>
      <c r="I18" s="4"/>
      <c r="J18" s="4"/>
      <c r="K18" s="4"/>
      <c r="L18" s="4"/>
      <c r="M18" s="8"/>
      <c r="N18" s="8"/>
      <c r="O18" s="8"/>
      <c r="P18" s="8"/>
      <c r="Q18" s="8"/>
      <c r="R18" s="8"/>
    </row>
    <row r="19" spans="1:18" x14ac:dyDescent="0.3">
      <c r="A19" s="6"/>
      <c r="B19" s="9" t="s">
        <v>77</v>
      </c>
      <c r="C19" s="9" t="s">
        <v>128</v>
      </c>
      <c r="D19" s="4"/>
      <c r="E19" s="4"/>
      <c r="F19" s="4"/>
      <c r="G19" s="4"/>
      <c r="H19" s="4"/>
      <c r="I19" s="4"/>
      <c r="J19" s="4"/>
      <c r="K19" s="4"/>
      <c r="L19" s="4"/>
      <c r="M19" s="8"/>
      <c r="N19" s="8"/>
      <c r="O19" s="8"/>
      <c r="P19" s="8"/>
      <c r="Q19" s="8"/>
      <c r="R19" s="8"/>
    </row>
    <row r="20" spans="1:18" x14ac:dyDescent="0.3">
      <c r="A20" s="7"/>
      <c r="B20" s="7"/>
      <c r="C20" s="7"/>
      <c r="D20" s="7"/>
      <c r="E20" s="7"/>
      <c r="F20" s="7"/>
      <c r="G20" s="7"/>
      <c r="H20" s="7"/>
      <c r="I20" s="7"/>
      <c r="J20" s="7"/>
      <c r="K20" s="7"/>
      <c r="L20" s="7"/>
      <c r="M20" s="7"/>
    </row>
    <row r="21" spans="1:18" x14ac:dyDescent="0.3">
      <c r="A21" s="7" t="s">
        <v>2</v>
      </c>
      <c r="B21" s="7"/>
      <c r="C21" s="7"/>
      <c r="D21" s="7"/>
      <c r="E21" s="7"/>
      <c r="F21" s="7"/>
      <c r="G21" s="7"/>
      <c r="H21" s="7"/>
      <c r="I21" s="7"/>
      <c r="J21" s="7"/>
      <c r="K21" s="7"/>
      <c r="L21" s="7"/>
      <c r="M21" s="7"/>
      <c r="N21" s="8"/>
    </row>
    <row r="22" spans="1:18" x14ac:dyDescent="0.3">
      <c r="A22" s="7"/>
      <c r="B22" s="218" t="s">
        <v>364</v>
      </c>
      <c r="C22" s="122"/>
      <c r="D22" s="122"/>
      <c r="E22" s="219">
        <v>1000000</v>
      </c>
      <c r="F22" s="122"/>
      <c r="G22" s="122"/>
      <c r="H22" s="7"/>
      <c r="I22" s="7"/>
      <c r="J22" s="7"/>
      <c r="K22" s="7"/>
      <c r="L22" s="7"/>
      <c r="M22" s="7"/>
      <c r="N22" s="8"/>
    </row>
    <row r="23" spans="1:18" x14ac:dyDescent="0.3">
      <c r="A23" s="7"/>
      <c r="B23" s="218" t="s">
        <v>365</v>
      </c>
      <c r="C23" s="122"/>
      <c r="D23" s="122"/>
      <c r="E23" s="219">
        <v>500000</v>
      </c>
      <c r="F23" s="122"/>
      <c r="G23" s="122"/>
      <c r="H23" s="7"/>
      <c r="I23" s="7"/>
      <c r="J23" s="7"/>
      <c r="K23" s="7"/>
      <c r="L23" s="7"/>
      <c r="M23" s="7"/>
      <c r="N23" s="8"/>
    </row>
    <row r="24" spans="1:18" x14ac:dyDescent="0.3">
      <c r="A24" s="7"/>
      <c r="B24" s="218" t="s">
        <v>366</v>
      </c>
      <c r="C24" s="122"/>
      <c r="D24" s="122"/>
      <c r="E24" s="198">
        <v>0.8</v>
      </c>
      <c r="F24" s="122"/>
      <c r="G24" s="122"/>
      <c r="H24" s="7"/>
      <c r="I24" s="7"/>
      <c r="J24" s="7"/>
      <c r="K24" s="7"/>
      <c r="L24" s="7"/>
      <c r="M24" s="7"/>
      <c r="N24" s="8"/>
    </row>
    <row r="25" spans="1:18" x14ac:dyDescent="0.3">
      <c r="A25" s="7"/>
      <c r="B25" s="122"/>
      <c r="C25" s="220"/>
      <c r="D25" s="198"/>
      <c r="E25" s="122"/>
      <c r="F25" s="122"/>
      <c r="G25" s="122"/>
      <c r="H25" s="7"/>
      <c r="I25" s="7"/>
      <c r="J25" s="7"/>
      <c r="K25" s="7"/>
      <c r="L25" s="7"/>
      <c r="M25" s="7"/>
      <c r="N25" s="8"/>
    </row>
    <row r="26" spans="1:18" x14ac:dyDescent="0.3">
      <c r="A26" s="7"/>
      <c r="B26" s="218" t="s">
        <v>367</v>
      </c>
      <c r="C26" s="122"/>
      <c r="D26" s="122"/>
      <c r="E26" s="221">
        <f>1-E23/(E22*E24)</f>
        <v>0.375</v>
      </c>
      <c r="F26" s="122"/>
      <c r="G26" s="122"/>
      <c r="H26" s="7"/>
      <c r="I26" s="7"/>
      <c r="J26" s="7"/>
      <c r="K26" s="7"/>
      <c r="L26" s="7"/>
      <c r="M26" s="7"/>
      <c r="N26" s="8"/>
    </row>
    <row r="27" spans="1:18" x14ac:dyDescent="0.3">
      <c r="A27" s="7"/>
      <c r="B27" s="220"/>
      <c r="C27" s="122"/>
      <c r="D27" s="122"/>
      <c r="E27" s="122"/>
      <c r="F27" s="122"/>
      <c r="G27" s="122"/>
      <c r="H27" s="7"/>
      <c r="I27" s="7"/>
      <c r="J27" s="7"/>
      <c r="K27" s="7"/>
      <c r="L27" s="7"/>
      <c r="M27" s="7"/>
      <c r="N27" s="8"/>
    </row>
    <row r="28" spans="1:18" ht="31.2" x14ac:dyDescent="0.3">
      <c r="A28" s="7"/>
      <c r="B28" s="222"/>
      <c r="C28" s="225" t="s">
        <v>368</v>
      </c>
      <c r="D28" s="225" t="s">
        <v>369</v>
      </c>
      <c r="E28" s="225" t="s">
        <v>370</v>
      </c>
      <c r="F28" s="122"/>
      <c r="G28" s="122"/>
      <c r="H28" s="7"/>
      <c r="I28" s="7"/>
      <c r="J28" s="7"/>
      <c r="K28" s="7"/>
      <c r="L28" s="7"/>
      <c r="M28" s="7"/>
      <c r="N28" s="8"/>
    </row>
    <row r="29" spans="1:18" x14ac:dyDescent="0.3">
      <c r="A29" s="7"/>
      <c r="B29" s="165" t="s">
        <v>76</v>
      </c>
      <c r="C29" s="159">
        <v>800000</v>
      </c>
      <c r="D29" s="159">
        <v>10000</v>
      </c>
      <c r="E29" s="224">
        <f>MIN((1-$E$26)*C29,$E$23)-D29</f>
        <v>490000</v>
      </c>
      <c r="F29" s="122"/>
      <c r="G29" s="122"/>
      <c r="H29" s="7"/>
      <c r="I29" s="7"/>
      <c r="J29" s="7"/>
      <c r="K29" s="7"/>
      <c r="L29" s="7"/>
      <c r="M29" s="7"/>
      <c r="N29" s="8"/>
    </row>
    <row r="30" spans="1:18" x14ac:dyDescent="0.3">
      <c r="A30" s="7"/>
      <c r="B30" s="165" t="s">
        <v>77</v>
      </c>
      <c r="C30" s="159">
        <v>900000</v>
      </c>
      <c r="D30" s="159">
        <v>0</v>
      </c>
      <c r="E30" s="224">
        <f>MIN((1-$E$26)*C30,$E$23)-D30</f>
        <v>500000</v>
      </c>
      <c r="F30" s="122"/>
      <c r="G30" s="122"/>
      <c r="H30" s="7"/>
      <c r="I30" s="7"/>
      <c r="J30" s="7"/>
      <c r="K30" s="7"/>
      <c r="L30" s="7"/>
      <c r="M30" s="7"/>
      <c r="N30" s="8"/>
    </row>
    <row r="31" spans="1:18" x14ac:dyDescent="0.3">
      <c r="M31" s="8"/>
      <c r="N31" s="8"/>
    </row>
    <row r="32" spans="1:18" x14ac:dyDescent="0.3">
      <c r="A32" s="26"/>
      <c r="B32" s="26"/>
      <c r="C32" s="26"/>
      <c r="D32" s="26"/>
      <c r="E32" s="26"/>
      <c r="F32" s="26"/>
      <c r="G32" s="26"/>
      <c r="H32" s="26"/>
      <c r="I32" s="26"/>
      <c r="J32" s="26"/>
      <c r="K32" s="26"/>
      <c r="L32" s="26"/>
      <c r="M32" s="8"/>
      <c r="N32" s="8"/>
    </row>
    <row r="33" spans="1:14" x14ac:dyDescent="0.3">
      <c r="A33" s="9" t="s">
        <v>248</v>
      </c>
      <c r="B33" s="26"/>
      <c r="C33" s="26"/>
      <c r="D33" s="26"/>
      <c r="E33" s="26"/>
      <c r="F33" s="26"/>
      <c r="G33" s="26"/>
      <c r="H33" s="26"/>
      <c r="I33" s="26"/>
      <c r="J33" s="26"/>
      <c r="K33" s="26"/>
      <c r="L33" s="26"/>
      <c r="M33" s="8"/>
      <c r="N33" s="8"/>
    </row>
    <row r="34" spans="1:14" x14ac:dyDescent="0.3">
      <c r="A34" s="26"/>
      <c r="B34" s="26"/>
      <c r="C34" s="26"/>
      <c r="D34" s="26"/>
      <c r="E34" s="26"/>
      <c r="F34" s="26"/>
      <c r="G34" s="26"/>
      <c r="H34" s="26"/>
      <c r="I34" s="26"/>
      <c r="J34" s="26"/>
      <c r="K34" s="26"/>
      <c r="L34" s="26"/>
      <c r="M34" s="8"/>
      <c r="N34" s="8"/>
    </row>
    <row r="35" spans="1:14" x14ac:dyDescent="0.3">
      <c r="A35" s="26"/>
      <c r="B35" s="83" t="s">
        <v>129</v>
      </c>
      <c r="C35" s="84"/>
      <c r="D35" s="66" t="s">
        <v>41</v>
      </c>
      <c r="E35" s="66" t="s">
        <v>42</v>
      </c>
      <c r="F35" s="26"/>
      <c r="G35" s="26"/>
      <c r="H35" s="26"/>
      <c r="I35" s="26"/>
      <c r="J35" s="26"/>
      <c r="K35" s="26"/>
      <c r="L35" s="26"/>
      <c r="M35" s="8"/>
      <c r="N35" s="8"/>
    </row>
    <row r="36" spans="1:14" x14ac:dyDescent="0.3">
      <c r="A36" s="26"/>
      <c r="B36" s="87" t="s">
        <v>130</v>
      </c>
      <c r="C36" s="88"/>
      <c r="D36" s="70">
        <v>1510</v>
      </c>
      <c r="E36" s="70">
        <v>1049000</v>
      </c>
      <c r="F36" s="26"/>
      <c r="G36" s="26"/>
      <c r="H36" s="26"/>
      <c r="I36" s="26"/>
      <c r="J36" s="26"/>
      <c r="K36" s="26"/>
      <c r="L36" s="26"/>
      <c r="M36" s="8"/>
      <c r="N36" s="8"/>
    </row>
    <row r="37" spans="1:14" x14ac:dyDescent="0.3">
      <c r="A37" s="26"/>
      <c r="B37" s="85" t="s">
        <v>131</v>
      </c>
      <c r="C37" s="86"/>
      <c r="D37" s="70">
        <v>10620</v>
      </c>
      <c r="E37" s="70">
        <v>59410000</v>
      </c>
      <c r="F37" s="26"/>
      <c r="G37" s="26"/>
      <c r="H37" s="26"/>
      <c r="I37" s="26"/>
      <c r="J37" s="26"/>
      <c r="K37" s="26"/>
      <c r="L37" s="26"/>
      <c r="M37" s="8"/>
      <c r="N37" s="8"/>
    </row>
    <row r="38" spans="1:14" x14ac:dyDescent="0.3">
      <c r="A38" s="26"/>
      <c r="B38" s="26"/>
      <c r="C38" s="26"/>
      <c r="D38" s="26"/>
      <c r="E38" s="26"/>
      <c r="F38" s="26"/>
      <c r="G38" s="26"/>
      <c r="H38" s="26"/>
      <c r="I38" s="26"/>
      <c r="J38" s="26"/>
      <c r="K38" s="26"/>
      <c r="L38" s="26"/>
      <c r="M38" s="8"/>
      <c r="N38" s="8"/>
    </row>
    <row r="40" spans="1:14" x14ac:dyDescent="0.3">
      <c r="A40" s="6" t="s">
        <v>3</v>
      </c>
      <c r="B40" s="9" t="s">
        <v>132</v>
      </c>
      <c r="C40" s="4"/>
      <c r="D40" s="4"/>
      <c r="E40" s="4"/>
      <c r="F40" s="4"/>
      <c r="G40" s="4"/>
      <c r="H40" s="4"/>
      <c r="I40" s="4"/>
      <c r="J40" s="4"/>
      <c r="K40" s="4"/>
      <c r="L40" s="4"/>
    </row>
    <row r="41" spans="1:14" x14ac:dyDescent="0.3">
      <c r="A41" s="7"/>
      <c r="B41" s="7"/>
      <c r="C41" s="7"/>
      <c r="D41" s="7"/>
      <c r="E41" s="7"/>
      <c r="F41" s="7"/>
      <c r="G41" s="7"/>
      <c r="H41" s="7"/>
      <c r="I41" s="7"/>
      <c r="J41" s="7"/>
      <c r="K41" s="7"/>
      <c r="L41" s="7"/>
    </row>
    <row r="42" spans="1:14" x14ac:dyDescent="0.3">
      <c r="A42" s="7" t="s">
        <v>2</v>
      </c>
      <c r="B42" s="7"/>
      <c r="C42" s="7"/>
      <c r="D42" s="7"/>
      <c r="E42" s="7"/>
      <c r="F42" s="7"/>
      <c r="G42" s="7"/>
      <c r="H42" s="7"/>
      <c r="I42" s="7"/>
      <c r="J42" s="7"/>
      <c r="K42" s="7"/>
      <c r="L42" s="7"/>
    </row>
    <row r="43" spans="1:14" x14ac:dyDescent="0.3">
      <c r="A43" s="7"/>
      <c r="B43" s="229" t="s">
        <v>129</v>
      </c>
      <c r="C43" s="230"/>
      <c r="D43" s="230" t="s">
        <v>371</v>
      </c>
      <c r="E43" s="227"/>
      <c r="F43" s="7"/>
      <c r="G43" s="7"/>
      <c r="H43" s="7"/>
      <c r="I43" s="7"/>
      <c r="J43" s="7"/>
      <c r="K43" s="7"/>
      <c r="L43" s="7"/>
    </row>
    <row r="44" spans="1:14" x14ac:dyDescent="0.3">
      <c r="A44" s="7"/>
      <c r="B44" s="226" t="s">
        <v>130</v>
      </c>
      <c r="C44" s="227"/>
      <c r="D44" s="228">
        <f>E36</f>
        <v>1049000</v>
      </c>
      <c r="E44" s="227"/>
      <c r="F44" s="7"/>
      <c r="G44" s="7"/>
      <c r="H44" s="7"/>
      <c r="I44" s="7"/>
      <c r="J44" s="7"/>
      <c r="K44" s="7"/>
      <c r="L44" s="7"/>
    </row>
    <row r="45" spans="1:14" x14ac:dyDescent="0.3">
      <c r="B45" s="229" t="s">
        <v>131</v>
      </c>
      <c r="C45" s="230"/>
      <c r="D45" s="231">
        <f>1000*D37</f>
        <v>10620000</v>
      </c>
      <c r="E45" s="227"/>
      <c r="M45" s="7"/>
    </row>
    <row r="46" spans="1:14" x14ac:dyDescent="0.3">
      <c r="B46" s="227" t="s">
        <v>44</v>
      </c>
      <c r="C46" s="227"/>
      <c r="D46" s="228">
        <f>SUM(D44:D45)</f>
        <v>11669000</v>
      </c>
      <c r="E46" s="227"/>
      <c r="M46" s="7"/>
    </row>
    <row r="47" spans="1:14" x14ac:dyDescent="0.3">
      <c r="B47" s="180"/>
      <c r="C47" s="180"/>
      <c r="D47" s="180"/>
      <c r="E47" s="180"/>
      <c r="M47" s="7"/>
    </row>
    <row r="48" spans="1:14" x14ac:dyDescent="0.3">
      <c r="B48" s="1" t="s">
        <v>372</v>
      </c>
      <c r="D48" s="232">
        <f>D46/SUM(E36:E37)</f>
        <v>0.19300683107560496</v>
      </c>
    </row>
    <row r="50" spans="1:12" x14ac:dyDescent="0.3">
      <c r="A50" s="26"/>
      <c r="B50" s="26"/>
      <c r="C50" s="26"/>
      <c r="D50" s="26"/>
      <c r="E50" s="26"/>
      <c r="F50" s="26"/>
      <c r="G50" s="26"/>
      <c r="H50" s="26"/>
      <c r="I50" s="26"/>
      <c r="J50" s="26"/>
      <c r="K50" s="26"/>
      <c r="L50" s="26"/>
    </row>
    <row r="51" spans="1:12" x14ac:dyDescent="0.3">
      <c r="A51" s="9" t="s">
        <v>249</v>
      </c>
      <c r="B51" s="26"/>
      <c r="C51" s="26"/>
      <c r="D51" s="26"/>
      <c r="E51" s="26"/>
      <c r="F51" s="26"/>
      <c r="G51" s="26"/>
      <c r="H51" s="26"/>
      <c r="I51" s="26"/>
      <c r="J51" s="26"/>
      <c r="K51" s="26"/>
      <c r="L51" s="26"/>
    </row>
    <row r="52" spans="1:12" x14ac:dyDescent="0.3">
      <c r="A52" s="26"/>
      <c r="B52" s="26"/>
      <c r="C52" s="26"/>
      <c r="D52" s="26"/>
      <c r="E52" s="26"/>
      <c r="F52" s="26"/>
      <c r="G52" s="26"/>
      <c r="H52" s="26"/>
      <c r="I52" s="26"/>
      <c r="J52" s="26"/>
      <c r="K52" s="26"/>
      <c r="L52" s="26"/>
    </row>
    <row r="53" spans="1:12" x14ac:dyDescent="0.3">
      <c r="A53" s="26"/>
      <c r="B53" s="75" t="s">
        <v>133</v>
      </c>
      <c r="C53" s="26"/>
      <c r="D53" s="26"/>
      <c r="E53" s="26"/>
      <c r="F53" s="26"/>
      <c r="G53" s="26"/>
      <c r="H53" s="26"/>
      <c r="I53" s="26"/>
      <c r="J53" s="26"/>
      <c r="K53" s="26"/>
      <c r="L53" s="26"/>
    </row>
    <row r="54" spans="1:12" x14ac:dyDescent="0.3">
      <c r="A54" s="26"/>
      <c r="B54" s="75" t="s">
        <v>134</v>
      </c>
      <c r="C54" s="26"/>
      <c r="D54" s="26"/>
      <c r="E54" s="26"/>
      <c r="F54" s="26"/>
      <c r="G54" s="26"/>
      <c r="H54" s="26"/>
      <c r="I54" s="26"/>
      <c r="J54" s="26"/>
      <c r="K54" s="26"/>
      <c r="L54" s="26"/>
    </row>
    <row r="55" spans="1:12" x14ac:dyDescent="0.3">
      <c r="A55" s="26"/>
      <c r="B55" s="75" t="s">
        <v>135</v>
      </c>
      <c r="C55" s="26"/>
      <c r="D55" s="26"/>
      <c r="E55" s="26"/>
      <c r="F55" s="26"/>
      <c r="G55" s="26"/>
      <c r="H55" s="26"/>
      <c r="I55" s="26"/>
      <c r="J55" s="26"/>
      <c r="K55" s="26"/>
      <c r="L55" s="26"/>
    </row>
    <row r="56" spans="1:12" x14ac:dyDescent="0.3">
      <c r="A56" s="26"/>
      <c r="B56" s="75" t="s">
        <v>136</v>
      </c>
      <c r="C56" s="26"/>
      <c r="D56" s="26"/>
      <c r="E56" s="26"/>
      <c r="F56" s="26"/>
      <c r="G56" s="26"/>
      <c r="H56" s="26"/>
      <c r="I56" s="26"/>
      <c r="J56" s="26"/>
      <c r="K56" s="26"/>
      <c r="L56" s="26"/>
    </row>
    <row r="57" spans="1:12" x14ac:dyDescent="0.3">
      <c r="A57" s="26"/>
      <c r="B57" s="26"/>
      <c r="C57" s="26"/>
      <c r="D57" s="26"/>
      <c r="E57" s="26"/>
      <c r="F57" s="26"/>
      <c r="G57" s="26"/>
      <c r="H57" s="26"/>
      <c r="I57" s="26"/>
      <c r="J57" s="26"/>
      <c r="K57" s="26"/>
      <c r="L57" s="26"/>
    </row>
    <row r="59" spans="1:12" x14ac:dyDescent="0.3">
      <c r="A59" s="6" t="s">
        <v>4</v>
      </c>
      <c r="B59" s="9" t="s">
        <v>137</v>
      </c>
      <c r="C59" s="4"/>
      <c r="D59" s="4"/>
      <c r="E59" s="4"/>
      <c r="F59" s="4"/>
      <c r="G59" s="4"/>
      <c r="H59" s="4"/>
      <c r="I59" s="4"/>
      <c r="J59" s="4"/>
      <c r="K59" s="4"/>
      <c r="L59" s="4"/>
    </row>
    <row r="60" spans="1:12" x14ac:dyDescent="0.3">
      <c r="A60" s="7"/>
      <c r="B60" s="7"/>
      <c r="C60" s="7"/>
      <c r="D60" s="7"/>
      <c r="E60" s="7"/>
      <c r="F60" s="7"/>
      <c r="G60" s="7"/>
      <c r="H60" s="7"/>
      <c r="I60" s="7"/>
      <c r="J60" s="7"/>
      <c r="K60" s="7"/>
      <c r="L60" s="7"/>
    </row>
    <row r="61" spans="1:12" x14ac:dyDescent="0.3">
      <c r="A61" s="7" t="s">
        <v>2</v>
      </c>
      <c r="B61" s="7"/>
      <c r="C61" s="7"/>
      <c r="D61" s="7"/>
      <c r="E61" s="7"/>
      <c r="F61" s="7"/>
      <c r="G61" s="7"/>
      <c r="H61" s="7"/>
      <c r="I61" s="7"/>
      <c r="J61" s="7"/>
      <c r="K61" s="7"/>
      <c r="L61" s="7"/>
    </row>
    <row r="62" spans="1:12" x14ac:dyDescent="0.3">
      <c r="A62" s="7"/>
      <c r="B62" s="7"/>
      <c r="C62" s="7"/>
      <c r="D62" s="7"/>
      <c r="E62" s="7"/>
      <c r="F62" s="7"/>
      <c r="G62" s="7"/>
      <c r="H62" s="7"/>
      <c r="I62" s="7"/>
      <c r="J62" s="7"/>
      <c r="K62" s="7"/>
      <c r="L62" s="7"/>
    </row>
    <row r="63" spans="1:12" x14ac:dyDescent="0.3">
      <c r="A63" s="218" t="s">
        <v>373</v>
      </c>
      <c r="B63" s="122"/>
      <c r="C63" s="165">
        <v>110</v>
      </c>
      <c r="D63" s="165" t="s">
        <v>374</v>
      </c>
      <c r="E63" s="122"/>
      <c r="F63" s="122"/>
      <c r="G63" s="122"/>
      <c r="H63" s="122"/>
      <c r="I63" s="122"/>
      <c r="J63" s="7"/>
      <c r="K63" s="7"/>
      <c r="L63" s="7"/>
    </row>
    <row r="64" spans="1:12" x14ac:dyDescent="0.3">
      <c r="A64" s="218" t="s">
        <v>42</v>
      </c>
      <c r="B64" s="122"/>
      <c r="C64" s="165">
        <f>$C$63*D64</f>
        <v>77</v>
      </c>
      <c r="D64" s="233">
        <v>0.7</v>
      </c>
      <c r="E64" s="122"/>
      <c r="F64" s="122"/>
      <c r="G64" s="122"/>
      <c r="H64" s="122"/>
      <c r="I64" s="122"/>
    </row>
    <row r="65" spans="1:14" x14ac:dyDescent="0.3">
      <c r="A65" s="218" t="s">
        <v>375</v>
      </c>
      <c r="B65" s="122"/>
      <c r="C65" s="165">
        <f>$C$63*D65</f>
        <v>22</v>
      </c>
      <c r="D65" s="233">
        <v>0.2</v>
      </c>
      <c r="E65" s="122"/>
      <c r="F65" s="122"/>
      <c r="G65" s="122"/>
      <c r="H65" s="122"/>
      <c r="I65" s="122"/>
    </row>
    <row r="66" spans="1:14" x14ac:dyDescent="0.3">
      <c r="A66" s="218" t="s">
        <v>376</v>
      </c>
      <c r="B66" s="122"/>
      <c r="C66" s="165">
        <f>$C$63*D66</f>
        <v>11</v>
      </c>
      <c r="D66" s="233">
        <v>0.1</v>
      </c>
      <c r="E66" s="122"/>
      <c r="F66" s="122"/>
      <c r="G66" s="122"/>
      <c r="H66" s="122"/>
      <c r="I66" s="122"/>
    </row>
    <row r="67" spans="1:14" x14ac:dyDescent="0.3">
      <c r="A67" s="218"/>
      <c r="B67" s="122"/>
      <c r="C67" s="234"/>
      <c r="D67" s="235"/>
      <c r="E67" s="122"/>
      <c r="F67" s="122"/>
      <c r="G67" s="122"/>
      <c r="H67" s="122"/>
      <c r="I67" s="122"/>
    </row>
    <row r="68" spans="1:14" x14ac:dyDescent="0.3">
      <c r="A68" s="218" t="s">
        <v>377</v>
      </c>
      <c r="F68" s="122"/>
      <c r="G68" s="122"/>
      <c r="H68" s="122"/>
      <c r="I68" s="122"/>
    </row>
    <row r="69" spans="1:14" x14ac:dyDescent="0.3">
      <c r="A69" s="236"/>
      <c r="B69" s="122" t="s">
        <v>378</v>
      </c>
      <c r="C69" s="122"/>
      <c r="D69" s="122"/>
      <c r="E69" s="122"/>
      <c r="F69" s="122"/>
      <c r="G69" s="122"/>
      <c r="H69" s="122"/>
      <c r="I69" s="122"/>
    </row>
    <row r="70" spans="1:14" x14ac:dyDescent="0.3">
      <c r="A70" s="236"/>
      <c r="B70" s="122" t="s">
        <v>379</v>
      </c>
      <c r="C70" s="220"/>
      <c r="D70" s="122"/>
      <c r="E70" s="122"/>
      <c r="F70" s="122"/>
      <c r="G70" s="122"/>
      <c r="H70" s="122"/>
      <c r="I70" s="122"/>
      <c r="M70" s="7"/>
      <c r="N70" s="7"/>
    </row>
    <row r="71" spans="1:14" x14ac:dyDescent="0.3">
      <c r="A71" s="236"/>
      <c r="B71" s="122"/>
      <c r="C71" s="218" t="s">
        <v>381</v>
      </c>
      <c r="D71" s="237">
        <f>C64*(1-D48)</f>
        <v>62.138474007178417</v>
      </c>
      <c r="F71" s="122"/>
      <c r="G71" s="122"/>
      <c r="H71" s="122"/>
      <c r="I71" s="122"/>
      <c r="M71" s="7"/>
      <c r="N71" s="7"/>
    </row>
    <row r="72" spans="1:14" x14ac:dyDescent="0.3">
      <c r="A72" s="236"/>
      <c r="B72" s="122" t="s">
        <v>382</v>
      </c>
      <c r="C72" s="220"/>
      <c r="D72" s="122"/>
      <c r="E72" s="122"/>
      <c r="F72" s="122"/>
      <c r="G72" s="122"/>
      <c r="H72" s="122"/>
      <c r="I72" s="122"/>
      <c r="M72" s="7"/>
      <c r="N72" s="7"/>
    </row>
    <row r="73" spans="1:14" x14ac:dyDescent="0.3">
      <c r="A73" s="236"/>
      <c r="B73" s="122"/>
      <c r="C73" s="220" t="s">
        <v>380</v>
      </c>
      <c r="D73" s="238">
        <f>(D71+C66)/(1-D65)</f>
        <v>91.423092508973014</v>
      </c>
      <c r="E73" s="122"/>
      <c r="F73" s="122"/>
      <c r="G73" s="122"/>
      <c r="H73" s="122"/>
      <c r="I73" s="122"/>
    </row>
    <row r="75" spans="1:14" x14ac:dyDescent="0.3">
      <c r="A75" s="26"/>
      <c r="B75" s="26"/>
      <c r="C75" s="26"/>
      <c r="D75" s="26"/>
      <c r="E75" s="26"/>
      <c r="F75" s="26"/>
      <c r="G75" s="26"/>
      <c r="H75" s="26"/>
      <c r="I75" s="26"/>
      <c r="J75" s="26"/>
      <c r="K75" s="26"/>
      <c r="L75" s="26"/>
    </row>
    <row r="76" spans="1:14" x14ac:dyDescent="0.3">
      <c r="A76" s="9" t="s">
        <v>250</v>
      </c>
      <c r="B76" s="26"/>
      <c r="C76" s="26"/>
      <c r="D76" s="26"/>
      <c r="E76" s="26"/>
      <c r="F76" s="26"/>
      <c r="G76" s="26"/>
      <c r="H76" s="26"/>
      <c r="I76" s="26"/>
      <c r="J76" s="26"/>
      <c r="K76" s="26"/>
      <c r="L76" s="26"/>
    </row>
    <row r="77" spans="1:14" x14ac:dyDescent="0.3">
      <c r="A77" s="26"/>
      <c r="B77" s="26"/>
      <c r="C77" s="26"/>
      <c r="D77" s="26"/>
      <c r="E77" s="26"/>
      <c r="F77" s="26"/>
      <c r="G77" s="26"/>
      <c r="H77" s="26"/>
      <c r="I77" s="26"/>
      <c r="J77" s="26"/>
      <c r="K77" s="26"/>
      <c r="L77" s="26"/>
    </row>
    <row r="78" spans="1:14" x14ac:dyDescent="0.3">
      <c r="A78" s="26"/>
      <c r="B78" s="89" t="s">
        <v>129</v>
      </c>
      <c r="C78" s="90"/>
      <c r="D78" s="66" t="s">
        <v>41</v>
      </c>
      <c r="E78" s="66" t="s">
        <v>42</v>
      </c>
      <c r="F78" s="26"/>
      <c r="G78" s="26"/>
      <c r="H78" s="26"/>
      <c r="I78" s="26"/>
      <c r="J78" s="26"/>
      <c r="K78" s="26"/>
      <c r="L78" s="26"/>
    </row>
    <row r="79" spans="1:14" x14ac:dyDescent="0.3">
      <c r="A79" s="26"/>
      <c r="B79" s="91" t="s">
        <v>138</v>
      </c>
      <c r="C79" s="90"/>
      <c r="D79" s="70">
        <v>5000</v>
      </c>
      <c r="E79" s="70">
        <v>35000000</v>
      </c>
      <c r="F79" s="26"/>
      <c r="G79" s="26"/>
      <c r="H79" s="26"/>
      <c r="I79" s="26"/>
      <c r="J79" s="26"/>
      <c r="K79" s="26"/>
      <c r="L79" s="26"/>
    </row>
    <row r="80" spans="1:14" x14ac:dyDescent="0.3">
      <c r="A80" s="26"/>
      <c r="B80" s="91" t="s">
        <v>139</v>
      </c>
      <c r="C80" s="90"/>
      <c r="D80" s="70">
        <v>1500</v>
      </c>
      <c r="E80" s="70">
        <v>25000000</v>
      </c>
      <c r="F80" s="26"/>
      <c r="G80" s="26"/>
      <c r="H80" s="26"/>
      <c r="I80" s="26"/>
      <c r="J80" s="26"/>
      <c r="K80" s="26"/>
      <c r="L80" s="26"/>
    </row>
    <row r="81" spans="1:13" x14ac:dyDescent="0.3">
      <c r="A81" s="26"/>
      <c r="B81" s="91" t="s">
        <v>140</v>
      </c>
      <c r="C81" s="90"/>
      <c r="D81" s="69">
        <v>500</v>
      </c>
      <c r="E81" s="70">
        <v>15000000</v>
      </c>
      <c r="F81" s="26"/>
      <c r="G81" s="26"/>
      <c r="H81" s="26"/>
      <c r="I81" s="26"/>
      <c r="J81" s="26"/>
      <c r="K81" s="26"/>
      <c r="L81" s="26"/>
    </row>
    <row r="82" spans="1:13" x14ac:dyDescent="0.3">
      <c r="A82" s="26"/>
      <c r="B82" s="26"/>
      <c r="C82" s="26"/>
      <c r="D82" s="26"/>
      <c r="E82" s="26"/>
      <c r="F82" s="26"/>
      <c r="G82" s="26"/>
      <c r="H82" s="26"/>
      <c r="I82" s="26"/>
      <c r="J82" s="26"/>
      <c r="K82" s="26"/>
      <c r="L82" s="26"/>
    </row>
    <row r="84" spans="1:13" x14ac:dyDescent="0.3">
      <c r="A84" s="6" t="s">
        <v>7</v>
      </c>
      <c r="B84" s="9" t="s">
        <v>251</v>
      </c>
      <c r="C84" s="4"/>
      <c r="D84" s="4"/>
      <c r="E84" s="4"/>
      <c r="F84" s="4"/>
      <c r="G84" s="4"/>
      <c r="H84" s="4"/>
      <c r="I84" s="4"/>
      <c r="J84" s="4"/>
      <c r="K84" s="4"/>
      <c r="L84" s="4"/>
    </row>
    <row r="85" spans="1:13" x14ac:dyDescent="0.3">
      <c r="A85" s="6"/>
      <c r="B85" s="9"/>
      <c r="C85" s="4"/>
      <c r="D85" s="4"/>
      <c r="E85" s="4"/>
      <c r="F85" s="4"/>
      <c r="G85" s="4"/>
      <c r="H85" s="4"/>
      <c r="I85" s="4"/>
      <c r="J85" s="4"/>
      <c r="K85" s="4"/>
      <c r="L85" s="4"/>
    </row>
    <row r="86" spans="1:13" x14ac:dyDescent="0.3">
      <c r="A86" s="6"/>
      <c r="B86" s="9" t="s">
        <v>76</v>
      </c>
      <c r="C86" s="9" t="s">
        <v>141</v>
      </c>
      <c r="D86" s="9"/>
      <c r="E86" s="4"/>
      <c r="F86" s="4"/>
      <c r="G86" s="4"/>
      <c r="H86" s="4"/>
      <c r="I86" s="4"/>
      <c r="J86" s="4"/>
      <c r="K86" s="4"/>
      <c r="L86" s="4"/>
    </row>
    <row r="87" spans="1:13" x14ac:dyDescent="0.3">
      <c r="A87" s="6"/>
      <c r="B87" s="9"/>
      <c r="C87" s="9"/>
      <c r="D87" s="9"/>
      <c r="E87" s="4"/>
      <c r="F87" s="4"/>
      <c r="G87" s="4"/>
      <c r="H87" s="4"/>
      <c r="I87" s="4"/>
      <c r="J87" s="4"/>
      <c r="K87" s="4"/>
      <c r="L87" s="4"/>
    </row>
    <row r="88" spans="1:13" x14ac:dyDescent="0.3">
      <c r="A88" s="6"/>
      <c r="B88" s="9" t="s">
        <v>77</v>
      </c>
      <c r="C88" s="9" t="s">
        <v>142</v>
      </c>
      <c r="D88" s="9"/>
      <c r="E88" s="4"/>
      <c r="F88" s="4"/>
      <c r="G88" s="4"/>
      <c r="H88" s="4"/>
      <c r="I88" s="4"/>
      <c r="J88" s="4"/>
      <c r="K88" s="4"/>
      <c r="L88" s="4"/>
    </row>
    <row r="89" spans="1:13" x14ac:dyDescent="0.3">
      <c r="A89" s="7"/>
      <c r="B89" s="7"/>
      <c r="C89" s="7"/>
      <c r="D89" s="7"/>
      <c r="E89" s="7"/>
      <c r="F89" s="7"/>
      <c r="G89" s="7"/>
      <c r="H89" s="7"/>
      <c r="I89" s="7"/>
      <c r="J89" s="7"/>
      <c r="K89" s="7"/>
      <c r="L89" s="7"/>
    </row>
    <row r="90" spans="1:13" x14ac:dyDescent="0.3">
      <c r="A90" s="7" t="s">
        <v>2</v>
      </c>
      <c r="B90" s="7"/>
      <c r="C90" s="7"/>
      <c r="D90" s="7"/>
      <c r="E90" s="7"/>
      <c r="F90" s="7"/>
      <c r="G90" s="7"/>
      <c r="H90" s="7"/>
      <c r="I90" s="7"/>
      <c r="J90" s="7"/>
      <c r="K90" s="7"/>
      <c r="L90" s="7"/>
    </row>
    <row r="91" spans="1:13" ht="31.2" x14ac:dyDescent="0.3">
      <c r="B91" s="223" t="s">
        <v>129</v>
      </c>
      <c r="C91" s="223"/>
      <c r="D91" s="225" t="s">
        <v>383</v>
      </c>
      <c r="E91" s="225" t="s">
        <v>384</v>
      </c>
      <c r="F91" s="225" t="s">
        <v>385</v>
      </c>
      <c r="G91" s="7"/>
      <c r="H91" s="7"/>
      <c r="I91" s="7"/>
      <c r="J91" s="7"/>
      <c r="K91" s="7"/>
      <c r="L91" s="7"/>
    </row>
    <row r="92" spans="1:13" x14ac:dyDescent="0.3">
      <c r="B92" s="226" t="s">
        <v>138</v>
      </c>
      <c r="C92" s="240"/>
      <c r="D92" s="241">
        <f>E79</f>
        <v>35000000</v>
      </c>
      <c r="E92" s="228">
        <f>D92</f>
        <v>35000000</v>
      </c>
      <c r="F92" s="228">
        <f>D92</f>
        <v>35000000</v>
      </c>
    </row>
    <row r="93" spans="1:13" x14ac:dyDescent="0.3">
      <c r="B93" s="226" t="s">
        <v>139</v>
      </c>
      <c r="C93" s="240"/>
      <c r="D93" s="241">
        <f t="shared" ref="D93:D94" si="0">E80</f>
        <v>25000000</v>
      </c>
      <c r="E93" s="228">
        <f>10000*D80</f>
        <v>15000000</v>
      </c>
      <c r="F93" s="228">
        <f>D93</f>
        <v>25000000</v>
      </c>
    </row>
    <row r="94" spans="1:13" x14ac:dyDescent="0.3">
      <c r="B94" s="229" t="s">
        <v>140</v>
      </c>
      <c r="C94" s="223"/>
      <c r="D94" s="239">
        <f t="shared" si="0"/>
        <v>15000000</v>
      </c>
      <c r="E94" s="231">
        <f>10000*D81</f>
        <v>5000000</v>
      </c>
      <c r="F94" s="231">
        <f>20000*D81</f>
        <v>10000000</v>
      </c>
      <c r="M94" s="7"/>
    </row>
    <row r="95" spans="1:13" x14ac:dyDescent="0.3">
      <c r="B95" s="242" t="s">
        <v>44</v>
      </c>
      <c r="C95" s="242"/>
      <c r="D95" s="241">
        <f>SUM(D92:D94)</f>
        <v>75000000</v>
      </c>
      <c r="E95" s="228">
        <f>SUM(E92:E94)</f>
        <v>55000000</v>
      </c>
      <c r="F95" s="228">
        <f>SUM(F92:F94)</f>
        <v>70000000</v>
      </c>
      <c r="M95" s="7"/>
    </row>
    <row r="96" spans="1:13" x14ac:dyDescent="0.3">
      <c r="B96" s="122"/>
      <c r="C96" s="122"/>
      <c r="D96" s="122"/>
      <c r="E96" s="122"/>
      <c r="F96" s="122"/>
    </row>
    <row r="97" spans="2:6" x14ac:dyDescent="0.3">
      <c r="B97" s="197" t="s">
        <v>386</v>
      </c>
      <c r="C97" s="238"/>
      <c r="E97" s="140"/>
      <c r="F97" s="234">
        <f>F95/E95</f>
        <v>1.2727272727272727</v>
      </c>
    </row>
    <row r="98" spans="2:6" x14ac:dyDescent="0.3">
      <c r="B98" s="197" t="s">
        <v>387</v>
      </c>
      <c r="C98" s="238"/>
      <c r="E98" s="140"/>
      <c r="F98" s="234">
        <f>D95/E95</f>
        <v>1.3636363636363635</v>
      </c>
    </row>
  </sheetData>
  <pageMargins left="0.7" right="0.7" top="0.75" bottom="0.75" header="0.3" footer="0.3"/>
  <pageSetup scale="8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C4F7-EEB7-48DE-B4FC-E93E24F69416}">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143</v>
      </c>
      <c r="B1" s="4"/>
      <c r="C1" s="9" t="s">
        <v>36</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146</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00DE-73CB-4A12-9886-9C8F66CE9B13}">
  <dimension ref="A1:R121"/>
  <sheetViews>
    <sheetView zoomScaleNormal="100" workbookViewId="0"/>
  </sheetViews>
  <sheetFormatPr defaultRowHeight="15.6" x14ac:dyDescent="0.3"/>
  <cols>
    <col min="1" max="1" width="8.88671875" style="1" customWidth="1"/>
    <col min="2" max="2" width="13.77734375" style="1" customWidth="1"/>
    <col min="3" max="3" width="21.44140625" style="1" customWidth="1"/>
    <col min="4" max="4" width="15.5546875" style="1" customWidth="1"/>
    <col min="5" max="5" width="17.44140625" style="1" customWidth="1"/>
    <col min="6" max="6" width="14.77734375" style="1" customWidth="1"/>
    <col min="7" max="7" width="11.6640625" style="1" customWidth="1"/>
    <col min="8" max="8" width="8.88671875" style="1" customWidth="1"/>
    <col min="9" max="16384" width="8.88671875" style="1"/>
  </cols>
  <sheetData>
    <row r="1" spans="1:12" ht="17.399999999999999" x14ac:dyDescent="0.3">
      <c r="A1" s="2" t="s">
        <v>147</v>
      </c>
      <c r="B1" s="4"/>
      <c r="C1" s="9" t="s">
        <v>61</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0</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ht="46.8" x14ac:dyDescent="0.3">
      <c r="A5" s="13"/>
      <c r="B5" s="27" t="s">
        <v>48</v>
      </c>
      <c r="C5" s="27" t="s">
        <v>148</v>
      </c>
      <c r="D5" s="27" t="s">
        <v>40</v>
      </c>
      <c r="E5" s="27" t="s">
        <v>149</v>
      </c>
      <c r="F5" s="27" t="s">
        <v>150</v>
      </c>
      <c r="G5" s="12"/>
      <c r="H5" s="10"/>
      <c r="I5" s="10"/>
      <c r="J5" s="10"/>
      <c r="K5" s="10"/>
      <c r="L5" s="10"/>
    </row>
    <row r="6" spans="1:12" s="11" customFormat="1" x14ac:dyDescent="0.3">
      <c r="A6" s="13"/>
      <c r="B6" s="60">
        <v>2011</v>
      </c>
      <c r="C6" s="61">
        <v>12150</v>
      </c>
      <c r="D6" s="61">
        <v>12082</v>
      </c>
      <c r="E6" s="61">
        <v>6561000</v>
      </c>
      <c r="F6" s="61">
        <v>6427624</v>
      </c>
      <c r="G6" s="12"/>
      <c r="H6" s="10"/>
      <c r="I6" s="10"/>
      <c r="J6" s="10"/>
      <c r="K6" s="10"/>
      <c r="L6" s="10"/>
    </row>
    <row r="7" spans="1:12" s="11" customFormat="1" x14ac:dyDescent="0.3">
      <c r="A7" s="13"/>
      <c r="B7" s="60">
        <v>2012</v>
      </c>
      <c r="C7" s="61">
        <v>12393</v>
      </c>
      <c r="D7" s="61">
        <v>12332</v>
      </c>
      <c r="E7" s="61">
        <v>6772527</v>
      </c>
      <c r="F7" s="61">
        <v>6652473</v>
      </c>
      <c r="G7" s="12"/>
      <c r="H7" s="10"/>
      <c r="I7" s="10"/>
      <c r="J7" s="10"/>
      <c r="K7" s="10"/>
      <c r="L7" s="10"/>
    </row>
    <row r="8" spans="1:12" s="11" customFormat="1" x14ac:dyDescent="0.3">
      <c r="A8" s="13"/>
      <c r="B8" s="60">
        <v>2013</v>
      </c>
      <c r="C8" s="61">
        <v>12889</v>
      </c>
      <c r="D8" s="61">
        <v>12765</v>
      </c>
      <c r="E8" s="61">
        <v>7123878</v>
      </c>
      <c r="F8" s="61">
        <v>6979015</v>
      </c>
      <c r="G8" s="12"/>
      <c r="H8" s="10"/>
      <c r="I8" s="10"/>
      <c r="J8" s="10"/>
      <c r="K8" s="10"/>
      <c r="L8" s="10"/>
    </row>
    <row r="9" spans="1:12" s="11" customFormat="1" x14ac:dyDescent="0.3">
      <c r="A9" s="12"/>
      <c r="B9" s="60">
        <v>2014</v>
      </c>
      <c r="C9" s="61">
        <v>13920</v>
      </c>
      <c r="D9" s="61">
        <v>13662</v>
      </c>
      <c r="E9" s="61">
        <v>7795279</v>
      </c>
      <c r="F9" s="61">
        <v>7565041</v>
      </c>
      <c r="G9" s="12"/>
      <c r="H9" s="10"/>
      <c r="I9" s="10"/>
      <c r="J9" s="10"/>
      <c r="K9" s="10"/>
      <c r="L9" s="10"/>
    </row>
    <row r="10" spans="1:12" s="11" customFormat="1" x14ac:dyDescent="0.3">
      <c r="A10" s="12"/>
      <c r="B10" s="60">
        <v>2015</v>
      </c>
      <c r="C10" s="61">
        <v>14616</v>
      </c>
      <c r="D10" s="61">
        <v>14442</v>
      </c>
      <c r="E10" s="61">
        <v>8363476</v>
      </c>
      <c r="F10" s="61">
        <v>8175282</v>
      </c>
      <c r="G10" s="12"/>
      <c r="H10" s="10"/>
      <c r="I10" s="10"/>
      <c r="J10" s="10"/>
      <c r="K10" s="10"/>
      <c r="L10" s="10"/>
    </row>
    <row r="11" spans="1:12" s="11" customFormat="1" x14ac:dyDescent="0.3">
      <c r="A11" s="13"/>
      <c r="B11" s="60">
        <v>2016</v>
      </c>
      <c r="C11" s="61">
        <v>14762</v>
      </c>
      <c r="D11" s="61">
        <v>14726</v>
      </c>
      <c r="E11" s="61">
        <v>8555141</v>
      </c>
      <c r="F11" s="61">
        <v>8441915</v>
      </c>
      <c r="G11" s="12"/>
      <c r="H11" s="10"/>
      <c r="I11" s="10"/>
      <c r="J11" s="10"/>
      <c r="K11" s="10"/>
      <c r="L11" s="10"/>
    </row>
    <row r="12" spans="1:12" s="11" customFormat="1" x14ac:dyDescent="0.3">
      <c r="A12" s="12"/>
      <c r="B12" s="60">
        <v>2017</v>
      </c>
      <c r="C12" s="61">
        <v>14319</v>
      </c>
      <c r="D12" s="61">
        <v>14430</v>
      </c>
      <c r="E12" s="61">
        <v>8409605</v>
      </c>
      <c r="F12" s="61">
        <v>8378940</v>
      </c>
      <c r="G12" s="12"/>
      <c r="H12" s="10"/>
      <c r="I12" s="10"/>
      <c r="J12" s="10"/>
      <c r="K12" s="10"/>
      <c r="L12" s="10"/>
    </row>
    <row r="13" spans="1:12" s="11" customFormat="1" x14ac:dyDescent="0.3">
      <c r="A13" s="12"/>
      <c r="B13" s="60">
        <v>2018</v>
      </c>
      <c r="C13" s="61">
        <v>13460</v>
      </c>
      <c r="D13" s="61">
        <v>13675</v>
      </c>
      <c r="E13" s="61">
        <v>7990486</v>
      </c>
      <c r="F13" s="61">
        <v>8034240</v>
      </c>
      <c r="G13" s="12"/>
      <c r="H13" s="10"/>
      <c r="I13" s="10"/>
      <c r="J13" s="10"/>
      <c r="K13" s="10"/>
      <c r="L13" s="10"/>
    </row>
    <row r="14" spans="1:12" x14ac:dyDescent="0.3">
      <c r="A14" s="12"/>
      <c r="B14" s="60">
        <v>2019</v>
      </c>
      <c r="C14" s="61">
        <v>13191</v>
      </c>
      <c r="D14" s="61">
        <v>13258</v>
      </c>
      <c r="E14" s="61">
        <v>7928680</v>
      </c>
      <c r="F14" s="61">
        <v>7888949</v>
      </c>
      <c r="G14" s="12"/>
      <c r="H14" s="9"/>
      <c r="I14" s="9"/>
      <c r="J14" s="9"/>
      <c r="K14" s="9"/>
      <c r="L14" s="9"/>
    </row>
    <row r="15" spans="1:12" x14ac:dyDescent="0.3">
      <c r="A15" s="12"/>
      <c r="B15" s="60">
        <v>2020</v>
      </c>
      <c r="C15" s="61">
        <v>13851</v>
      </c>
      <c r="D15" s="61">
        <v>13686</v>
      </c>
      <c r="E15" s="61">
        <v>8428619</v>
      </c>
      <c r="F15" s="61">
        <v>8248676</v>
      </c>
      <c r="G15" s="12"/>
      <c r="H15" s="9"/>
      <c r="I15" s="9"/>
      <c r="J15" s="9"/>
      <c r="K15" s="9"/>
      <c r="L15" s="9"/>
    </row>
    <row r="16" spans="1:12" x14ac:dyDescent="0.3">
      <c r="A16" s="9"/>
      <c r="B16" s="9"/>
      <c r="C16" s="9"/>
      <c r="D16" s="9"/>
      <c r="E16" s="9"/>
      <c r="F16" s="9"/>
      <c r="G16" s="9"/>
      <c r="H16" s="9"/>
      <c r="I16" s="9"/>
      <c r="J16" s="9"/>
      <c r="K16" s="9"/>
      <c r="L16" s="9"/>
    </row>
    <row r="17" spans="1:18" x14ac:dyDescent="0.3">
      <c r="A17" s="7"/>
      <c r="B17" s="7"/>
      <c r="C17" s="7"/>
      <c r="D17" s="7"/>
      <c r="E17" s="7"/>
      <c r="F17" s="7"/>
      <c r="G17" s="7"/>
      <c r="H17" s="7"/>
      <c r="I17" s="7"/>
      <c r="J17" s="7"/>
      <c r="K17" s="7"/>
      <c r="L17" s="7"/>
    </row>
    <row r="18" spans="1:18" x14ac:dyDescent="0.3">
      <c r="A18" s="6" t="s">
        <v>5</v>
      </c>
      <c r="B18" s="9" t="s">
        <v>151</v>
      </c>
      <c r="C18" s="4"/>
      <c r="D18" s="4"/>
      <c r="E18" s="4"/>
      <c r="F18" s="4"/>
      <c r="G18" s="4"/>
      <c r="H18" s="4"/>
      <c r="I18" s="4"/>
      <c r="J18" s="4"/>
      <c r="K18" s="4"/>
      <c r="L18" s="4"/>
      <c r="M18" s="8"/>
      <c r="N18" s="8"/>
      <c r="O18" s="8"/>
      <c r="P18" s="8"/>
      <c r="Q18" s="8"/>
      <c r="R18" s="8"/>
    </row>
    <row r="19" spans="1:18" x14ac:dyDescent="0.3">
      <c r="A19" s="7"/>
      <c r="B19" s="7"/>
      <c r="C19" s="7"/>
      <c r="D19" s="7"/>
      <c r="E19" s="7"/>
      <c r="F19" s="7"/>
      <c r="G19" s="7"/>
      <c r="H19" s="7"/>
      <c r="I19" s="7"/>
      <c r="J19" s="7"/>
      <c r="K19" s="7"/>
      <c r="L19" s="7"/>
      <c r="M19" s="7"/>
    </row>
    <row r="20" spans="1:18" x14ac:dyDescent="0.3">
      <c r="A20" s="7" t="s">
        <v>2</v>
      </c>
      <c r="B20" s="7"/>
      <c r="C20" s="7"/>
      <c r="D20" s="7"/>
      <c r="E20" s="7"/>
      <c r="F20" s="7"/>
      <c r="G20" s="7"/>
      <c r="H20" s="7"/>
      <c r="I20" s="7"/>
      <c r="J20" s="7"/>
      <c r="K20" s="7"/>
      <c r="L20" s="7"/>
      <c r="M20" s="7"/>
      <c r="N20" s="8"/>
    </row>
    <row r="21" spans="1:18" x14ac:dyDescent="0.3">
      <c r="A21" s="7"/>
      <c r="B21" s="7"/>
      <c r="C21" s="7"/>
      <c r="D21" s="7"/>
      <c r="E21" s="7"/>
      <c r="F21" s="7"/>
      <c r="G21" s="7"/>
      <c r="H21" s="7"/>
      <c r="I21" s="7"/>
      <c r="J21" s="7"/>
      <c r="K21" s="7"/>
      <c r="L21" s="7"/>
      <c r="M21" s="7"/>
      <c r="N21" s="8"/>
    </row>
    <row r="22" spans="1:18" ht="46.8" x14ac:dyDescent="0.3">
      <c r="A22" s="7"/>
      <c r="B22" s="225" t="s">
        <v>48</v>
      </c>
      <c r="C22" s="225" t="s">
        <v>414</v>
      </c>
      <c r="D22" s="225" t="s">
        <v>413</v>
      </c>
      <c r="E22" s="7"/>
      <c r="F22" s="7"/>
      <c r="G22" s="7"/>
      <c r="H22" s="7"/>
      <c r="I22" s="7"/>
      <c r="J22" s="7"/>
      <c r="K22" s="7"/>
      <c r="L22" s="7"/>
      <c r="M22" s="7"/>
      <c r="N22" s="8"/>
    </row>
    <row r="23" spans="1:18" x14ac:dyDescent="0.3">
      <c r="A23" s="7"/>
      <c r="B23" s="267">
        <v>2011</v>
      </c>
      <c r="C23" s="278">
        <f>E6/C6</f>
        <v>540</v>
      </c>
      <c r="D23" s="7"/>
      <c r="E23" s="7"/>
      <c r="F23" s="7"/>
      <c r="G23" s="7"/>
      <c r="H23" s="7"/>
      <c r="I23" s="7"/>
      <c r="J23" s="7"/>
      <c r="K23" s="7"/>
      <c r="L23" s="7"/>
      <c r="M23" s="7"/>
      <c r="N23" s="8"/>
    </row>
    <row r="24" spans="1:18" x14ac:dyDescent="0.3">
      <c r="A24" s="7"/>
      <c r="B24" s="267">
        <v>2012</v>
      </c>
      <c r="C24" s="278">
        <f t="shared" ref="C24:C32" si="0">E7/C7</f>
        <v>546.48002904865655</v>
      </c>
      <c r="D24" s="279">
        <f>C24/C23-1</f>
        <v>1.2000053793808529E-2</v>
      </c>
      <c r="E24" s="7"/>
      <c r="F24" s="7"/>
      <c r="G24" s="7"/>
      <c r="H24" s="7"/>
      <c r="I24" s="7"/>
      <c r="J24" s="7"/>
      <c r="K24" s="7"/>
      <c r="L24" s="7"/>
      <c r="M24" s="7"/>
      <c r="N24" s="8"/>
    </row>
    <row r="25" spans="1:18" x14ac:dyDescent="0.3">
      <c r="A25" s="7"/>
      <c r="B25" s="267">
        <v>2013</v>
      </c>
      <c r="C25" s="278">
        <f t="shared" si="0"/>
        <v>552.70990767320973</v>
      </c>
      <c r="D25" s="279">
        <f t="shared" ref="D25:D32" si="1">C25/C24-1</f>
        <v>1.1400011516246034E-2</v>
      </c>
      <c r="E25" s="7"/>
      <c r="F25" s="7"/>
      <c r="G25" s="7"/>
      <c r="H25" s="7"/>
      <c r="I25" s="7"/>
      <c r="J25" s="7"/>
      <c r="K25" s="7"/>
      <c r="L25" s="7"/>
      <c r="M25" s="7"/>
      <c r="N25" s="8"/>
    </row>
    <row r="26" spans="1:18" x14ac:dyDescent="0.3">
      <c r="A26" s="7"/>
      <c r="B26" s="267">
        <v>2014</v>
      </c>
      <c r="C26" s="278">
        <f t="shared" si="0"/>
        <v>560.00567528735633</v>
      </c>
      <c r="D26" s="279">
        <f t="shared" si="1"/>
        <v>1.3199994269797344E-2</v>
      </c>
      <c r="E26" s="7"/>
      <c r="F26" s="7"/>
      <c r="G26" s="7"/>
      <c r="H26" s="7"/>
      <c r="I26" s="7"/>
      <c r="J26" s="7"/>
      <c r="K26" s="7"/>
      <c r="L26" s="7"/>
      <c r="M26" s="7"/>
      <c r="N26" s="8"/>
    </row>
    <row r="27" spans="1:18" x14ac:dyDescent="0.3">
      <c r="A27" s="7"/>
      <c r="B27" s="267">
        <v>2015</v>
      </c>
      <c r="C27" s="278">
        <f t="shared" si="0"/>
        <v>572.21373836891075</v>
      </c>
      <c r="D27" s="279">
        <f t="shared" si="1"/>
        <v>2.1799891715901021E-2</v>
      </c>
      <c r="E27" s="7"/>
      <c r="F27" s="7"/>
      <c r="G27" s="7"/>
      <c r="H27" s="7"/>
      <c r="I27" s="7"/>
      <c r="J27" s="7"/>
      <c r="K27" s="7"/>
      <c r="L27" s="7"/>
      <c r="M27" s="7"/>
      <c r="N27" s="8"/>
    </row>
    <row r="28" spans="1:18" x14ac:dyDescent="0.3">
      <c r="A28" s="7"/>
      <c r="B28" s="267">
        <v>2016</v>
      </c>
      <c r="C28" s="278">
        <f t="shared" si="0"/>
        <v>579.53807072212442</v>
      </c>
      <c r="D28" s="279">
        <f t="shared" si="1"/>
        <v>1.2799993887059768E-2</v>
      </c>
      <c r="E28" s="7"/>
      <c r="F28" s="7"/>
      <c r="G28" s="7"/>
      <c r="H28" s="7"/>
      <c r="I28" s="7"/>
      <c r="J28" s="7"/>
      <c r="K28" s="7"/>
      <c r="L28" s="7"/>
      <c r="M28" s="7"/>
      <c r="N28" s="8"/>
    </row>
    <row r="29" spans="1:18" x14ac:dyDescent="0.3">
      <c r="A29" s="7"/>
      <c r="B29" s="267">
        <v>2017</v>
      </c>
      <c r="C29" s="278">
        <f t="shared" si="0"/>
        <v>587.30393183881552</v>
      </c>
      <c r="D29" s="279">
        <f t="shared" si="1"/>
        <v>1.3400087947655459E-2</v>
      </c>
      <c r="E29" s="7"/>
      <c r="F29" s="7"/>
      <c r="G29" s="7"/>
      <c r="H29" s="7"/>
      <c r="I29" s="7"/>
      <c r="J29" s="7"/>
      <c r="K29" s="7"/>
      <c r="L29" s="7"/>
      <c r="M29" s="7"/>
      <c r="N29" s="8"/>
    </row>
    <row r="30" spans="1:18" x14ac:dyDescent="0.3">
      <c r="A30" s="7"/>
      <c r="B30" s="267">
        <v>2018</v>
      </c>
      <c r="C30" s="278">
        <f t="shared" si="0"/>
        <v>593.64680534918273</v>
      </c>
      <c r="D30" s="279">
        <f t="shared" si="1"/>
        <v>1.0799984754925829E-2</v>
      </c>
      <c r="E30" s="7"/>
      <c r="F30" s="7"/>
      <c r="G30" s="7"/>
      <c r="H30" s="7"/>
      <c r="I30" s="7"/>
      <c r="J30" s="7"/>
      <c r="K30" s="7"/>
      <c r="L30" s="7"/>
      <c r="M30" s="7"/>
      <c r="N30" s="8"/>
    </row>
    <row r="31" spans="1:18" x14ac:dyDescent="0.3">
      <c r="A31" s="7"/>
      <c r="B31" s="267">
        <v>2019</v>
      </c>
      <c r="C31" s="278">
        <f t="shared" si="0"/>
        <v>601.06739443560002</v>
      </c>
      <c r="D31" s="279">
        <f t="shared" si="1"/>
        <v>1.2500006770949534E-2</v>
      </c>
      <c r="E31" s="7"/>
      <c r="F31" s="7"/>
      <c r="G31" s="7"/>
      <c r="H31" s="7"/>
      <c r="I31" s="7"/>
      <c r="J31" s="7"/>
      <c r="K31" s="7"/>
      <c r="L31" s="7"/>
      <c r="M31" s="7"/>
      <c r="N31" s="8"/>
    </row>
    <row r="32" spans="1:18" x14ac:dyDescent="0.3">
      <c r="B32" s="274">
        <v>2020</v>
      </c>
      <c r="C32" s="280">
        <f t="shared" si="0"/>
        <v>608.52061223016392</v>
      </c>
      <c r="D32" s="281">
        <f t="shared" si="1"/>
        <v>1.2399970225572599E-2</v>
      </c>
      <c r="M32" s="8"/>
      <c r="N32" s="8"/>
    </row>
    <row r="33" spans="1:14" x14ac:dyDescent="0.3">
      <c r="A33" s="122"/>
      <c r="B33" s="122" t="s">
        <v>415</v>
      </c>
      <c r="C33" s="122"/>
      <c r="D33" s="135">
        <f>AVERAGE(D24:D32)</f>
        <v>1.3366666097990679E-2</v>
      </c>
      <c r="E33" s="122"/>
      <c r="M33" s="8"/>
      <c r="N33" s="8"/>
    </row>
    <row r="34" spans="1:14" x14ac:dyDescent="0.3">
      <c r="A34" s="122"/>
      <c r="B34" s="122" t="s">
        <v>416</v>
      </c>
      <c r="C34" s="122"/>
      <c r="D34" s="135">
        <f>AVERAGE(D24:D26,D28:D32)</f>
        <v>1.2312512895751887E-2</v>
      </c>
      <c r="E34" s="122"/>
      <c r="M34" s="8"/>
      <c r="N34" s="8"/>
    </row>
    <row r="35" spans="1:14" x14ac:dyDescent="0.3">
      <c r="M35" s="8"/>
      <c r="N35" s="8"/>
    </row>
    <row r="36" spans="1:14" x14ac:dyDescent="0.3">
      <c r="B36" s="122" t="s">
        <v>417</v>
      </c>
      <c r="C36" s="122"/>
      <c r="D36" s="135">
        <v>1.23E-2</v>
      </c>
      <c r="M36" s="8"/>
      <c r="N36" s="8"/>
    </row>
    <row r="37" spans="1:14" x14ac:dyDescent="0.3">
      <c r="B37" s="1" t="s">
        <v>418</v>
      </c>
      <c r="M37" s="8"/>
      <c r="N37" s="8"/>
    </row>
    <row r="38" spans="1:14" x14ac:dyDescent="0.3">
      <c r="M38" s="8"/>
      <c r="N38" s="8"/>
    </row>
    <row r="39" spans="1:14" x14ac:dyDescent="0.3">
      <c r="A39" s="26"/>
      <c r="B39" s="26"/>
      <c r="C39" s="26"/>
      <c r="D39" s="26"/>
      <c r="E39" s="26"/>
      <c r="F39" s="26"/>
      <c r="G39" s="26"/>
      <c r="H39" s="26"/>
      <c r="I39" s="26"/>
      <c r="J39" s="26"/>
      <c r="K39" s="26"/>
      <c r="L39" s="26"/>
      <c r="M39" s="8"/>
      <c r="N39" s="8"/>
    </row>
    <row r="40" spans="1:14" x14ac:dyDescent="0.3">
      <c r="A40" s="68" t="s">
        <v>152</v>
      </c>
      <c r="B40" s="26"/>
      <c r="C40" s="26"/>
      <c r="D40" s="26"/>
      <c r="E40" s="26"/>
      <c r="F40" s="26"/>
      <c r="G40" s="26"/>
      <c r="H40" s="26"/>
      <c r="I40" s="26"/>
      <c r="J40" s="26"/>
      <c r="K40" s="26"/>
      <c r="L40" s="26"/>
      <c r="M40" s="8"/>
      <c r="N40" s="8"/>
    </row>
    <row r="41" spans="1:14" x14ac:dyDescent="0.3">
      <c r="A41" s="26"/>
      <c r="B41" s="26"/>
      <c r="C41" s="26"/>
      <c r="D41" s="26"/>
      <c r="E41" s="26"/>
      <c r="F41" s="26"/>
      <c r="G41" s="26"/>
      <c r="H41" s="26"/>
      <c r="I41" s="26"/>
      <c r="J41" s="26"/>
      <c r="K41" s="26"/>
      <c r="L41" s="26"/>
      <c r="M41" s="8"/>
      <c r="N41" s="8"/>
    </row>
    <row r="42" spans="1:14" x14ac:dyDescent="0.3">
      <c r="A42" s="26"/>
      <c r="B42" s="75" t="s">
        <v>153</v>
      </c>
      <c r="C42" s="26"/>
      <c r="D42" s="26"/>
      <c r="E42" s="26"/>
      <c r="F42" s="26"/>
      <c r="G42" s="26"/>
      <c r="H42" s="26"/>
      <c r="I42" s="26"/>
      <c r="J42" s="26"/>
      <c r="K42" s="26"/>
      <c r="L42" s="26"/>
      <c r="M42" s="8"/>
      <c r="N42" s="8"/>
    </row>
    <row r="43" spans="1:14" x14ac:dyDescent="0.3">
      <c r="A43" s="26"/>
      <c r="B43" s="75" t="s">
        <v>154</v>
      </c>
      <c r="C43" s="26"/>
      <c r="D43" s="26"/>
      <c r="E43" s="26"/>
      <c r="F43" s="26"/>
      <c r="G43" s="26"/>
      <c r="H43" s="26"/>
      <c r="I43" s="26"/>
      <c r="J43" s="26"/>
      <c r="K43" s="26"/>
      <c r="L43" s="26"/>
      <c r="M43" s="8"/>
      <c r="N43" s="8"/>
    </row>
    <row r="44" spans="1:14" x14ac:dyDescent="0.3">
      <c r="A44" s="26"/>
      <c r="B44" s="26"/>
      <c r="C44" s="26"/>
      <c r="D44" s="26"/>
      <c r="E44" s="26"/>
      <c r="F44" s="26"/>
      <c r="G44" s="26"/>
      <c r="H44" s="26"/>
      <c r="I44" s="26"/>
      <c r="J44" s="26"/>
      <c r="K44" s="26"/>
      <c r="L44" s="26"/>
      <c r="M44" s="8"/>
      <c r="N44" s="8"/>
    </row>
    <row r="45" spans="1:14" ht="31.2" x14ac:dyDescent="0.3">
      <c r="A45" s="26"/>
      <c r="B45" s="27" t="s">
        <v>39</v>
      </c>
      <c r="C45" s="27" t="s">
        <v>155</v>
      </c>
      <c r="D45" s="26"/>
      <c r="E45" s="26"/>
      <c r="F45" s="26"/>
      <c r="G45" s="26"/>
      <c r="H45" s="26"/>
      <c r="I45" s="26"/>
      <c r="J45" s="26"/>
      <c r="K45" s="26"/>
      <c r="L45" s="26"/>
      <c r="M45" s="8"/>
      <c r="N45" s="8"/>
    </row>
    <row r="46" spans="1:14" x14ac:dyDescent="0.3">
      <c r="A46" s="26"/>
      <c r="B46" s="60">
        <v>2016</v>
      </c>
      <c r="C46" s="61">
        <v>6837098</v>
      </c>
      <c r="D46" s="26"/>
      <c r="E46" s="26"/>
      <c r="F46" s="26"/>
      <c r="G46" s="26"/>
      <c r="H46" s="26"/>
      <c r="I46" s="26"/>
      <c r="J46" s="26"/>
      <c r="K46" s="26"/>
      <c r="L46" s="26"/>
      <c r="M46" s="8"/>
      <c r="N46" s="8"/>
    </row>
    <row r="47" spans="1:14" x14ac:dyDescent="0.3">
      <c r="A47" s="26"/>
      <c r="B47" s="60">
        <v>2017</v>
      </c>
      <c r="C47" s="61">
        <v>6467985</v>
      </c>
      <c r="D47" s="26"/>
      <c r="E47" s="26"/>
      <c r="F47" s="26"/>
      <c r="G47" s="26"/>
      <c r="H47" s="26"/>
      <c r="I47" s="26"/>
      <c r="J47" s="26"/>
      <c r="K47" s="26"/>
      <c r="L47" s="26"/>
      <c r="M47" s="8"/>
      <c r="N47" s="8"/>
    </row>
    <row r="48" spans="1:14" x14ac:dyDescent="0.3">
      <c r="A48" s="26"/>
      <c r="B48" s="60">
        <v>2018</v>
      </c>
      <c r="C48" s="61">
        <v>5847762</v>
      </c>
      <c r="D48" s="26"/>
      <c r="E48" s="26"/>
      <c r="F48" s="26"/>
      <c r="G48" s="26"/>
      <c r="H48" s="26"/>
      <c r="I48" s="26"/>
      <c r="J48" s="26"/>
      <c r="K48" s="26"/>
      <c r="L48" s="26"/>
      <c r="M48" s="8"/>
      <c r="N48" s="8"/>
    </row>
    <row r="49" spans="1:14" x14ac:dyDescent="0.3">
      <c r="A49" s="26"/>
      <c r="B49" s="60">
        <v>2019</v>
      </c>
      <c r="C49" s="61">
        <v>5734244</v>
      </c>
      <c r="D49" s="26"/>
      <c r="E49" s="26"/>
      <c r="F49" s="26"/>
      <c r="G49" s="26"/>
      <c r="H49" s="26"/>
      <c r="I49" s="26"/>
      <c r="J49" s="26"/>
      <c r="K49" s="26"/>
      <c r="L49" s="26"/>
      <c r="M49" s="8"/>
      <c r="N49" s="8"/>
    </row>
    <row r="50" spans="1:14" x14ac:dyDescent="0.3">
      <c r="A50" s="26"/>
      <c r="B50" s="60">
        <v>2020</v>
      </c>
      <c r="C50" s="61">
        <v>5674781</v>
      </c>
      <c r="D50" s="26"/>
      <c r="E50" s="26"/>
      <c r="F50" s="26"/>
      <c r="G50" s="26"/>
      <c r="H50" s="26"/>
      <c r="I50" s="26"/>
      <c r="J50" s="26"/>
      <c r="K50" s="26"/>
      <c r="L50" s="26"/>
      <c r="M50" s="8"/>
      <c r="N50" s="8"/>
    </row>
    <row r="51" spans="1:14" x14ac:dyDescent="0.3">
      <c r="A51" s="26"/>
      <c r="B51" s="26"/>
      <c r="C51" s="26"/>
      <c r="D51" s="26"/>
      <c r="E51" s="26"/>
      <c r="F51" s="26"/>
      <c r="G51" s="26"/>
      <c r="H51" s="26"/>
      <c r="I51" s="26"/>
      <c r="J51" s="26"/>
      <c r="K51" s="26"/>
      <c r="L51" s="26"/>
      <c r="M51" s="8"/>
      <c r="N51" s="8"/>
    </row>
    <row r="53" spans="1:14" x14ac:dyDescent="0.3">
      <c r="A53" s="6" t="s">
        <v>6</v>
      </c>
      <c r="B53" s="9" t="s">
        <v>156</v>
      </c>
      <c r="C53" s="4"/>
      <c r="D53" s="4"/>
      <c r="E53" s="4"/>
      <c r="F53" s="4"/>
      <c r="G53" s="4"/>
      <c r="H53" s="4"/>
      <c r="I53" s="4"/>
      <c r="J53" s="4"/>
      <c r="K53" s="4"/>
      <c r="L53" s="4"/>
    </row>
    <row r="54" spans="1:14" x14ac:dyDescent="0.3">
      <c r="A54" s="7"/>
      <c r="B54" s="7"/>
      <c r="C54" s="7"/>
      <c r="D54" s="7"/>
      <c r="E54" s="7"/>
      <c r="F54" s="7"/>
      <c r="G54" s="7"/>
      <c r="H54" s="7"/>
      <c r="I54" s="7"/>
      <c r="J54" s="7"/>
      <c r="K54" s="7"/>
      <c r="L54" s="7"/>
    </row>
    <row r="55" spans="1:14" x14ac:dyDescent="0.3">
      <c r="A55" s="7" t="s">
        <v>2</v>
      </c>
      <c r="B55" s="7"/>
      <c r="C55" s="7"/>
      <c r="D55" s="7"/>
      <c r="E55" s="7"/>
      <c r="F55" s="7"/>
      <c r="G55" s="7"/>
      <c r="H55" s="7"/>
      <c r="I55" s="7"/>
      <c r="J55" s="7"/>
      <c r="K55" s="7"/>
      <c r="L55" s="7"/>
    </row>
    <row r="56" spans="1:14" x14ac:dyDescent="0.3">
      <c r="A56" s="122"/>
      <c r="B56" s="122"/>
      <c r="C56" s="122"/>
      <c r="D56" s="122"/>
      <c r="E56" s="122"/>
      <c r="F56" s="122"/>
      <c r="G56" s="122"/>
      <c r="H56" s="122"/>
      <c r="I56" s="122"/>
      <c r="J56" s="122"/>
      <c r="K56" s="7"/>
      <c r="L56" s="7"/>
    </row>
    <row r="57" spans="1:14" x14ac:dyDescent="0.3">
      <c r="A57" s="218" t="s">
        <v>427</v>
      </c>
      <c r="B57" s="122"/>
      <c r="C57" s="140"/>
      <c r="D57" s="122"/>
      <c r="E57" s="122"/>
      <c r="F57" s="122"/>
      <c r="G57" s="122"/>
      <c r="H57" s="122"/>
      <c r="I57" s="122"/>
      <c r="J57" s="122"/>
      <c r="K57" s="7"/>
      <c r="L57" s="7"/>
    </row>
    <row r="58" spans="1:14" x14ac:dyDescent="0.3">
      <c r="A58" s="122"/>
      <c r="B58" s="122"/>
      <c r="C58" s="122"/>
      <c r="D58" s="122"/>
      <c r="E58" s="122"/>
      <c r="F58" s="122"/>
      <c r="G58" s="122"/>
      <c r="H58" s="122"/>
      <c r="I58" s="122"/>
      <c r="J58" s="122"/>
      <c r="K58" s="7"/>
      <c r="L58" s="7"/>
    </row>
    <row r="59" spans="1:14" x14ac:dyDescent="0.3">
      <c r="A59" s="122"/>
      <c r="B59" s="396" t="s">
        <v>419</v>
      </c>
      <c r="C59" s="396"/>
      <c r="D59" s="122"/>
      <c r="E59" s="122"/>
      <c r="F59" s="122"/>
      <c r="G59" s="122"/>
      <c r="H59" s="122"/>
      <c r="I59" s="122"/>
      <c r="J59" s="122"/>
      <c r="K59" s="7"/>
      <c r="L59" s="7"/>
    </row>
    <row r="60" spans="1:14" ht="46.8" x14ac:dyDescent="0.3">
      <c r="A60" s="225" t="s">
        <v>39</v>
      </c>
      <c r="B60" s="225" t="s">
        <v>420</v>
      </c>
      <c r="C60" s="225" t="s">
        <v>421</v>
      </c>
      <c r="D60" s="225" t="s">
        <v>422</v>
      </c>
      <c r="E60" s="225" t="s">
        <v>424</v>
      </c>
      <c r="F60" s="225" t="s">
        <v>423</v>
      </c>
      <c r="G60" s="122"/>
      <c r="H60" s="140"/>
      <c r="I60" s="140"/>
      <c r="J60" s="140"/>
      <c r="K60" s="7"/>
      <c r="L60" s="7"/>
    </row>
    <row r="61" spans="1:14" x14ac:dyDescent="0.3">
      <c r="A61" s="165">
        <v>2016</v>
      </c>
      <c r="B61" s="282">
        <f>DATE(A61,7,1)</f>
        <v>42552</v>
      </c>
      <c r="C61" s="282">
        <v>44682</v>
      </c>
      <c r="D61" s="165">
        <f>(12*YEAR(C61)+MONTH(C61))-(12*YEAR(B61)+MONTH(B61))</f>
        <v>70</v>
      </c>
      <c r="E61" s="141">
        <f>F11*(1+$D$36)^(D61/12)</f>
        <v>9065912.5034152623</v>
      </c>
      <c r="F61" s="283">
        <f>C46/E61</f>
        <v>0.75415442156808432</v>
      </c>
      <c r="G61" s="122"/>
      <c r="H61" s="140"/>
      <c r="I61" s="140"/>
      <c r="J61" s="140"/>
      <c r="K61" s="7"/>
      <c r="L61" s="7"/>
    </row>
    <row r="62" spans="1:14" x14ac:dyDescent="0.3">
      <c r="A62" s="165">
        <v>2017</v>
      </c>
      <c r="B62" s="282">
        <f t="shared" ref="B62:B65" si="2">DATE(A62,7,1)</f>
        <v>42917</v>
      </c>
      <c r="C62" s="282">
        <v>44682</v>
      </c>
      <c r="D62" s="165">
        <f t="shared" ref="D62:D65" si="3">(12*YEAR(C62)+MONTH(C62))-(12*YEAR(B62)+MONTH(B62))</f>
        <v>58</v>
      </c>
      <c r="E62" s="141">
        <f t="shared" ref="E62:E65" si="4">F12*(1+$D$36)^(D62/12)</f>
        <v>8888948.5396184437</v>
      </c>
      <c r="F62" s="283">
        <f>C47/E62</f>
        <v>0.72764342949808969</v>
      </c>
      <c r="G62" s="122"/>
      <c r="H62" s="140"/>
      <c r="I62" s="140"/>
      <c r="J62" s="140"/>
      <c r="K62" s="7"/>
      <c r="L62" s="7"/>
    </row>
    <row r="63" spans="1:14" x14ac:dyDescent="0.3">
      <c r="A63" s="165">
        <v>2018</v>
      </c>
      <c r="B63" s="282">
        <f t="shared" si="2"/>
        <v>43282</v>
      </c>
      <c r="C63" s="282">
        <v>44682</v>
      </c>
      <c r="D63" s="165">
        <f t="shared" si="3"/>
        <v>46</v>
      </c>
      <c r="E63" s="141">
        <f t="shared" si="4"/>
        <v>8419705.0006116331</v>
      </c>
      <c r="F63" s="283">
        <f>C48/E63</f>
        <v>0.69453288441521421</v>
      </c>
      <c r="G63" s="122"/>
      <c r="H63" s="140"/>
      <c r="I63" s="140"/>
      <c r="J63" s="140"/>
      <c r="K63" s="7"/>
      <c r="L63" s="7"/>
    </row>
    <row r="64" spans="1:14" x14ac:dyDescent="0.3">
      <c r="A64" s="165">
        <v>2019</v>
      </c>
      <c r="B64" s="282">
        <f t="shared" si="2"/>
        <v>43647</v>
      </c>
      <c r="C64" s="282">
        <v>44682</v>
      </c>
      <c r="D64" s="165">
        <f t="shared" si="3"/>
        <v>34</v>
      </c>
      <c r="E64" s="141">
        <f t="shared" si="4"/>
        <v>8166989.2926522717</v>
      </c>
      <c r="F64" s="283">
        <f>C49/E64</f>
        <v>0.70212458894234386</v>
      </c>
      <c r="G64" s="122"/>
      <c r="H64" s="140"/>
      <c r="I64" s="140"/>
      <c r="J64" s="140"/>
      <c r="K64" s="7"/>
      <c r="L64" s="7"/>
    </row>
    <row r="65" spans="1:13" x14ac:dyDescent="0.3">
      <c r="A65" s="165">
        <v>2020</v>
      </c>
      <c r="B65" s="282">
        <f t="shared" si="2"/>
        <v>44013</v>
      </c>
      <c r="C65" s="282">
        <v>44682</v>
      </c>
      <c r="D65" s="165">
        <f t="shared" si="3"/>
        <v>22</v>
      </c>
      <c r="E65" s="141">
        <f t="shared" si="4"/>
        <v>8435636.2838847786</v>
      </c>
      <c r="F65" s="283">
        <f>C50/E65</f>
        <v>0.67271522965504749</v>
      </c>
      <c r="G65" s="122"/>
      <c r="H65" s="140"/>
      <c r="I65" s="140"/>
      <c r="J65" s="140"/>
      <c r="K65" s="7"/>
      <c r="L65" s="7"/>
    </row>
    <row r="66" spans="1:13" x14ac:dyDescent="0.3">
      <c r="A66" s="122"/>
      <c r="B66" s="122"/>
      <c r="C66" s="122"/>
      <c r="D66" s="122"/>
      <c r="E66" s="122"/>
      <c r="F66" s="122"/>
      <c r="G66" s="284"/>
      <c r="H66" s="140"/>
      <c r="I66" s="140"/>
      <c r="J66" s="140"/>
      <c r="M66" s="7"/>
    </row>
    <row r="67" spans="1:13" x14ac:dyDescent="0.3">
      <c r="A67" s="122"/>
      <c r="B67" s="122"/>
      <c r="C67" s="122"/>
      <c r="D67" s="122" t="s">
        <v>426</v>
      </c>
      <c r="F67" s="135">
        <f>AVERAGE(F61:F65)</f>
        <v>0.71023411081575594</v>
      </c>
      <c r="G67" s="122"/>
      <c r="H67" s="122"/>
      <c r="I67" s="122"/>
      <c r="J67" s="122"/>
      <c r="M67" s="7"/>
    </row>
    <row r="68" spans="1:13" x14ac:dyDescent="0.3">
      <c r="A68" s="122"/>
      <c r="B68" s="122"/>
      <c r="C68" s="122"/>
      <c r="D68" s="122" t="s">
        <v>425</v>
      </c>
      <c r="F68" s="135">
        <f>AVERAGE(F62:F64)</f>
        <v>0.70810030095188259</v>
      </c>
      <c r="G68" s="122"/>
      <c r="H68" s="122"/>
      <c r="I68" s="122"/>
      <c r="J68" s="122"/>
      <c r="M68" s="7"/>
    </row>
    <row r="69" spans="1:13" x14ac:dyDescent="0.3">
      <c r="A69" s="122"/>
      <c r="B69" s="122"/>
      <c r="C69" s="122"/>
      <c r="D69" s="122" t="s">
        <v>428</v>
      </c>
      <c r="F69" s="135">
        <f>AVERAGE(F63:F65)</f>
        <v>0.68979090100420182</v>
      </c>
      <c r="G69" s="122"/>
      <c r="H69" s="122"/>
      <c r="I69" s="122"/>
      <c r="J69" s="122"/>
    </row>
    <row r="71" spans="1:13" x14ac:dyDescent="0.3">
      <c r="A71" s="6" t="s">
        <v>1</v>
      </c>
      <c r="B71" s="9" t="s">
        <v>157</v>
      </c>
      <c r="C71" s="4"/>
      <c r="D71" s="4"/>
      <c r="E71" s="4"/>
      <c r="F71" s="4"/>
      <c r="G71" s="4"/>
      <c r="H71" s="4"/>
      <c r="I71" s="4"/>
      <c r="J71" s="4"/>
      <c r="K71" s="4"/>
      <c r="L71" s="4"/>
    </row>
    <row r="72" spans="1:13" x14ac:dyDescent="0.3">
      <c r="A72" s="7"/>
      <c r="B72" s="7"/>
      <c r="C72" s="7"/>
      <c r="D72" s="7"/>
      <c r="E72" s="7"/>
      <c r="F72" s="7"/>
      <c r="G72" s="7"/>
      <c r="H72" s="7"/>
      <c r="I72" s="7"/>
      <c r="J72" s="7"/>
      <c r="K72" s="7"/>
      <c r="L72" s="7"/>
    </row>
    <row r="73" spans="1:13" x14ac:dyDescent="0.3">
      <c r="A73" s="7" t="s">
        <v>2</v>
      </c>
      <c r="B73" s="7"/>
      <c r="C73" s="7"/>
      <c r="D73" s="7"/>
      <c r="E73" s="7"/>
      <c r="F73" s="7"/>
      <c r="G73" s="7"/>
      <c r="H73" s="7"/>
      <c r="I73" s="7"/>
      <c r="J73" s="7"/>
      <c r="K73" s="7"/>
      <c r="L73" s="7"/>
    </row>
    <row r="74" spans="1:13" x14ac:dyDescent="0.3">
      <c r="A74" s="7"/>
      <c r="B74" s="7"/>
      <c r="C74" s="7"/>
      <c r="D74" s="7"/>
      <c r="E74" s="7"/>
      <c r="F74" s="7"/>
      <c r="G74" s="7"/>
      <c r="H74" s="7"/>
      <c r="I74" s="7"/>
      <c r="J74" s="7"/>
      <c r="K74" s="7"/>
      <c r="L74" s="7"/>
    </row>
    <row r="75" spans="1:13" x14ac:dyDescent="0.3">
      <c r="A75" s="122" t="s">
        <v>429</v>
      </c>
      <c r="B75" s="122"/>
      <c r="C75" s="140"/>
      <c r="D75" s="140"/>
      <c r="E75" s="135">
        <f>F68</f>
        <v>0.70810030095188259</v>
      </c>
      <c r="F75" s="122"/>
      <c r="G75" s="7"/>
      <c r="H75" s="7"/>
      <c r="I75" s="7"/>
      <c r="J75" s="7"/>
      <c r="K75" s="7"/>
      <c r="L75" s="7"/>
    </row>
    <row r="77" spans="1:13" x14ac:dyDescent="0.3">
      <c r="A77" s="1" t="s">
        <v>430</v>
      </c>
    </row>
    <row r="79" spans="1:13" x14ac:dyDescent="0.3">
      <c r="A79" s="26"/>
      <c r="B79" s="26"/>
      <c r="C79" s="26"/>
      <c r="D79" s="26"/>
      <c r="E79" s="26"/>
      <c r="F79" s="26"/>
      <c r="G79" s="26"/>
      <c r="H79" s="26"/>
      <c r="I79" s="26"/>
      <c r="J79" s="26"/>
      <c r="K79" s="26"/>
      <c r="L79" s="26"/>
    </row>
    <row r="80" spans="1:13" x14ac:dyDescent="0.3">
      <c r="A80" s="68" t="s">
        <v>152</v>
      </c>
      <c r="B80" s="9"/>
      <c r="C80" s="9"/>
      <c r="D80" s="26"/>
      <c r="E80" s="26"/>
      <c r="F80" s="26"/>
      <c r="G80" s="26"/>
      <c r="H80" s="26"/>
      <c r="I80" s="26"/>
      <c r="J80" s="26"/>
      <c r="K80" s="26"/>
      <c r="L80" s="26"/>
    </row>
    <row r="81" spans="1:12" x14ac:dyDescent="0.3">
      <c r="A81" s="9"/>
      <c r="B81" s="9"/>
      <c r="C81" s="9"/>
      <c r="D81" s="26"/>
      <c r="E81" s="26"/>
      <c r="F81" s="26"/>
      <c r="G81" s="26"/>
      <c r="H81" s="26"/>
      <c r="I81" s="26"/>
      <c r="J81" s="26"/>
      <c r="K81" s="26"/>
      <c r="L81" s="26"/>
    </row>
    <row r="82" spans="1:12" x14ac:dyDescent="0.3">
      <c r="A82" s="9"/>
      <c r="B82" s="75" t="s">
        <v>158</v>
      </c>
      <c r="C82" s="9"/>
      <c r="D82" s="26"/>
      <c r="E82" s="26"/>
      <c r="F82" s="26"/>
      <c r="G82" s="26"/>
      <c r="H82" s="26"/>
      <c r="I82" s="26"/>
      <c r="J82" s="26"/>
      <c r="K82" s="26"/>
      <c r="L82" s="26"/>
    </row>
    <row r="83" spans="1:12" x14ac:dyDescent="0.3">
      <c r="A83" s="9"/>
      <c r="B83" s="75" t="s">
        <v>159</v>
      </c>
      <c r="C83" s="9"/>
      <c r="D83" s="26"/>
      <c r="E83" s="26"/>
      <c r="F83" s="26"/>
      <c r="G83" s="26"/>
      <c r="H83" s="26"/>
      <c r="I83" s="26"/>
      <c r="J83" s="26"/>
      <c r="K83" s="26"/>
      <c r="L83" s="26"/>
    </row>
    <row r="84" spans="1:12" x14ac:dyDescent="0.3">
      <c r="A84" s="9"/>
      <c r="B84" s="75" t="s">
        <v>160</v>
      </c>
      <c r="C84" s="9"/>
      <c r="D84" s="26"/>
      <c r="E84" s="26"/>
      <c r="F84" s="26"/>
      <c r="G84" s="26"/>
      <c r="H84" s="26"/>
      <c r="I84" s="26"/>
      <c r="J84" s="26"/>
      <c r="K84" s="26"/>
      <c r="L84" s="26"/>
    </row>
    <row r="85" spans="1:12" x14ac:dyDescent="0.3">
      <c r="A85" s="9"/>
      <c r="B85" s="68"/>
      <c r="C85" s="75" t="s">
        <v>161</v>
      </c>
      <c r="D85" s="26"/>
      <c r="E85" s="26"/>
      <c r="F85" s="26"/>
      <c r="G85" s="26"/>
      <c r="H85" s="26"/>
      <c r="I85" s="26"/>
      <c r="J85" s="26"/>
      <c r="K85" s="26"/>
      <c r="L85" s="26"/>
    </row>
    <row r="86" spans="1:12" x14ac:dyDescent="0.3">
      <c r="A86" s="9"/>
      <c r="B86" s="68"/>
      <c r="C86" s="75" t="s">
        <v>162</v>
      </c>
      <c r="D86" s="26"/>
      <c r="E86" s="26"/>
      <c r="F86" s="26"/>
      <c r="G86" s="26"/>
      <c r="H86" s="26"/>
      <c r="I86" s="26"/>
      <c r="J86" s="26"/>
      <c r="K86" s="26"/>
      <c r="L86" s="26"/>
    </row>
    <row r="87" spans="1:12" x14ac:dyDescent="0.3">
      <c r="A87" s="9"/>
      <c r="B87" s="68"/>
      <c r="C87" s="75" t="s">
        <v>163</v>
      </c>
      <c r="D87" s="26"/>
      <c r="E87" s="26"/>
      <c r="F87" s="26"/>
      <c r="G87" s="26"/>
      <c r="H87" s="26"/>
      <c r="I87" s="26"/>
      <c r="J87" s="26"/>
      <c r="K87" s="26"/>
      <c r="L87" s="26"/>
    </row>
    <row r="88" spans="1:12" x14ac:dyDescent="0.3">
      <c r="A88" s="26"/>
      <c r="B88" s="26"/>
      <c r="C88" s="26"/>
      <c r="D88" s="26"/>
      <c r="E88" s="26"/>
      <c r="F88" s="26"/>
      <c r="G88" s="26"/>
      <c r="H88" s="26"/>
      <c r="I88" s="26"/>
      <c r="J88" s="26"/>
      <c r="K88" s="26"/>
      <c r="L88" s="26"/>
    </row>
    <row r="90" spans="1:12" x14ac:dyDescent="0.3">
      <c r="A90" s="6" t="s">
        <v>3</v>
      </c>
      <c r="B90" s="9" t="s">
        <v>164</v>
      </c>
      <c r="C90" s="4"/>
      <c r="D90" s="4"/>
      <c r="E90" s="4"/>
      <c r="F90" s="4"/>
      <c r="G90" s="4"/>
      <c r="H90" s="4"/>
      <c r="I90" s="4"/>
      <c r="J90" s="4"/>
      <c r="K90" s="4"/>
      <c r="L90" s="4"/>
    </row>
    <row r="91" spans="1:12" x14ac:dyDescent="0.3">
      <c r="A91" s="7"/>
      <c r="B91" s="7"/>
      <c r="C91" s="7"/>
      <c r="D91" s="7"/>
      <c r="E91" s="7"/>
      <c r="F91" s="7"/>
      <c r="G91" s="7"/>
      <c r="H91" s="7"/>
      <c r="I91" s="7"/>
      <c r="J91" s="7"/>
      <c r="K91" s="7"/>
      <c r="L91" s="7"/>
    </row>
    <row r="92" spans="1:12" x14ac:dyDescent="0.3">
      <c r="A92" s="7" t="s">
        <v>2</v>
      </c>
      <c r="B92" s="7"/>
      <c r="C92" s="7"/>
      <c r="D92" s="7"/>
      <c r="E92" s="7"/>
      <c r="F92" s="7"/>
      <c r="G92" s="7"/>
      <c r="H92" s="7"/>
      <c r="I92" s="7"/>
      <c r="J92" s="7"/>
      <c r="K92" s="7"/>
      <c r="L92" s="7"/>
    </row>
    <row r="93" spans="1:12" x14ac:dyDescent="0.3">
      <c r="A93" s="7"/>
      <c r="B93" s="7"/>
      <c r="C93" s="7"/>
      <c r="D93" s="7"/>
      <c r="E93" s="7"/>
      <c r="F93" s="7"/>
      <c r="G93" s="7"/>
      <c r="H93" s="7"/>
      <c r="I93" s="7"/>
      <c r="J93" s="7"/>
      <c r="K93" s="7"/>
      <c r="L93" s="7"/>
    </row>
    <row r="94" spans="1:12" x14ac:dyDescent="0.3">
      <c r="A94" s="285"/>
      <c r="B94" s="122" t="s">
        <v>432</v>
      </c>
      <c r="C94" s="122"/>
      <c r="D94" s="122"/>
      <c r="E94" s="122"/>
      <c r="F94" s="122"/>
      <c r="G94" s="198">
        <v>0.04</v>
      </c>
      <c r="I94" s="7"/>
      <c r="J94" s="7"/>
      <c r="K94" s="7"/>
      <c r="L94" s="7"/>
    </row>
    <row r="95" spans="1:12" x14ac:dyDescent="0.3">
      <c r="A95" s="285"/>
      <c r="B95" s="122" t="s">
        <v>438</v>
      </c>
      <c r="C95" s="122"/>
      <c r="D95" s="122"/>
      <c r="E95" s="122"/>
      <c r="F95" s="122"/>
      <c r="G95" s="198">
        <v>0.02</v>
      </c>
      <c r="I95" s="7"/>
      <c r="J95" s="7"/>
      <c r="K95" s="7"/>
      <c r="L95" s="7"/>
    </row>
    <row r="96" spans="1:12" x14ac:dyDescent="0.3">
      <c r="A96" s="285"/>
      <c r="B96" s="122" t="s">
        <v>433</v>
      </c>
      <c r="C96" s="122"/>
      <c r="D96" s="122"/>
      <c r="E96" s="122"/>
      <c r="F96" s="122"/>
      <c r="G96" s="198">
        <v>0.55000000000000004</v>
      </c>
      <c r="I96" s="7"/>
      <c r="J96" s="7"/>
      <c r="K96" s="7"/>
      <c r="L96" s="7"/>
    </row>
    <row r="97" spans="1:13" x14ac:dyDescent="0.3">
      <c r="A97" s="285"/>
      <c r="B97" s="122" t="s">
        <v>431</v>
      </c>
      <c r="C97" s="122"/>
      <c r="D97" s="122"/>
      <c r="E97" s="122"/>
      <c r="F97" s="122"/>
      <c r="G97" s="286">
        <v>0.05</v>
      </c>
      <c r="I97" s="7"/>
      <c r="J97" s="7"/>
      <c r="K97" s="7"/>
      <c r="L97" s="7"/>
    </row>
    <row r="98" spans="1:13" x14ac:dyDescent="0.3">
      <c r="A98" s="285"/>
      <c r="B98" s="122" t="s">
        <v>434</v>
      </c>
      <c r="C98" s="122"/>
      <c r="D98" s="122"/>
      <c r="E98" s="122"/>
      <c r="F98" s="122"/>
      <c r="G98" s="284">
        <f>D36</f>
        <v>1.23E-2</v>
      </c>
    </row>
    <row r="99" spans="1:13" x14ac:dyDescent="0.3">
      <c r="A99" s="285"/>
      <c r="B99" s="122" t="s">
        <v>435</v>
      </c>
      <c r="C99" s="122"/>
      <c r="D99" s="122"/>
      <c r="E99" s="122"/>
      <c r="F99" s="122"/>
      <c r="G99" s="287">
        <v>44287</v>
      </c>
    </row>
    <row r="100" spans="1:13" x14ac:dyDescent="0.3">
      <c r="A100" s="285"/>
      <c r="B100" s="122" t="s">
        <v>436</v>
      </c>
      <c r="C100" s="122"/>
      <c r="D100" s="122"/>
      <c r="E100" s="122"/>
      <c r="F100" s="122"/>
      <c r="G100" s="287">
        <f>C61</f>
        <v>44682</v>
      </c>
      <c r="M100" s="7"/>
    </row>
    <row r="101" spans="1:13" x14ac:dyDescent="0.3">
      <c r="A101" s="285"/>
      <c r="B101" s="122" t="s">
        <v>437</v>
      </c>
      <c r="C101" s="122"/>
      <c r="D101" s="122"/>
      <c r="E101" s="122"/>
      <c r="F101" s="122"/>
      <c r="G101" s="122">
        <f>(12*YEAR(G100)+MONTH(G100))-(12*YEAR(G99)+MONTH(G99))</f>
        <v>13</v>
      </c>
      <c r="M101" s="7"/>
    </row>
    <row r="102" spans="1:13" x14ac:dyDescent="0.3">
      <c r="A102" s="285"/>
      <c r="B102" s="122" t="s">
        <v>443</v>
      </c>
      <c r="C102" s="122"/>
      <c r="D102" s="122"/>
      <c r="E102" s="122"/>
      <c r="F102" s="122"/>
      <c r="G102" s="284">
        <f>(1+G94)/(1+G95)*G96*((1+G97)^(G101/12))/((1+G98)^(G101/12))</f>
        <v>0.5834441071403802</v>
      </c>
    </row>
    <row r="104" spans="1:13" x14ac:dyDescent="0.3">
      <c r="A104" s="26"/>
      <c r="B104" s="26"/>
      <c r="C104" s="26"/>
      <c r="D104" s="26"/>
      <c r="E104" s="26"/>
      <c r="F104" s="26"/>
      <c r="G104" s="26"/>
      <c r="H104" s="26"/>
      <c r="I104" s="26"/>
      <c r="J104" s="26"/>
      <c r="K104" s="26"/>
      <c r="L104" s="26"/>
    </row>
    <row r="105" spans="1:13" x14ac:dyDescent="0.3">
      <c r="A105" s="68" t="s">
        <v>152</v>
      </c>
      <c r="B105" s="9"/>
      <c r="C105" s="9"/>
      <c r="D105" s="26"/>
      <c r="E105" s="26"/>
      <c r="F105" s="26"/>
      <c r="G105" s="26"/>
      <c r="H105" s="26"/>
      <c r="I105" s="26"/>
      <c r="J105" s="26"/>
      <c r="K105" s="26"/>
      <c r="L105" s="26"/>
    </row>
    <row r="106" spans="1:13" x14ac:dyDescent="0.3">
      <c r="A106" s="9"/>
      <c r="B106" s="9"/>
      <c r="C106" s="9"/>
      <c r="D106" s="26"/>
      <c r="E106" s="26"/>
      <c r="F106" s="26"/>
      <c r="G106" s="26"/>
      <c r="H106" s="26"/>
      <c r="I106" s="26"/>
      <c r="J106" s="26"/>
      <c r="K106" s="26"/>
      <c r="L106" s="26"/>
    </row>
    <row r="107" spans="1:13" x14ac:dyDescent="0.3">
      <c r="A107" s="9"/>
      <c r="B107" s="75" t="s">
        <v>165</v>
      </c>
      <c r="C107" s="9"/>
      <c r="D107" s="26"/>
      <c r="E107" s="26"/>
      <c r="F107" s="26"/>
      <c r="G107" s="26"/>
      <c r="H107" s="26"/>
      <c r="I107" s="26"/>
      <c r="J107" s="26"/>
      <c r="K107" s="26"/>
      <c r="L107" s="26"/>
    </row>
    <row r="108" spans="1:13" x14ac:dyDescent="0.3">
      <c r="A108" s="9"/>
      <c r="B108" s="75" t="s">
        <v>166</v>
      </c>
      <c r="C108" s="9"/>
      <c r="D108" s="26"/>
      <c r="E108" s="26"/>
      <c r="F108" s="26"/>
      <c r="G108" s="26"/>
      <c r="H108" s="26"/>
      <c r="I108" s="26"/>
      <c r="J108" s="26"/>
      <c r="K108" s="26"/>
      <c r="L108" s="26"/>
    </row>
    <row r="109" spans="1:13" x14ac:dyDescent="0.3">
      <c r="A109" s="9"/>
      <c r="B109" s="75" t="s">
        <v>167</v>
      </c>
      <c r="C109" s="9"/>
      <c r="D109" s="26"/>
      <c r="E109" s="26"/>
      <c r="F109" s="26"/>
      <c r="G109" s="26"/>
      <c r="H109" s="26"/>
      <c r="I109" s="26"/>
      <c r="J109" s="26"/>
      <c r="K109" s="26"/>
      <c r="L109" s="26"/>
    </row>
    <row r="110" spans="1:13" x14ac:dyDescent="0.3">
      <c r="A110" s="9"/>
      <c r="B110" s="75" t="s">
        <v>168</v>
      </c>
      <c r="C110" s="9"/>
      <c r="D110" s="26"/>
      <c r="E110" s="26"/>
      <c r="F110" s="26"/>
      <c r="G110" s="26"/>
      <c r="H110" s="26"/>
      <c r="I110" s="26"/>
      <c r="J110" s="26"/>
      <c r="K110" s="26"/>
      <c r="L110" s="26"/>
    </row>
    <row r="111" spans="1:13" x14ac:dyDescent="0.3">
      <c r="A111" s="26"/>
      <c r="B111" s="26"/>
      <c r="C111" s="26"/>
      <c r="D111" s="26"/>
      <c r="E111" s="26"/>
      <c r="F111" s="26"/>
      <c r="G111" s="26"/>
      <c r="H111" s="26"/>
      <c r="I111" s="26"/>
      <c r="J111" s="26"/>
      <c r="K111" s="26"/>
      <c r="L111" s="26"/>
    </row>
    <row r="113" spans="1:12" x14ac:dyDescent="0.3">
      <c r="A113" s="6" t="s">
        <v>4</v>
      </c>
      <c r="B113" s="9" t="s">
        <v>169</v>
      </c>
      <c r="C113" s="4"/>
      <c r="D113" s="4"/>
      <c r="E113" s="4"/>
      <c r="F113" s="4"/>
      <c r="G113" s="4"/>
      <c r="H113" s="4"/>
      <c r="I113" s="4"/>
      <c r="J113" s="4"/>
      <c r="K113" s="4"/>
      <c r="L113" s="4"/>
    </row>
    <row r="114" spans="1:12" x14ac:dyDescent="0.3">
      <c r="A114" s="7"/>
      <c r="B114" s="7"/>
      <c r="C114" s="7"/>
      <c r="D114" s="7"/>
      <c r="E114" s="7"/>
      <c r="F114" s="7"/>
      <c r="G114" s="7"/>
      <c r="H114" s="7"/>
      <c r="I114" s="7"/>
      <c r="J114" s="7"/>
      <c r="K114" s="7"/>
      <c r="L114" s="7"/>
    </row>
    <row r="115" spans="1:12" x14ac:dyDescent="0.3">
      <c r="A115" s="7" t="s">
        <v>2</v>
      </c>
      <c r="B115" s="7"/>
      <c r="C115" s="7"/>
      <c r="D115" s="7"/>
      <c r="E115" s="7"/>
      <c r="F115" s="7"/>
      <c r="G115" s="7"/>
      <c r="H115" s="7"/>
      <c r="I115" s="7"/>
      <c r="J115" s="7"/>
      <c r="K115" s="7"/>
      <c r="L115" s="7"/>
    </row>
    <row r="116" spans="1:12" x14ac:dyDescent="0.3">
      <c r="A116" s="7"/>
      <c r="B116" s="7"/>
      <c r="C116" s="7"/>
      <c r="D116" s="7"/>
      <c r="E116" s="7"/>
      <c r="F116" s="7"/>
      <c r="G116" s="7"/>
      <c r="H116" s="7"/>
      <c r="I116" s="7"/>
      <c r="J116" s="7"/>
      <c r="K116" s="7"/>
      <c r="L116" s="7"/>
    </row>
    <row r="117" spans="1:12" x14ac:dyDescent="0.3">
      <c r="B117" s="122" t="s">
        <v>439</v>
      </c>
      <c r="C117" s="122"/>
      <c r="E117" s="284">
        <f>E75</f>
        <v>0.70810030095188259</v>
      </c>
    </row>
    <row r="118" spans="1:12" x14ac:dyDescent="0.3">
      <c r="B118" s="122" t="s">
        <v>510</v>
      </c>
      <c r="C118" s="122"/>
      <c r="E118" s="166">
        <v>0.77</v>
      </c>
    </row>
    <row r="119" spans="1:12" x14ac:dyDescent="0.3">
      <c r="B119" s="122" t="s">
        <v>440</v>
      </c>
      <c r="C119" s="122"/>
      <c r="E119" s="166">
        <f>G102</f>
        <v>0.5834441071403802</v>
      </c>
    </row>
    <row r="120" spans="1:12" x14ac:dyDescent="0.3">
      <c r="B120" s="122" t="s">
        <v>441</v>
      </c>
      <c r="C120" s="122"/>
      <c r="E120" s="284">
        <f>E117*E118+(1-E118)*E119</f>
        <v>0.67942937637523704</v>
      </c>
    </row>
    <row r="121" spans="1:12" x14ac:dyDescent="0.3">
      <c r="B121" s="122" t="s">
        <v>442</v>
      </c>
      <c r="C121" s="122"/>
      <c r="E121" s="284">
        <f>(E120+0.15)/(1-0.11-0.04)-1</f>
        <v>-2.4200733676191688E-2</v>
      </c>
    </row>
  </sheetData>
  <mergeCells count="1">
    <mergeCell ref="B59:C59"/>
  </mergeCells>
  <pageMargins left="0.7" right="0.7" top="0.75" bottom="0.75" header="0.3" footer="0.3"/>
  <pageSetup scale="82"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1825-499E-4657-81CA-56AD287EC0DB}">
  <dimension ref="A1:R50"/>
  <sheetViews>
    <sheetView zoomScaleNormal="100" workbookViewId="0"/>
  </sheetViews>
  <sheetFormatPr defaultRowHeight="15.6" x14ac:dyDescent="0.3"/>
  <cols>
    <col min="1" max="1" width="8.88671875" style="1" customWidth="1"/>
    <col min="2" max="2" width="12.77734375" style="1" customWidth="1"/>
    <col min="3" max="6" width="8.88671875" style="1" customWidth="1"/>
    <col min="7" max="7" width="8.88671875" style="1"/>
    <col min="8" max="8" width="8.88671875" style="1" customWidth="1"/>
    <col min="9" max="16384" width="8.88671875" style="1"/>
  </cols>
  <sheetData>
    <row r="1" spans="1:18" ht="17.399999999999999" x14ac:dyDescent="0.3">
      <c r="A1" s="2" t="s">
        <v>170</v>
      </c>
      <c r="B1" s="4"/>
      <c r="C1" s="9" t="s">
        <v>59</v>
      </c>
      <c r="D1" s="4"/>
      <c r="E1" s="4"/>
      <c r="F1" s="4"/>
      <c r="G1" s="4"/>
      <c r="H1" s="4"/>
      <c r="I1" s="4"/>
      <c r="J1" s="4"/>
      <c r="K1" s="4"/>
      <c r="L1" s="3"/>
    </row>
    <row r="2" spans="1:18" x14ac:dyDescent="0.3">
      <c r="A2" s="4"/>
      <c r="B2" s="4"/>
      <c r="C2" s="4"/>
      <c r="D2" s="4"/>
      <c r="E2" s="4"/>
      <c r="F2" s="4"/>
      <c r="G2" s="4"/>
      <c r="H2" s="4"/>
      <c r="I2" s="4"/>
      <c r="J2" s="4"/>
      <c r="K2" s="4"/>
      <c r="L2" s="3"/>
    </row>
    <row r="4" spans="1:18" x14ac:dyDescent="0.3">
      <c r="A4" s="5" t="s">
        <v>8</v>
      </c>
      <c r="B4" s="3"/>
      <c r="C4" s="3"/>
      <c r="D4" s="3"/>
      <c r="E4" s="3"/>
      <c r="F4" s="3"/>
      <c r="G4" s="3"/>
      <c r="H4" s="3"/>
      <c r="I4" s="3"/>
      <c r="J4" s="3"/>
      <c r="K4" s="3"/>
      <c r="L4" s="3"/>
    </row>
    <row r="5" spans="1:18" x14ac:dyDescent="0.3">
      <c r="A5" s="7"/>
      <c r="B5" s="7"/>
      <c r="C5" s="7"/>
      <c r="D5" s="7"/>
      <c r="E5" s="7"/>
      <c r="F5" s="7"/>
      <c r="G5" s="7"/>
      <c r="H5" s="7"/>
      <c r="I5" s="7"/>
      <c r="J5" s="7"/>
      <c r="K5" s="7"/>
      <c r="L5" s="7"/>
    </row>
    <row r="6" spans="1:18" x14ac:dyDescent="0.3">
      <c r="A6" s="5" t="s">
        <v>96</v>
      </c>
      <c r="B6" s="3"/>
      <c r="C6" s="3"/>
      <c r="D6" s="3"/>
      <c r="E6" s="3"/>
      <c r="F6" s="3"/>
      <c r="G6" s="3"/>
      <c r="H6" s="3"/>
      <c r="I6" s="3"/>
      <c r="J6" s="3"/>
      <c r="K6" s="3"/>
      <c r="L6" s="3"/>
    </row>
    <row r="7" spans="1:18" x14ac:dyDescent="0.3">
      <c r="A7" s="7"/>
      <c r="B7" s="7"/>
      <c r="C7" s="7"/>
      <c r="D7" s="7"/>
      <c r="E7" s="7"/>
      <c r="F7" s="7"/>
      <c r="G7" s="7"/>
      <c r="H7" s="7"/>
      <c r="I7" s="7"/>
      <c r="J7" s="7"/>
      <c r="K7" s="7"/>
      <c r="L7" s="7"/>
    </row>
    <row r="8" spans="1:18" x14ac:dyDescent="0.3">
      <c r="A8" s="65"/>
      <c r="B8" s="65"/>
      <c r="C8" s="65"/>
      <c r="D8" s="65"/>
      <c r="E8" s="65"/>
      <c r="F8" s="65"/>
      <c r="G8" s="65"/>
      <c r="H8" s="65"/>
      <c r="I8" s="65"/>
      <c r="J8" s="65"/>
      <c r="K8" s="65"/>
      <c r="L8" s="65"/>
    </row>
    <row r="9" spans="1:18" x14ac:dyDescent="0.3">
      <c r="A9" s="360" t="s">
        <v>171</v>
      </c>
      <c r="B9" s="361"/>
      <c r="C9" s="361"/>
      <c r="D9" s="361"/>
      <c r="E9" s="361"/>
      <c r="F9" s="361"/>
      <c r="G9" s="361"/>
      <c r="H9" s="361"/>
      <c r="I9" s="361"/>
      <c r="J9" s="361"/>
      <c r="K9" s="361"/>
      <c r="L9" s="361"/>
    </row>
    <row r="10" spans="1:18" x14ac:dyDescent="0.3">
      <c r="A10" s="361"/>
      <c r="B10" s="361"/>
      <c r="C10" s="361"/>
      <c r="D10" s="361"/>
      <c r="E10" s="361"/>
      <c r="F10" s="361"/>
      <c r="G10" s="361"/>
      <c r="H10" s="361"/>
      <c r="I10" s="361"/>
      <c r="J10" s="361"/>
      <c r="K10" s="361"/>
      <c r="L10" s="361"/>
    </row>
    <row r="11" spans="1:18" x14ac:dyDescent="0.3">
      <c r="A11" s="65"/>
      <c r="B11" s="65"/>
      <c r="C11" s="65"/>
      <c r="D11" s="65"/>
      <c r="E11" s="65"/>
      <c r="F11" s="65"/>
      <c r="G11" s="65"/>
      <c r="H11" s="65"/>
      <c r="I11" s="65"/>
      <c r="J11" s="65"/>
      <c r="K11" s="65"/>
      <c r="L11" s="65"/>
    </row>
    <row r="12" spans="1:18" x14ac:dyDescent="0.3">
      <c r="A12" s="7"/>
      <c r="B12" s="7"/>
      <c r="C12" s="7"/>
      <c r="D12" s="7"/>
      <c r="E12" s="7"/>
      <c r="F12" s="7"/>
      <c r="G12" s="7"/>
      <c r="H12" s="7"/>
      <c r="I12" s="7"/>
      <c r="J12" s="7"/>
      <c r="K12" s="7"/>
      <c r="L12" s="7"/>
    </row>
    <row r="13" spans="1:18" x14ac:dyDescent="0.3">
      <c r="A13" s="6" t="s">
        <v>1</v>
      </c>
      <c r="B13" s="9" t="s">
        <v>173</v>
      </c>
      <c r="C13" s="4"/>
      <c r="D13" s="4"/>
      <c r="E13" s="4"/>
      <c r="F13" s="4"/>
      <c r="G13" s="4"/>
      <c r="H13" s="4"/>
      <c r="I13" s="4"/>
      <c r="J13" s="4"/>
      <c r="K13" s="4"/>
      <c r="L13" s="4"/>
      <c r="M13" s="8"/>
      <c r="N13" s="8"/>
      <c r="O13" s="8"/>
      <c r="P13" s="8"/>
      <c r="Q13" s="8"/>
      <c r="R13" s="8"/>
    </row>
    <row r="14" spans="1:18" x14ac:dyDescent="0.3">
      <c r="A14" s="7"/>
      <c r="B14" s="7"/>
      <c r="C14" s="7"/>
      <c r="D14" s="7"/>
      <c r="E14" s="7"/>
      <c r="F14" s="7"/>
      <c r="G14" s="7"/>
      <c r="H14" s="7"/>
      <c r="I14" s="7"/>
      <c r="J14" s="7"/>
      <c r="K14" s="7"/>
      <c r="L14" s="7"/>
      <c r="M14" s="7"/>
    </row>
    <row r="15" spans="1:18" x14ac:dyDescent="0.3">
      <c r="A15" s="7" t="s">
        <v>2</v>
      </c>
      <c r="B15" s="7"/>
      <c r="C15" s="7"/>
      <c r="D15" s="7"/>
      <c r="E15" s="7"/>
      <c r="F15" s="7"/>
      <c r="G15" s="7"/>
      <c r="H15" s="7"/>
      <c r="I15" s="7"/>
      <c r="J15" s="7"/>
      <c r="K15" s="7"/>
      <c r="L15" s="7"/>
      <c r="M15" s="7"/>
      <c r="N15" s="8"/>
    </row>
    <row r="16" spans="1:18" x14ac:dyDescent="0.3">
      <c r="A16" s="7"/>
      <c r="B16" s="122" t="s">
        <v>448</v>
      </c>
      <c r="C16" s="122"/>
      <c r="D16" s="122"/>
      <c r="E16" s="122"/>
      <c r="F16" s="122"/>
      <c r="G16" s="122"/>
      <c r="H16" s="140"/>
      <c r="I16" s="198">
        <v>0.1</v>
      </c>
      <c r="J16" s="122"/>
      <c r="L16" s="7"/>
      <c r="M16" s="7"/>
      <c r="N16" s="8"/>
    </row>
    <row r="17" spans="1:14" x14ac:dyDescent="0.3">
      <c r="A17" s="7"/>
      <c r="B17" s="122"/>
      <c r="C17" s="122"/>
      <c r="D17" s="122"/>
      <c r="E17" s="122"/>
      <c r="F17" s="122"/>
      <c r="G17" s="122"/>
      <c r="H17" s="140"/>
      <c r="I17" s="198"/>
      <c r="J17" s="122"/>
      <c r="L17" s="7"/>
      <c r="M17" s="7"/>
      <c r="N17" s="8"/>
    </row>
    <row r="18" spans="1:14" x14ac:dyDescent="0.3">
      <c r="A18" s="7"/>
      <c r="B18" s="122"/>
      <c r="C18" s="397" t="s">
        <v>444</v>
      </c>
      <c r="D18" s="397"/>
      <c r="E18" s="397"/>
      <c r="F18" s="397"/>
      <c r="G18" s="122"/>
      <c r="H18" s="122"/>
      <c r="I18" s="140"/>
      <c r="J18" s="140"/>
      <c r="L18" s="7"/>
      <c r="M18" s="7"/>
      <c r="N18" s="8"/>
    </row>
    <row r="19" spans="1:14" x14ac:dyDescent="0.3">
      <c r="B19" s="288" t="s">
        <v>445</v>
      </c>
      <c r="C19" s="288">
        <v>1</v>
      </c>
      <c r="D19" s="288">
        <f>C19+1</f>
        <v>2</v>
      </c>
      <c r="E19" s="288">
        <f>D19+1</f>
        <v>3</v>
      </c>
      <c r="F19" s="288">
        <f>E19+1</f>
        <v>4</v>
      </c>
      <c r="G19" s="140"/>
      <c r="H19" s="122"/>
      <c r="I19" s="122"/>
      <c r="J19" s="122"/>
      <c r="M19" s="8"/>
      <c r="N19" s="8"/>
    </row>
    <row r="20" spans="1:14" x14ac:dyDescent="0.3">
      <c r="B20" s="165">
        <v>0</v>
      </c>
      <c r="C20" s="165">
        <v>100</v>
      </c>
      <c r="D20" s="165">
        <f>C20*(1+$I$16)</f>
        <v>110.00000000000001</v>
      </c>
      <c r="E20" s="165">
        <f t="shared" ref="E20:F20" si="0">D20*(1+$I$16)</f>
        <v>121.00000000000003</v>
      </c>
      <c r="F20" s="165">
        <f t="shared" si="0"/>
        <v>133.10000000000005</v>
      </c>
      <c r="G20" s="140"/>
      <c r="H20" s="122"/>
      <c r="I20" s="122"/>
      <c r="J20" s="122"/>
      <c r="M20" s="8"/>
      <c r="N20" s="8"/>
    </row>
    <row r="21" spans="1:14" x14ac:dyDescent="0.3">
      <c r="B21" s="165">
        <v>1</v>
      </c>
      <c r="C21" s="165">
        <v>100</v>
      </c>
      <c r="D21" s="165">
        <f t="shared" ref="D21:F21" si="1">C21*(1+$I$16)</f>
        <v>110.00000000000001</v>
      </c>
      <c r="E21" s="165">
        <f t="shared" si="1"/>
        <v>121.00000000000003</v>
      </c>
      <c r="F21" s="165">
        <f t="shared" si="1"/>
        <v>133.10000000000005</v>
      </c>
      <c r="G21" s="140"/>
      <c r="H21" s="122"/>
      <c r="I21" s="122"/>
      <c r="J21" s="122"/>
      <c r="M21" s="8"/>
      <c r="N21" s="8"/>
    </row>
    <row r="22" spans="1:14" x14ac:dyDescent="0.3">
      <c r="B22" s="165">
        <v>2</v>
      </c>
      <c r="C22" s="165">
        <v>100</v>
      </c>
      <c r="D22" s="165">
        <f t="shared" ref="D22:F22" si="2">C22*(1+$I$16)</f>
        <v>110.00000000000001</v>
      </c>
      <c r="E22" s="165">
        <f t="shared" si="2"/>
        <v>121.00000000000003</v>
      </c>
      <c r="F22" s="165">
        <f t="shared" si="2"/>
        <v>133.10000000000005</v>
      </c>
      <c r="G22" s="140"/>
      <c r="H22" s="122"/>
      <c r="I22" s="122"/>
      <c r="J22" s="122"/>
      <c r="M22" s="8"/>
      <c r="N22" s="8"/>
    </row>
    <row r="23" spans="1:14" x14ac:dyDescent="0.3">
      <c r="B23" s="122"/>
      <c r="C23" s="122"/>
      <c r="D23" s="122"/>
      <c r="E23" s="122"/>
      <c r="F23" s="122"/>
      <c r="G23" s="140"/>
      <c r="H23" s="122"/>
      <c r="I23" s="122"/>
      <c r="J23" s="122"/>
      <c r="M23" s="8"/>
      <c r="N23" s="8"/>
    </row>
    <row r="24" spans="1:14" x14ac:dyDescent="0.3">
      <c r="B24" s="122" t="s">
        <v>446</v>
      </c>
      <c r="C24" s="122"/>
      <c r="D24" s="122"/>
      <c r="E24" s="122">
        <f>SUM(C20:C22)</f>
        <v>300</v>
      </c>
      <c r="F24" s="122"/>
      <c r="G24" s="122"/>
      <c r="H24" s="122"/>
      <c r="I24" s="122"/>
      <c r="J24" s="140"/>
      <c r="M24" s="8"/>
      <c r="N24" s="8"/>
    </row>
    <row r="25" spans="1:14" x14ac:dyDescent="0.3">
      <c r="B25" s="122" t="s">
        <v>447</v>
      </c>
      <c r="C25" s="122"/>
      <c r="D25" s="122"/>
      <c r="E25" s="122">
        <f>C20+D21+E22</f>
        <v>331</v>
      </c>
      <c r="F25" s="122"/>
      <c r="G25" s="122"/>
      <c r="H25" s="122"/>
      <c r="I25" s="122"/>
      <c r="J25" s="140"/>
      <c r="M25" s="8"/>
      <c r="N25" s="8"/>
    </row>
    <row r="26" spans="1:14" x14ac:dyDescent="0.3">
      <c r="M26" s="8"/>
      <c r="N26" s="8"/>
    </row>
    <row r="27" spans="1:14" x14ac:dyDescent="0.3">
      <c r="A27" s="26"/>
      <c r="B27" s="26"/>
      <c r="C27" s="26"/>
      <c r="D27" s="26"/>
      <c r="E27" s="26"/>
      <c r="F27" s="26"/>
      <c r="G27" s="26"/>
      <c r="H27" s="26"/>
      <c r="I27" s="26"/>
      <c r="J27" s="26"/>
      <c r="K27" s="26"/>
      <c r="L27" s="26"/>
      <c r="M27" s="8"/>
      <c r="N27" s="8"/>
    </row>
    <row r="28" spans="1:14" x14ac:dyDescent="0.3">
      <c r="A28" s="360" t="s">
        <v>172</v>
      </c>
      <c r="B28" s="361"/>
      <c r="C28" s="361"/>
      <c r="D28" s="361"/>
      <c r="E28" s="361"/>
      <c r="F28" s="361"/>
      <c r="G28" s="361"/>
      <c r="H28" s="361"/>
      <c r="I28" s="361"/>
      <c r="J28" s="361"/>
      <c r="K28" s="361"/>
      <c r="L28" s="361"/>
      <c r="M28" s="8"/>
      <c r="N28" s="8"/>
    </row>
    <row r="29" spans="1:14" x14ac:dyDescent="0.3">
      <c r="A29" s="361"/>
      <c r="B29" s="361"/>
      <c r="C29" s="361"/>
      <c r="D29" s="361"/>
      <c r="E29" s="361"/>
      <c r="F29" s="361"/>
      <c r="G29" s="361"/>
      <c r="H29" s="361"/>
      <c r="I29" s="361"/>
      <c r="J29" s="361"/>
      <c r="K29" s="361"/>
      <c r="L29" s="361"/>
      <c r="M29" s="8"/>
      <c r="N29" s="8"/>
    </row>
    <row r="30" spans="1:14" x14ac:dyDescent="0.3">
      <c r="A30" s="361"/>
      <c r="B30" s="361"/>
      <c r="C30" s="361"/>
      <c r="D30" s="361"/>
      <c r="E30" s="361"/>
      <c r="F30" s="361"/>
      <c r="G30" s="361"/>
      <c r="H30" s="361"/>
      <c r="I30" s="361"/>
      <c r="J30" s="361"/>
      <c r="K30" s="361"/>
      <c r="L30" s="361"/>
      <c r="M30" s="8"/>
      <c r="N30" s="8"/>
    </row>
    <row r="31" spans="1:14" x14ac:dyDescent="0.3">
      <c r="A31" s="26"/>
      <c r="B31" s="26"/>
      <c r="C31" s="26"/>
      <c r="D31" s="26"/>
      <c r="E31" s="26"/>
      <c r="F31" s="26"/>
      <c r="G31" s="26"/>
      <c r="H31" s="26"/>
      <c r="I31" s="26"/>
      <c r="J31" s="26"/>
      <c r="K31" s="26"/>
      <c r="L31" s="26"/>
      <c r="M31" s="8"/>
      <c r="N31" s="8"/>
    </row>
    <row r="33" spans="1:13" x14ac:dyDescent="0.3">
      <c r="A33" s="6" t="s">
        <v>3</v>
      </c>
      <c r="B33" s="9" t="s">
        <v>174</v>
      </c>
      <c r="C33" s="4"/>
      <c r="D33" s="4"/>
      <c r="E33" s="4"/>
      <c r="F33" s="4"/>
      <c r="G33" s="4"/>
      <c r="H33" s="4"/>
      <c r="I33" s="4"/>
      <c r="J33" s="4"/>
      <c r="K33" s="4"/>
      <c r="L33" s="4"/>
    </row>
    <row r="34" spans="1:13" x14ac:dyDescent="0.3">
      <c r="A34" s="7"/>
      <c r="B34" s="7"/>
      <c r="C34" s="7"/>
      <c r="D34" s="7"/>
      <c r="E34" s="7"/>
      <c r="F34" s="7"/>
      <c r="G34" s="7"/>
      <c r="H34" s="7"/>
      <c r="I34" s="7"/>
      <c r="J34" s="7"/>
      <c r="K34" s="7"/>
      <c r="L34" s="7"/>
    </row>
    <row r="35" spans="1:13" x14ac:dyDescent="0.3">
      <c r="A35" s="7" t="s">
        <v>2</v>
      </c>
      <c r="B35" s="7"/>
      <c r="C35" s="7"/>
      <c r="D35" s="7"/>
      <c r="E35" s="7"/>
      <c r="F35" s="7"/>
      <c r="G35" s="7"/>
      <c r="H35" s="7"/>
      <c r="I35" s="7"/>
      <c r="J35" s="7"/>
      <c r="K35" s="7"/>
      <c r="L35" s="7"/>
    </row>
    <row r="36" spans="1:13" x14ac:dyDescent="0.3">
      <c r="A36" s="7"/>
      <c r="B36" s="122" t="s">
        <v>449</v>
      </c>
      <c r="C36" s="140"/>
      <c r="D36" s="122"/>
      <c r="E36" s="122"/>
      <c r="F36" s="122"/>
      <c r="G36" s="122"/>
      <c r="H36" s="122"/>
      <c r="I36" s="198">
        <v>0.2</v>
      </c>
      <c r="J36" s="122"/>
      <c r="K36" s="122"/>
      <c r="L36" s="122"/>
      <c r="M36" s="122"/>
    </row>
    <row r="37" spans="1:13" x14ac:dyDescent="0.3">
      <c r="A37" s="7"/>
      <c r="B37" s="122"/>
      <c r="C37" s="122"/>
      <c r="D37" s="122"/>
      <c r="E37" s="122"/>
      <c r="F37" s="122"/>
      <c r="G37" s="122"/>
      <c r="H37" s="122"/>
      <c r="I37" s="122"/>
      <c r="J37" s="122"/>
      <c r="K37" s="122"/>
      <c r="L37" s="122"/>
      <c r="M37" s="122"/>
    </row>
    <row r="38" spans="1:13" x14ac:dyDescent="0.3">
      <c r="B38" s="122"/>
      <c r="C38" s="397" t="s">
        <v>444</v>
      </c>
      <c r="D38" s="397"/>
      <c r="E38" s="397"/>
      <c r="F38" s="397"/>
      <c r="G38" s="122"/>
      <c r="H38" s="122"/>
      <c r="I38" s="122"/>
      <c r="J38" s="122"/>
      <c r="K38" s="122"/>
      <c r="L38" s="122"/>
      <c r="M38" s="122"/>
    </row>
    <row r="39" spans="1:13" x14ac:dyDescent="0.3">
      <c r="B39" s="288" t="s">
        <v>445</v>
      </c>
      <c r="C39" s="288">
        <v>1</v>
      </c>
      <c r="D39" s="288">
        <f t="shared" ref="D39:F39" si="3">C39+1</f>
        <v>2</v>
      </c>
      <c r="E39" s="288">
        <f t="shared" si="3"/>
        <v>3</v>
      </c>
      <c r="F39" s="288">
        <f t="shared" si="3"/>
        <v>4</v>
      </c>
      <c r="G39" s="140"/>
      <c r="H39" s="122"/>
      <c r="I39" s="122"/>
      <c r="J39" s="122"/>
      <c r="K39" s="122"/>
      <c r="L39" s="122"/>
      <c r="M39" s="122"/>
    </row>
    <row r="40" spans="1:13" x14ac:dyDescent="0.3">
      <c r="B40" s="165">
        <v>0</v>
      </c>
      <c r="C40" s="165">
        <f>C20</f>
        <v>100</v>
      </c>
      <c r="D40" s="165">
        <f t="shared" ref="D40:F42" si="4">C40*(1+$I$36)</f>
        <v>120</v>
      </c>
      <c r="E40" s="165">
        <f t="shared" si="4"/>
        <v>144</v>
      </c>
      <c r="F40" s="165">
        <f t="shared" si="4"/>
        <v>172.79999999999998</v>
      </c>
      <c r="G40" s="140"/>
      <c r="H40" s="122"/>
      <c r="I40" s="122"/>
      <c r="J40" s="122"/>
      <c r="K40" s="122"/>
      <c r="L40" s="122"/>
      <c r="M40" s="122"/>
    </row>
    <row r="41" spans="1:13" x14ac:dyDescent="0.3">
      <c r="B41" s="165">
        <v>1</v>
      </c>
      <c r="C41" s="165">
        <f>C21</f>
        <v>100</v>
      </c>
      <c r="D41" s="165">
        <f t="shared" si="4"/>
        <v>120</v>
      </c>
      <c r="E41" s="165">
        <f t="shared" si="4"/>
        <v>144</v>
      </c>
      <c r="F41" s="165">
        <f t="shared" si="4"/>
        <v>172.79999999999998</v>
      </c>
      <c r="G41" s="140"/>
      <c r="H41" s="122"/>
      <c r="I41" s="122"/>
      <c r="J41" s="122"/>
      <c r="K41" s="122"/>
      <c r="L41" s="122"/>
      <c r="M41" s="122"/>
    </row>
    <row r="42" spans="1:13" x14ac:dyDescent="0.3">
      <c r="B42" s="165">
        <v>2</v>
      </c>
      <c r="C42" s="165">
        <f>C22</f>
        <v>100</v>
      </c>
      <c r="D42" s="165">
        <f t="shared" si="4"/>
        <v>120</v>
      </c>
      <c r="E42" s="165">
        <f t="shared" si="4"/>
        <v>144</v>
      </c>
      <c r="F42" s="165">
        <f t="shared" si="4"/>
        <v>172.79999999999998</v>
      </c>
      <c r="G42" s="140"/>
      <c r="H42" s="122"/>
      <c r="I42" s="122"/>
      <c r="J42" s="122"/>
      <c r="K42" s="122"/>
      <c r="L42" s="122"/>
      <c r="M42" s="122"/>
    </row>
    <row r="43" spans="1:13" x14ac:dyDescent="0.3">
      <c r="B43" s="122"/>
      <c r="C43" s="122"/>
      <c r="D43" s="122"/>
      <c r="E43" s="122"/>
      <c r="F43" s="122"/>
      <c r="G43" s="140"/>
      <c r="H43" s="122"/>
      <c r="I43" s="122"/>
      <c r="J43" s="122"/>
      <c r="K43" s="122"/>
      <c r="L43" s="122"/>
      <c r="M43" s="122"/>
    </row>
    <row r="44" spans="1:13" ht="46.8" x14ac:dyDescent="0.3">
      <c r="B44" s="230"/>
      <c r="C44" s="230"/>
      <c r="D44" s="230"/>
      <c r="E44" s="225" t="s">
        <v>451</v>
      </c>
      <c r="F44" s="225" t="s">
        <v>450</v>
      </c>
      <c r="G44" s="140"/>
      <c r="H44" s="122"/>
      <c r="I44" s="122"/>
      <c r="J44" s="122"/>
      <c r="K44" s="122"/>
      <c r="L44" s="122"/>
      <c r="M44" s="122"/>
    </row>
    <row r="45" spans="1:13" x14ac:dyDescent="0.3">
      <c r="B45" s="122" t="s">
        <v>446</v>
      </c>
      <c r="C45" s="122"/>
      <c r="D45" s="122"/>
      <c r="E45" s="277">
        <f>SUM(D20:D22)</f>
        <v>330.00000000000006</v>
      </c>
      <c r="F45" s="277">
        <f>SUM(D40:D42)</f>
        <v>360</v>
      </c>
      <c r="G45" s="122"/>
      <c r="H45" s="122"/>
      <c r="I45" s="122"/>
      <c r="J45" s="122"/>
      <c r="K45" s="122"/>
      <c r="L45" s="122"/>
      <c r="M45" s="122"/>
    </row>
    <row r="46" spans="1:13" x14ac:dyDescent="0.3">
      <c r="B46" s="122" t="s">
        <v>447</v>
      </c>
      <c r="C46" s="122"/>
      <c r="D46" s="122"/>
      <c r="E46" s="277">
        <f>D20+E21+F22</f>
        <v>364.10000000000014</v>
      </c>
      <c r="F46" s="277">
        <f>D40+E41+F42</f>
        <v>436.79999999999995</v>
      </c>
      <c r="G46" s="122"/>
      <c r="H46" s="122"/>
      <c r="I46" s="235"/>
      <c r="J46" s="122"/>
      <c r="K46" s="122"/>
      <c r="L46" s="122"/>
      <c r="M46" s="122"/>
    </row>
    <row r="47" spans="1:13" x14ac:dyDescent="0.3">
      <c r="B47" s="122"/>
      <c r="C47" s="122"/>
      <c r="D47" s="122"/>
      <c r="E47" s="122"/>
      <c r="F47" s="122"/>
      <c r="G47" s="122"/>
      <c r="H47" s="122"/>
      <c r="I47" s="235"/>
      <c r="J47" s="122"/>
      <c r="K47" s="122"/>
      <c r="L47" s="122"/>
      <c r="M47" s="122"/>
    </row>
    <row r="48" spans="1:13" x14ac:dyDescent="0.3">
      <c r="B48" s="122" t="s">
        <v>452</v>
      </c>
      <c r="C48" s="122"/>
      <c r="D48" s="122"/>
      <c r="E48" s="122"/>
      <c r="F48" s="290">
        <f>F45/E45-1</f>
        <v>9.0909090909090828E-2</v>
      </c>
      <c r="G48" s="122"/>
      <c r="H48" s="122"/>
      <c r="I48" s="235"/>
      <c r="J48" s="122"/>
      <c r="K48" s="122"/>
      <c r="L48" s="122"/>
      <c r="M48" s="122"/>
    </row>
    <row r="49" spans="2:13" x14ac:dyDescent="0.3">
      <c r="B49" s="122" t="s">
        <v>453</v>
      </c>
      <c r="C49" s="122"/>
      <c r="D49" s="122"/>
      <c r="E49" s="122"/>
      <c r="F49" s="290">
        <f>F46/E46-1</f>
        <v>0.19967042021422632</v>
      </c>
      <c r="G49" s="122"/>
      <c r="H49" s="122"/>
      <c r="I49" s="122"/>
      <c r="J49" s="122"/>
      <c r="K49" s="122"/>
      <c r="L49" s="122"/>
      <c r="M49" s="122"/>
    </row>
    <row r="50" spans="2:13" x14ac:dyDescent="0.3">
      <c r="B50" s="122"/>
      <c r="C50" s="122"/>
      <c r="D50" s="122"/>
      <c r="E50" s="122"/>
      <c r="F50" s="122"/>
      <c r="G50" s="122"/>
      <c r="H50" s="122"/>
      <c r="I50" s="122"/>
      <c r="J50" s="122"/>
      <c r="K50" s="122"/>
      <c r="L50" s="122"/>
      <c r="M50" s="122"/>
    </row>
  </sheetData>
  <mergeCells count="4">
    <mergeCell ref="A9:L10"/>
    <mergeCell ref="A28:L30"/>
    <mergeCell ref="C38:F38"/>
    <mergeCell ref="C18:F18"/>
  </mergeCells>
  <pageMargins left="0.7" right="0.7" top="0.75" bottom="0.75" header="0.3" footer="0.3"/>
  <pageSetup scale="84"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8A4B-629E-4AE7-9944-9A1FE2014765}">
  <dimension ref="A1:AL97"/>
  <sheetViews>
    <sheetView zoomScaleNormal="100" workbookViewId="0"/>
  </sheetViews>
  <sheetFormatPr defaultRowHeight="15.6" x14ac:dyDescent="0.3"/>
  <cols>
    <col min="1" max="1" width="13.33203125" style="1" customWidth="1"/>
    <col min="2" max="3" width="15.77734375" style="1" customWidth="1"/>
    <col min="4" max="4" width="19.77734375" style="1" customWidth="1"/>
    <col min="5" max="5" width="14" style="1" customWidth="1"/>
    <col min="6" max="6" width="21.77734375" style="1" customWidth="1"/>
    <col min="7" max="13" width="8.77734375" style="1" customWidth="1"/>
    <col min="14" max="40" width="4" style="1" customWidth="1"/>
    <col min="41" max="16384" width="8.88671875" style="1"/>
  </cols>
  <sheetData>
    <row r="1" spans="1:12" ht="17.399999999999999" x14ac:dyDescent="0.3">
      <c r="A1" s="2" t="s">
        <v>175</v>
      </c>
      <c r="B1" s="4"/>
      <c r="C1" s="9" t="s">
        <v>176</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181</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ht="46.8" x14ac:dyDescent="0.3">
      <c r="A5" s="13"/>
      <c r="B5" s="27" t="s">
        <v>39</v>
      </c>
      <c r="C5" s="27" t="s">
        <v>177</v>
      </c>
      <c r="D5" s="27" t="s">
        <v>178</v>
      </c>
      <c r="E5" s="27" t="s">
        <v>179</v>
      </c>
      <c r="F5" s="27" t="s">
        <v>180</v>
      </c>
      <c r="G5" s="12"/>
      <c r="H5" s="10"/>
      <c r="I5" s="10"/>
      <c r="J5" s="10"/>
      <c r="K5" s="10"/>
      <c r="L5" s="10"/>
    </row>
    <row r="6" spans="1:12" s="11" customFormat="1" x14ac:dyDescent="0.3">
      <c r="A6" s="13"/>
      <c r="B6" s="60">
        <v>2011</v>
      </c>
      <c r="C6" s="61">
        <v>5787959</v>
      </c>
      <c r="D6" s="61">
        <v>4930400</v>
      </c>
      <c r="E6" s="105">
        <v>1.036</v>
      </c>
      <c r="F6" s="61">
        <v>5107894</v>
      </c>
      <c r="G6" s="12"/>
      <c r="H6" s="10"/>
      <c r="I6" s="10"/>
      <c r="J6" s="10"/>
      <c r="K6" s="10"/>
      <c r="L6" s="10"/>
    </row>
    <row r="7" spans="1:12" s="11" customFormat="1" x14ac:dyDescent="0.3">
      <c r="A7" s="13"/>
      <c r="B7" s="60">
        <v>2012</v>
      </c>
      <c r="C7" s="61">
        <v>5275346</v>
      </c>
      <c r="D7" s="61">
        <v>4273000</v>
      </c>
      <c r="E7" s="105">
        <v>1.081</v>
      </c>
      <c r="F7" s="61">
        <v>4619113</v>
      </c>
      <c r="G7" s="12"/>
      <c r="H7" s="10"/>
      <c r="I7" s="10"/>
      <c r="J7" s="10"/>
      <c r="K7" s="10"/>
      <c r="L7" s="10"/>
    </row>
    <row r="8" spans="1:12" s="11" customFormat="1" x14ac:dyDescent="0.3">
      <c r="A8" s="13"/>
      <c r="B8" s="60">
        <v>2013</v>
      </c>
      <c r="C8" s="61">
        <v>4875955</v>
      </c>
      <c r="D8" s="61">
        <v>2896000</v>
      </c>
      <c r="E8" s="105">
        <v>1.1559999999999999</v>
      </c>
      <c r="F8" s="61">
        <v>3347776</v>
      </c>
      <c r="G8" s="12"/>
      <c r="H8" s="10"/>
      <c r="I8" s="10"/>
      <c r="J8" s="10"/>
      <c r="K8" s="10"/>
      <c r="L8" s="10"/>
    </row>
    <row r="9" spans="1:12" s="11" customFormat="1" x14ac:dyDescent="0.3">
      <c r="A9" s="12"/>
      <c r="B9" s="60">
        <v>2014</v>
      </c>
      <c r="C9" s="61">
        <v>4823604</v>
      </c>
      <c r="D9" s="61">
        <v>2864600</v>
      </c>
      <c r="E9" s="105">
        <v>1.2789999999999999</v>
      </c>
      <c r="F9" s="61">
        <v>3663823</v>
      </c>
      <c r="G9" s="12"/>
      <c r="H9" s="10"/>
      <c r="I9" s="10"/>
      <c r="J9" s="10"/>
      <c r="K9" s="10"/>
      <c r="L9" s="10"/>
    </row>
    <row r="10" spans="1:12" s="11" customFormat="1" x14ac:dyDescent="0.3">
      <c r="A10" s="12"/>
      <c r="B10" s="60">
        <v>2015</v>
      </c>
      <c r="C10" s="61">
        <v>5128880</v>
      </c>
      <c r="D10" s="61">
        <v>2447000</v>
      </c>
      <c r="E10" s="105">
        <v>1.4239999999999999</v>
      </c>
      <c r="F10" s="61">
        <v>3484528</v>
      </c>
      <c r="G10" s="12"/>
      <c r="H10" s="10"/>
      <c r="I10" s="10"/>
      <c r="J10" s="10"/>
      <c r="K10" s="10"/>
      <c r="L10" s="10"/>
    </row>
    <row r="11" spans="1:12" s="11" customFormat="1" x14ac:dyDescent="0.3">
      <c r="A11" s="13"/>
      <c r="B11" s="60">
        <v>2016</v>
      </c>
      <c r="C11" s="61">
        <v>5398707</v>
      </c>
      <c r="D11" s="61">
        <v>1780460</v>
      </c>
      <c r="E11" s="105">
        <v>1.8029999999999999</v>
      </c>
      <c r="F11" s="61">
        <v>3210169</v>
      </c>
      <c r="G11" s="12"/>
      <c r="H11" s="10"/>
      <c r="I11" s="10"/>
      <c r="J11" s="10"/>
      <c r="K11" s="10"/>
      <c r="L11" s="10"/>
    </row>
    <row r="12" spans="1:12" s="11" customFormat="1" x14ac:dyDescent="0.3">
      <c r="A12" s="12"/>
      <c r="B12" s="60">
        <v>2017</v>
      </c>
      <c r="C12" s="61">
        <v>5175419</v>
      </c>
      <c r="D12" s="61">
        <v>1395000</v>
      </c>
      <c r="E12" s="105">
        <v>2.5299999999999998</v>
      </c>
      <c r="F12" s="61">
        <v>3529350</v>
      </c>
      <c r="G12" s="12"/>
      <c r="H12" s="10"/>
      <c r="I12" s="10"/>
      <c r="J12" s="10"/>
      <c r="K12" s="10"/>
      <c r="L12" s="10"/>
    </row>
    <row r="13" spans="1:12" s="11" customFormat="1" x14ac:dyDescent="0.3">
      <c r="A13" s="12"/>
      <c r="B13" s="60">
        <v>2018</v>
      </c>
      <c r="C13" s="61">
        <v>4771338</v>
      </c>
      <c r="D13" s="61">
        <v>829600</v>
      </c>
      <c r="E13" s="105">
        <v>3.8010000000000002</v>
      </c>
      <c r="F13" s="61">
        <v>3153310</v>
      </c>
      <c r="G13" s="12"/>
      <c r="H13" s="10"/>
      <c r="I13" s="10"/>
      <c r="J13" s="10"/>
      <c r="K13" s="10"/>
      <c r="L13" s="10"/>
    </row>
    <row r="14" spans="1:12" x14ac:dyDescent="0.3">
      <c r="A14" s="12"/>
      <c r="B14" s="60">
        <v>2019</v>
      </c>
      <c r="C14" s="61">
        <v>4563448</v>
      </c>
      <c r="D14" s="61">
        <v>396900</v>
      </c>
      <c r="E14" s="105">
        <v>7.3159999999999998</v>
      </c>
      <c r="F14" s="61">
        <v>2903720</v>
      </c>
      <c r="G14" s="12"/>
      <c r="H14" s="9"/>
      <c r="I14" s="9"/>
      <c r="J14" s="9"/>
      <c r="K14" s="9"/>
      <c r="L14" s="9"/>
    </row>
    <row r="15" spans="1:12" x14ac:dyDescent="0.3">
      <c r="A15" s="12"/>
      <c r="B15" s="60">
        <v>2020</v>
      </c>
      <c r="C15" s="61">
        <v>4919527</v>
      </c>
      <c r="D15" s="61">
        <v>180900</v>
      </c>
      <c r="E15" s="105">
        <v>22.167999999999999</v>
      </c>
      <c r="F15" s="61">
        <v>4010191</v>
      </c>
      <c r="G15" s="12"/>
      <c r="H15" s="9"/>
      <c r="I15" s="9"/>
      <c r="J15" s="9"/>
      <c r="K15" s="9"/>
      <c r="L15" s="9"/>
    </row>
    <row r="16" spans="1:12" x14ac:dyDescent="0.3">
      <c r="A16" s="9"/>
      <c r="B16" s="9"/>
      <c r="C16" s="9"/>
      <c r="D16" s="9"/>
      <c r="E16" s="9"/>
      <c r="F16" s="9"/>
      <c r="G16" s="9"/>
      <c r="H16" s="9"/>
      <c r="I16" s="9"/>
      <c r="J16" s="9"/>
      <c r="K16" s="9"/>
      <c r="L16" s="9"/>
    </row>
    <row r="17" spans="1:18" x14ac:dyDescent="0.3">
      <c r="A17" s="9"/>
      <c r="B17" s="395" t="s">
        <v>182</v>
      </c>
      <c r="C17" s="395"/>
      <c r="D17" s="9"/>
      <c r="E17" s="9"/>
      <c r="F17" s="9"/>
      <c r="G17" s="9"/>
      <c r="H17" s="9"/>
      <c r="I17" s="9"/>
      <c r="J17" s="9"/>
      <c r="K17" s="9"/>
      <c r="L17" s="9"/>
    </row>
    <row r="18" spans="1:18" ht="16.2" customHeight="1" x14ac:dyDescent="0.3">
      <c r="A18" s="9"/>
      <c r="B18" s="66" t="s">
        <v>183</v>
      </c>
      <c r="C18" s="66" t="s">
        <v>184</v>
      </c>
      <c r="D18" s="9"/>
      <c r="E18" s="9"/>
      <c r="F18" s="9"/>
      <c r="G18" s="9"/>
      <c r="H18" s="9"/>
      <c r="I18" s="9"/>
      <c r="J18" s="9"/>
      <c r="K18" s="9"/>
      <c r="L18" s="9"/>
    </row>
    <row r="19" spans="1:18" x14ac:dyDescent="0.3">
      <c r="A19" s="9"/>
      <c r="B19" s="92">
        <v>41275</v>
      </c>
      <c r="C19" s="93">
        <v>0.06</v>
      </c>
      <c r="D19" s="9"/>
      <c r="E19" s="9"/>
      <c r="F19" s="9"/>
      <c r="G19" s="9"/>
      <c r="H19" s="9"/>
      <c r="I19" s="9"/>
      <c r="J19" s="9"/>
      <c r="K19" s="9"/>
      <c r="L19" s="9"/>
    </row>
    <row r="20" spans="1:18" x14ac:dyDescent="0.3">
      <c r="A20" s="9"/>
      <c r="B20" s="92">
        <v>42552</v>
      </c>
      <c r="C20" s="69" t="s">
        <v>185</v>
      </c>
      <c r="D20" s="9"/>
      <c r="E20" s="9"/>
      <c r="F20" s="9"/>
      <c r="G20" s="9"/>
      <c r="H20" s="9"/>
      <c r="I20" s="9"/>
      <c r="J20" s="9"/>
      <c r="K20" s="9"/>
      <c r="L20" s="9"/>
    </row>
    <row r="21" spans="1:18" x14ac:dyDescent="0.3">
      <c r="A21" s="9"/>
      <c r="B21" s="92">
        <v>43831</v>
      </c>
      <c r="C21" s="93">
        <v>0.05</v>
      </c>
      <c r="D21" s="9"/>
      <c r="E21" s="9"/>
      <c r="F21" s="9"/>
      <c r="G21" s="9"/>
      <c r="H21" s="9"/>
      <c r="I21" s="9"/>
      <c r="J21" s="9"/>
      <c r="K21" s="9"/>
      <c r="L21" s="9"/>
    </row>
    <row r="22" spans="1:18" x14ac:dyDescent="0.3">
      <c r="A22" s="9"/>
      <c r="B22" s="9"/>
      <c r="C22" s="9"/>
      <c r="D22" s="9"/>
      <c r="E22" s="9"/>
      <c r="F22" s="9"/>
      <c r="G22" s="9"/>
      <c r="H22" s="9"/>
      <c r="I22" s="9"/>
      <c r="J22" s="9"/>
      <c r="K22" s="9"/>
      <c r="L22" s="9"/>
    </row>
    <row r="23" spans="1:18" x14ac:dyDescent="0.3">
      <c r="A23" s="9"/>
      <c r="B23" s="43" t="s">
        <v>186</v>
      </c>
      <c r="C23" s="9"/>
      <c r="D23" s="9"/>
      <c r="E23" s="9"/>
      <c r="F23" s="9"/>
      <c r="G23" s="9"/>
      <c r="H23" s="9"/>
      <c r="I23" s="9"/>
      <c r="J23" s="9"/>
      <c r="K23" s="9"/>
      <c r="L23" s="9"/>
    </row>
    <row r="24" spans="1:18" x14ac:dyDescent="0.3">
      <c r="A24" s="9"/>
      <c r="B24" s="43" t="s">
        <v>187</v>
      </c>
      <c r="C24" s="9"/>
      <c r="D24" s="9"/>
      <c r="E24" s="9"/>
      <c r="F24" s="9"/>
      <c r="G24" s="9"/>
      <c r="H24" s="9"/>
      <c r="I24" s="9"/>
      <c r="J24" s="9"/>
      <c r="K24" s="9"/>
      <c r="L24" s="9"/>
    </row>
    <row r="25" spans="1:18" x14ac:dyDescent="0.3">
      <c r="A25" s="9"/>
      <c r="B25" s="43" t="s">
        <v>188</v>
      </c>
      <c r="C25" s="9"/>
      <c r="D25" s="9"/>
      <c r="E25" s="9"/>
      <c r="F25" s="9"/>
      <c r="G25" s="9"/>
      <c r="H25" s="9"/>
      <c r="I25" s="9"/>
      <c r="J25" s="9"/>
      <c r="K25" s="9"/>
      <c r="L25" s="9"/>
    </row>
    <row r="26" spans="1:18" x14ac:dyDescent="0.3">
      <c r="A26" s="9"/>
      <c r="B26" s="9"/>
      <c r="C26" s="9"/>
      <c r="D26" s="9"/>
      <c r="E26" s="9"/>
      <c r="F26" s="9"/>
      <c r="G26" s="9"/>
      <c r="H26" s="9"/>
      <c r="I26" s="9"/>
      <c r="J26" s="9"/>
      <c r="K26" s="9"/>
      <c r="L26" s="9"/>
    </row>
    <row r="28" spans="1:18" x14ac:dyDescent="0.3">
      <c r="A28" s="6" t="s">
        <v>5</v>
      </c>
      <c r="B28" s="9" t="s">
        <v>189</v>
      </c>
      <c r="C28" s="4"/>
      <c r="D28" s="4"/>
      <c r="E28" s="4"/>
      <c r="F28" s="4"/>
      <c r="G28" s="4"/>
      <c r="H28" s="4"/>
      <c r="I28" s="4"/>
      <c r="J28" s="4"/>
      <c r="K28" s="4"/>
      <c r="L28" s="4"/>
      <c r="M28" s="8"/>
      <c r="N28" s="8"/>
      <c r="O28" s="8"/>
      <c r="P28" s="8"/>
      <c r="Q28" s="8"/>
      <c r="R28" s="8"/>
    </row>
    <row r="29" spans="1:18" x14ac:dyDescent="0.3">
      <c r="A29" s="7"/>
      <c r="B29" s="7"/>
      <c r="C29" s="7"/>
      <c r="D29" s="7"/>
      <c r="E29" s="7"/>
      <c r="F29" s="7"/>
      <c r="G29" s="7"/>
      <c r="H29" s="7"/>
      <c r="I29" s="7"/>
      <c r="J29" s="7"/>
      <c r="K29" s="7"/>
      <c r="L29" s="7"/>
      <c r="M29" s="7"/>
    </row>
    <row r="30" spans="1:18" x14ac:dyDescent="0.3">
      <c r="A30" s="7" t="s">
        <v>2</v>
      </c>
      <c r="B30" s="7"/>
      <c r="C30" s="7"/>
      <c r="D30" s="7"/>
      <c r="E30" s="7"/>
      <c r="F30" s="7"/>
      <c r="G30" s="7"/>
      <c r="H30" s="7"/>
      <c r="I30" s="7"/>
      <c r="J30" s="7"/>
      <c r="K30" s="7"/>
      <c r="L30" s="7"/>
      <c r="M30" s="7"/>
      <c r="N30" s="8"/>
    </row>
    <row r="31" spans="1:18" x14ac:dyDescent="0.3">
      <c r="A31" s="7"/>
      <c r="B31" s="7"/>
      <c r="C31" s="7"/>
      <c r="D31" s="7"/>
      <c r="E31" s="7"/>
      <c r="F31" s="7"/>
      <c r="G31" s="7"/>
      <c r="H31" s="7"/>
      <c r="I31" s="7"/>
      <c r="J31" s="7"/>
      <c r="K31" s="7"/>
      <c r="L31" s="7"/>
      <c r="M31" s="7"/>
      <c r="N31" s="8"/>
    </row>
    <row r="32" spans="1:18" ht="16.2" x14ac:dyDescent="0.35">
      <c r="A32" s="100" t="s">
        <v>237</v>
      </c>
      <c r="B32" s="7"/>
      <c r="C32" s="7"/>
      <c r="D32" s="7"/>
      <c r="E32" s="7"/>
      <c r="F32" s="7"/>
      <c r="G32" s="7"/>
      <c r="H32" s="7"/>
      <c r="I32" s="7"/>
      <c r="J32" s="7"/>
      <c r="K32" s="7"/>
      <c r="L32" s="7"/>
      <c r="M32" s="7"/>
      <c r="N32" s="8"/>
    </row>
    <row r="33" spans="1:38" x14ac:dyDescent="0.3">
      <c r="G33" s="398">
        <v>2013</v>
      </c>
      <c r="H33" s="398"/>
      <c r="I33" s="398">
        <f>G33+1</f>
        <v>2014</v>
      </c>
      <c r="J33" s="398"/>
      <c r="K33" s="398">
        <f>I33+1</f>
        <v>2015</v>
      </c>
      <c r="L33" s="398"/>
      <c r="M33" s="398">
        <f>K33+1</f>
        <v>2016</v>
      </c>
      <c r="N33" s="398"/>
      <c r="O33" s="398"/>
      <c r="P33" s="387">
        <f>M33+1</f>
        <v>2017</v>
      </c>
      <c r="Q33" s="387"/>
      <c r="R33" s="387"/>
      <c r="S33" s="387"/>
      <c r="T33" s="398">
        <f>P33+1</f>
        <v>2018</v>
      </c>
      <c r="U33" s="398"/>
      <c r="V33" s="398"/>
      <c r="W33" s="398"/>
      <c r="X33" s="398">
        <f>T33+1</f>
        <v>2019</v>
      </c>
      <c r="Y33" s="398"/>
      <c r="Z33" s="398"/>
      <c r="AA33" s="398"/>
      <c r="AB33" s="398">
        <f>X33+1</f>
        <v>2020</v>
      </c>
      <c r="AC33" s="398"/>
      <c r="AD33" s="398"/>
      <c r="AE33" s="398"/>
      <c r="AF33" s="248"/>
      <c r="AG33" s="248"/>
      <c r="AH33" s="248"/>
      <c r="AI33" s="248"/>
      <c r="AJ33" s="248"/>
      <c r="AK33" s="248"/>
      <c r="AL33" s="248"/>
    </row>
    <row r="34" spans="1:38" ht="19.95" customHeight="1" x14ac:dyDescent="0.3">
      <c r="G34" s="244"/>
      <c r="H34" s="246"/>
      <c r="I34" s="244"/>
      <c r="J34" s="246"/>
      <c r="K34" s="244"/>
      <c r="L34" s="246"/>
      <c r="M34" s="245"/>
      <c r="N34" s="245"/>
      <c r="O34" s="246"/>
      <c r="P34" s="244"/>
      <c r="Q34" s="245"/>
      <c r="R34" s="245"/>
      <c r="S34" s="246"/>
      <c r="T34" s="244"/>
      <c r="U34" s="245"/>
      <c r="V34" s="245"/>
      <c r="W34" s="246"/>
      <c r="X34" s="244"/>
      <c r="Y34" s="245"/>
      <c r="Z34" s="245"/>
      <c r="AA34" s="246"/>
      <c r="AB34" s="244"/>
      <c r="AC34" s="245"/>
      <c r="AD34" s="245"/>
      <c r="AE34" s="246"/>
    </row>
    <row r="35" spans="1:38" ht="19.95" customHeight="1" x14ac:dyDescent="0.3">
      <c r="G35" s="311" t="s">
        <v>317</v>
      </c>
      <c r="H35" s="249"/>
      <c r="I35" s="312" t="s">
        <v>265</v>
      </c>
      <c r="J35" s="249"/>
      <c r="K35" s="247"/>
      <c r="L35" s="249"/>
      <c r="M35" s="248"/>
      <c r="N35" s="248"/>
      <c r="O35" s="249"/>
      <c r="P35" s="247"/>
      <c r="Q35" s="248"/>
      <c r="R35" s="248" t="s">
        <v>318</v>
      </c>
      <c r="S35" s="249"/>
      <c r="T35" s="247"/>
      <c r="U35" s="248"/>
      <c r="V35" s="248"/>
      <c r="W35" s="249"/>
      <c r="X35" s="247"/>
      <c r="Y35" s="248"/>
      <c r="Z35" s="248"/>
      <c r="AA35" s="249"/>
      <c r="AB35" s="247"/>
      <c r="AC35" s="248"/>
      <c r="AD35" s="248"/>
      <c r="AE35" s="249"/>
    </row>
    <row r="36" spans="1:38" ht="19.95" customHeight="1" x14ac:dyDescent="0.3">
      <c r="G36" s="247"/>
      <c r="H36" s="249"/>
      <c r="I36" s="247"/>
      <c r="J36" s="249"/>
      <c r="K36" s="247"/>
      <c r="L36" s="249"/>
      <c r="M36" s="248"/>
      <c r="N36" s="248"/>
      <c r="O36" s="249"/>
      <c r="P36" s="247"/>
      <c r="Q36" s="248"/>
      <c r="R36" s="248"/>
      <c r="S36" s="249"/>
      <c r="T36" s="247"/>
      <c r="U36" s="248"/>
      <c r="V36" s="248"/>
      <c r="W36" s="249"/>
      <c r="X36" s="247"/>
      <c r="Y36" s="248"/>
      <c r="Z36" s="248"/>
      <c r="AA36" s="249"/>
      <c r="AB36" s="247"/>
      <c r="AC36" s="248"/>
      <c r="AD36" s="248" t="s">
        <v>391</v>
      </c>
      <c r="AE36" s="249"/>
    </row>
    <row r="37" spans="1:38" ht="19.95" customHeight="1" x14ac:dyDescent="0.3">
      <c r="G37" s="250"/>
      <c r="H37" s="252"/>
      <c r="I37" s="250"/>
      <c r="J37" s="252"/>
      <c r="K37" s="250"/>
      <c r="L37" s="252"/>
      <c r="M37" s="251"/>
      <c r="N37" s="251"/>
      <c r="O37" s="252"/>
      <c r="P37" s="250"/>
      <c r="Q37" s="251"/>
      <c r="R37" s="251"/>
      <c r="S37" s="252"/>
      <c r="T37" s="250"/>
      <c r="U37" s="251"/>
      <c r="V37" s="251"/>
      <c r="W37" s="252"/>
      <c r="X37" s="250"/>
      <c r="Y37" s="251"/>
      <c r="Z37" s="251"/>
      <c r="AA37" s="252"/>
      <c r="AB37" s="250"/>
      <c r="AC37" s="251"/>
      <c r="AD37" s="251"/>
      <c r="AE37" s="252"/>
    </row>
    <row r="38" spans="1:38" x14ac:dyDescent="0.3">
      <c r="G38" s="253" t="s">
        <v>388</v>
      </c>
      <c r="H38" s="248"/>
      <c r="I38" s="248"/>
      <c r="J38" s="248"/>
      <c r="K38" s="248"/>
      <c r="L38" s="248"/>
      <c r="M38" s="248"/>
      <c r="N38" s="253" t="s">
        <v>389</v>
      </c>
      <c r="O38" s="248"/>
      <c r="P38" s="248"/>
      <c r="Q38" s="248"/>
      <c r="R38" s="248"/>
      <c r="S38" s="248"/>
      <c r="T38" s="248"/>
      <c r="V38" s="248"/>
      <c r="W38" s="248"/>
      <c r="X38" s="248"/>
      <c r="Y38" s="248"/>
      <c r="Z38" s="248"/>
      <c r="AA38" s="248"/>
      <c r="AB38" s="253" t="s">
        <v>390</v>
      </c>
      <c r="AC38" s="248"/>
      <c r="AD38" s="248"/>
      <c r="AE38" s="248"/>
      <c r="AF38" s="248"/>
      <c r="AG38" s="248"/>
      <c r="AH38" s="248"/>
      <c r="AJ38" s="248"/>
      <c r="AK38" s="248"/>
      <c r="AL38" s="248"/>
    </row>
    <row r="40" spans="1:38" x14ac:dyDescent="0.3">
      <c r="A40" s="254" t="s">
        <v>182</v>
      </c>
      <c r="B40" s="254"/>
      <c r="C40" s="255"/>
      <c r="D40" s="256"/>
      <c r="E40" s="255"/>
      <c r="F40" s="255"/>
      <c r="G40" s="255"/>
      <c r="H40" s="255"/>
      <c r="I40" s="255"/>
      <c r="J40" s="255"/>
      <c r="K40" s="255"/>
      <c r="L40" s="255"/>
      <c r="M40" s="255"/>
      <c r="N40" s="140"/>
      <c r="O40" s="140"/>
    </row>
    <row r="41" spans="1:38" x14ac:dyDescent="0.3">
      <c r="A41" s="256" t="s">
        <v>183</v>
      </c>
      <c r="B41" s="256" t="s">
        <v>373</v>
      </c>
      <c r="C41" s="256" t="s">
        <v>397</v>
      </c>
      <c r="D41" s="399" t="s">
        <v>399</v>
      </c>
      <c r="E41" s="399"/>
      <c r="F41" s="399"/>
      <c r="G41" s="399"/>
      <c r="H41" s="399"/>
      <c r="I41" s="399"/>
      <c r="J41" s="399"/>
      <c r="K41" s="399"/>
      <c r="L41" s="399"/>
      <c r="M41" s="399"/>
    </row>
    <row r="42" spans="1:38" x14ac:dyDescent="0.3">
      <c r="A42" s="257" t="s">
        <v>392</v>
      </c>
      <c r="B42" s="257" t="s">
        <v>396</v>
      </c>
      <c r="C42" s="257" t="s">
        <v>398</v>
      </c>
      <c r="D42" s="257">
        <v>2011</v>
      </c>
      <c r="E42" s="257">
        <v>2012</v>
      </c>
      <c r="F42" s="257">
        <v>2013</v>
      </c>
      <c r="G42" s="257">
        <v>2014</v>
      </c>
      <c r="H42" s="257">
        <v>2015</v>
      </c>
      <c r="I42" s="257">
        <v>2016</v>
      </c>
      <c r="J42" s="257">
        <v>2017</v>
      </c>
      <c r="K42" s="257">
        <v>2018</v>
      </c>
      <c r="L42" s="257">
        <v>2019</v>
      </c>
      <c r="M42" s="257">
        <v>2020</v>
      </c>
    </row>
    <row r="43" spans="1:38" x14ac:dyDescent="0.3">
      <c r="A43" s="258" t="s">
        <v>393</v>
      </c>
      <c r="B43" s="259"/>
      <c r="C43" s="260">
        <v>1</v>
      </c>
      <c r="D43" s="261">
        <v>1</v>
      </c>
      <c r="E43" s="261">
        <v>1</v>
      </c>
      <c r="F43" s="261">
        <v>0.5</v>
      </c>
      <c r="G43" s="261">
        <v>0</v>
      </c>
      <c r="H43" s="261">
        <v>0</v>
      </c>
      <c r="I43" s="261">
        <v>0</v>
      </c>
      <c r="J43" s="261">
        <v>0</v>
      </c>
      <c r="K43" s="261">
        <v>0</v>
      </c>
      <c r="L43" s="261">
        <v>0</v>
      </c>
      <c r="M43" s="261">
        <v>0</v>
      </c>
    </row>
    <row r="44" spans="1:38" x14ac:dyDescent="0.3">
      <c r="A44" s="258">
        <f>B19</f>
        <v>41275</v>
      </c>
      <c r="B44" s="259">
        <v>0.06</v>
      </c>
      <c r="C44" s="260">
        <f>C43*(1+B44)</f>
        <v>1.06</v>
      </c>
      <c r="D44" s="261">
        <v>0</v>
      </c>
      <c r="E44" s="261">
        <v>0</v>
      </c>
      <c r="F44" s="261">
        <v>0.5</v>
      </c>
      <c r="G44" s="261">
        <v>1</v>
      </c>
      <c r="H44" s="261">
        <v>1</v>
      </c>
      <c r="I44" s="261">
        <v>0.875</v>
      </c>
      <c r="J44" s="261">
        <v>0.125</v>
      </c>
      <c r="K44" s="261">
        <v>0</v>
      </c>
      <c r="L44" s="261">
        <v>0</v>
      </c>
      <c r="M44" s="261">
        <v>0</v>
      </c>
    </row>
    <row r="45" spans="1:38" x14ac:dyDescent="0.3">
      <c r="A45" s="258">
        <f t="shared" ref="A45:A46" si="0">B20</f>
        <v>42552</v>
      </c>
      <c r="B45" s="259">
        <v>-0.03</v>
      </c>
      <c r="C45" s="260">
        <f>C44*(1+B45)</f>
        <v>1.0282</v>
      </c>
      <c r="D45" s="261">
        <v>0</v>
      </c>
      <c r="E45" s="261">
        <v>0</v>
      </c>
      <c r="F45" s="261">
        <v>0</v>
      </c>
      <c r="G45" s="261">
        <v>0</v>
      </c>
      <c r="H45" s="261">
        <v>0</v>
      </c>
      <c r="I45" s="261">
        <v>0.125</v>
      </c>
      <c r="J45" s="261">
        <v>0.875</v>
      </c>
      <c r="K45" s="261">
        <v>1</v>
      </c>
      <c r="L45" s="261">
        <v>1</v>
      </c>
      <c r="M45" s="261">
        <v>0.5</v>
      </c>
    </row>
    <row r="46" spans="1:38" x14ac:dyDescent="0.3">
      <c r="A46" s="262">
        <f t="shared" si="0"/>
        <v>43831</v>
      </c>
      <c r="B46" s="263">
        <v>0.05</v>
      </c>
      <c r="C46" s="264">
        <f>C45*(1+B46)</f>
        <v>1.07961</v>
      </c>
      <c r="D46" s="265">
        <v>0</v>
      </c>
      <c r="E46" s="265">
        <v>0</v>
      </c>
      <c r="F46" s="265">
        <v>0</v>
      </c>
      <c r="G46" s="265">
        <v>0</v>
      </c>
      <c r="H46" s="265">
        <v>0</v>
      </c>
      <c r="I46" s="265">
        <v>0</v>
      </c>
      <c r="J46" s="265">
        <v>0</v>
      </c>
      <c r="K46" s="265">
        <v>0</v>
      </c>
      <c r="L46" s="265">
        <v>0</v>
      </c>
      <c r="M46" s="265">
        <v>0.5</v>
      </c>
    </row>
    <row r="47" spans="1:38" x14ac:dyDescent="0.3">
      <c r="A47" s="255"/>
      <c r="B47" s="255"/>
      <c r="C47" s="256"/>
      <c r="D47" s="255"/>
      <c r="E47" s="255"/>
      <c r="F47" s="255"/>
      <c r="G47" s="255"/>
      <c r="H47" s="255"/>
      <c r="I47" s="255"/>
      <c r="J47" s="255"/>
      <c r="K47" s="255"/>
      <c r="L47" s="255"/>
      <c r="M47" s="255"/>
    </row>
    <row r="48" spans="1:38" x14ac:dyDescent="0.3">
      <c r="A48" s="266" t="s">
        <v>394</v>
      </c>
      <c r="B48" s="255"/>
      <c r="C48" s="256"/>
      <c r="D48" s="260">
        <f t="shared" ref="D48:M48" si="1">SUMPRODUCT($C$43:$C$46,D43:D46)</f>
        <v>1</v>
      </c>
      <c r="E48" s="260">
        <f t="shared" si="1"/>
        <v>1</v>
      </c>
      <c r="F48" s="260">
        <f t="shared" si="1"/>
        <v>1.03</v>
      </c>
      <c r="G48" s="260">
        <f t="shared" si="1"/>
        <v>1.06</v>
      </c>
      <c r="H48" s="260">
        <f t="shared" si="1"/>
        <v>1.06</v>
      </c>
      <c r="I48" s="260">
        <f t="shared" si="1"/>
        <v>1.056025</v>
      </c>
      <c r="J48" s="260">
        <f t="shared" si="1"/>
        <v>1.0321750000000001</v>
      </c>
      <c r="K48" s="260">
        <f t="shared" si="1"/>
        <v>1.0282</v>
      </c>
      <c r="L48" s="260">
        <f t="shared" si="1"/>
        <v>1.0282</v>
      </c>
      <c r="M48" s="260">
        <f t="shared" si="1"/>
        <v>1.0539049999999999</v>
      </c>
    </row>
    <row r="49" spans="1:13" x14ac:dyDescent="0.3">
      <c r="A49" s="266" t="s">
        <v>395</v>
      </c>
      <c r="B49" s="255"/>
      <c r="C49" s="256"/>
      <c r="D49" s="260">
        <f t="shared" ref="D49:M49" si="2">$M$48/D48</f>
        <v>1.0539049999999999</v>
      </c>
      <c r="E49" s="260">
        <f t="shared" si="2"/>
        <v>1.0539049999999999</v>
      </c>
      <c r="F49" s="260">
        <f t="shared" si="2"/>
        <v>1.0232087378640775</v>
      </c>
      <c r="G49" s="260">
        <f t="shared" si="2"/>
        <v>0.99424999999999986</v>
      </c>
      <c r="H49" s="260">
        <f t="shared" si="2"/>
        <v>0.99424999999999986</v>
      </c>
      <c r="I49" s="260">
        <f t="shared" si="2"/>
        <v>0.99799247176913419</v>
      </c>
      <c r="J49" s="260">
        <f t="shared" si="2"/>
        <v>1.0210526315789472</v>
      </c>
      <c r="K49" s="260">
        <f t="shared" si="2"/>
        <v>1.0249999999999999</v>
      </c>
      <c r="L49" s="260">
        <f t="shared" si="2"/>
        <v>1.0249999999999999</v>
      </c>
      <c r="M49" s="260">
        <f t="shared" si="2"/>
        <v>1</v>
      </c>
    </row>
    <row r="51" spans="1:13" x14ac:dyDescent="0.3">
      <c r="A51" s="6" t="s">
        <v>6</v>
      </c>
      <c r="B51" s="9" t="s">
        <v>190</v>
      </c>
      <c r="C51" s="4"/>
      <c r="D51" s="4"/>
      <c r="E51" s="4"/>
      <c r="F51" s="4"/>
      <c r="G51" s="4"/>
      <c r="H51" s="4"/>
      <c r="I51" s="4"/>
      <c r="J51" s="4"/>
      <c r="K51" s="4"/>
      <c r="L51" s="4"/>
    </row>
    <row r="52" spans="1:13" x14ac:dyDescent="0.3">
      <c r="A52" s="7"/>
      <c r="B52" s="7"/>
      <c r="C52" s="7"/>
      <c r="D52" s="7"/>
      <c r="E52" s="7"/>
      <c r="F52" s="7"/>
      <c r="G52" s="7"/>
      <c r="H52" s="7"/>
      <c r="I52" s="7"/>
      <c r="J52" s="7"/>
      <c r="K52" s="7"/>
      <c r="L52" s="7"/>
    </row>
    <row r="53" spans="1:13" x14ac:dyDescent="0.3">
      <c r="A53" s="7" t="s">
        <v>2</v>
      </c>
      <c r="B53" s="7"/>
      <c r="C53" s="7"/>
      <c r="D53" s="7"/>
      <c r="E53" s="7"/>
      <c r="F53" s="7"/>
      <c r="G53" s="7"/>
      <c r="H53" s="7"/>
      <c r="I53" s="7"/>
      <c r="J53" s="7"/>
      <c r="K53" s="7"/>
      <c r="L53" s="7"/>
    </row>
    <row r="54" spans="1:13" x14ac:dyDescent="0.3">
      <c r="A54" s="7"/>
      <c r="B54" s="7"/>
      <c r="C54" s="7"/>
      <c r="D54" s="7"/>
      <c r="E54" s="7"/>
      <c r="F54" s="7"/>
      <c r="G54" s="7"/>
      <c r="H54" s="7"/>
      <c r="I54" s="7"/>
      <c r="J54" s="7"/>
      <c r="K54" s="7"/>
      <c r="L54" s="7"/>
    </row>
    <row r="55" spans="1:13" ht="46.8" x14ac:dyDescent="0.3">
      <c r="A55" s="225" t="s">
        <v>404</v>
      </c>
      <c r="B55" s="243" t="s">
        <v>400</v>
      </c>
      <c r="C55" s="156" t="s">
        <v>401</v>
      </c>
      <c r="D55" s="156" t="s">
        <v>402</v>
      </c>
      <c r="E55" s="156" t="s">
        <v>403</v>
      </c>
      <c r="F55" s="129" t="s">
        <v>412</v>
      </c>
      <c r="G55" s="7"/>
      <c r="H55" s="7"/>
      <c r="I55" s="7"/>
      <c r="J55" s="7"/>
      <c r="K55" s="7"/>
      <c r="L55" s="7"/>
    </row>
    <row r="56" spans="1:13" x14ac:dyDescent="0.3">
      <c r="A56" s="267">
        <v>2011</v>
      </c>
      <c r="B56" s="268">
        <f>HLOOKUP(A56,$D$42:$M$49,8)</f>
        <v>1.0539049999999999</v>
      </c>
      <c r="C56" s="272">
        <v>0.8</v>
      </c>
      <c r="D56" s="269">
        <f>(F6*C56)/(B56*C6)</f>
        <v>0.66989224795819058</v>
      </c>
      <c r="E56" s="269">
        <f>$D$66*B56/C56</f>
        <v>0.84480523622850112</v>
      </c>
      <c r="F56" s="210">
        <f>E56*C6</f>
        <v>4889698.0702758795</v>
      </c>
      <c r="M56" s="7"/>
    </row>
    <row r="57" spans="1:13" x14ac:dyDescent="0.3">
      <c r="A57" s="267">
        <v>2012</v>
      </c>
      <c r="B57" s="268">
        <f t="shared" ref="B57:B65" si="3">HLOOKUP(A57,$D$42:$M$49,8)</f>
        <v>1.0539049999999999</v>
      </c>
      <c r="C57" s="272">
        <v>0.8</v>
      </c>
      <c r="D57" s="269">
        <f t="shared" ref="D57:D64" si="4">(F7*C57)/(B57*C7)</f>
        <v>0.66465482126598263</v>
      </c>
      <c r="E57" s="269">
        <f t="shared" ref="E57:E65" si="5">$D$66*B57/C57</f>
        <v>0.84480523622850112</v>
      </c>
      <c r="F57" s="210">
        <f t="shared" ref="F57:F65" si="6">E57*C7</f>
        <v>4456639.9237170788</v>
      </c>
      <c r="M57" s="7"/>
    </row>
    <row r="58" spans="1:13" x14ac:dyDescent="0.3">
      <c r="A58" s="267">
        <v>2013</v>
      </c>
      <c r="B58" s="268">
        <f t="shared" si="3"/>
        <v>1.0232087378640775</v>
      </c>
      <c r="C58" s="272">
        <v>0.8</v>
      </c>
      <c r="D58" s="269">
        <f t="shared" si="4"/>
        <v>0.5368122891544429</v>
      </c>
      <c r="E58" s="269">
        <f t="shared" si="5"/>
        <v>0.82019925847427289</v>
      </c>
      <c r="F58" s="210">
        <f t="shared" si="6"/>
        <v>3999254.6753539233</v>
      </c>
      <c r="M58" s="7"/>
    </row>
    <row r="59" spans="1:13" x14ac:dyDescent="0.3">
      <c r="A59" s="267">
        <v>2014</v>
      </c>
      <c r="B59" s="268">
        <f t="shared" si="3"/>
        <v>0.99424999999999986</v>
      </c>
      <c r="C59" s="272">
        <v>0.9</v>
      </c>
      <c r="D59" s="269">
        <f t="shared" si="4"/>
        <v>0.68755864622342722</v>
      </c>
      <c r="E59" s="269">
        <f t="shared" si="5"/>
        <v>0.7084320639232714</v>
      </c>
      <c r="F59" s="210">
        <f t="shared" si="6"/>
        <v>3417195.7372685475</v>
      </c>
      <c r="M59" s="7"/>
    </row>
    <row r="60" spans="1:13" x14ac:dyDescent="0.3">
      <c r="A60" s="267">
        <v>2015</v>
      </c>
      <c r="B60" s="268">
        <f t="shared" si="3"/>
        <v>0.99424999999999986</v>
      </c>
      <c r="C60" s="272">
        <v>1</v>
      </c>
      <c r="D60" s="269">
        <f t="shared" si="4"/>
        <v>0.68332265708683138</v>
      </c>
      <c r="E60" s="269">
        <f t="shared" si="5"/>
        <v>0.6375888575309443</v>
      </c>
      <c r="F60" s="210">
        <f t="shared" si="6"/>
        <v>3270116.7396133095</v>
      </c>
      <c r="M60" s="7"/>
    </row>
    <row r="61" spans="1:13" x14ac:dyDescent="0.3">
      <c r="A61" s="267">
        <v>2016</v>
      </c>
      <c r="B61" s="268">
        <f t="shared" si="3"/>
        <v>0.99799247176913419</v>
      </c>
      <c r="C61" s="272">
        <v>1</v>
      </c>
      <c r="D61" s="269">
        <f t="shared" si="4"/>
        <v>0.59581423263821331</v>
      </c>
      <c r="E61" s="269">
        <f t="shared" si="5"/>
        <v>0.63998881558940457</v>
      </c>
      <c r="F61" s="210">
        <f t="shared" si="6"/>
        <v>3455112.0986442277</v>
      </c>
      <c r="M61" s="7"/>
    </row>
    <row r="62" spans="1:13" x14ac:dyDescent="0.3">
      <c r="A62" s="267">
        <v>2017</v>
      </c>
      <c r="B62" s="268">
        <f t="shared" si="3"/>
        <v>1.0210526315789472</v>
      </c>
      <c r="C62" s="272">
        <v>1</v>
      </c>
      <c r="D62" s="269">
        <f t="shared" si="4"/>
        <v>0.66788406830581593</v>
      </c>
      <c r="E62" s="269">
        <f t="shared" si="5"/>
        <v>0.65477674714346012</v>
      </c>
      <c r="F62" s="210">
        <f t="shared" si="6"/>
        <v>3388744.0179244592</v>
      </c>
      <c r="M62" s="7"/>
    </row>
    <row r="63" spans="1:13" x14ac:dyDescent="0.3">
      <c r="A63" s="267">
        <v>2018</v>
      </c>
      <c r="B63" s="268">
        <f t="shared" si="3"/>
        <v>1.0249999999999999</v>
      </c>
      <c r="C63" s="272">
        <v>1</v>
      </c>
      <c r="D63" s="269">
        <f t="shared" si="4"/>
        <v>0.6447667300031984</v>
      </c>
      <c r="E63" s="269">
        <f t="shared" si="5"/>
        <v>0.65730810054736521</v>
      </c>
      <c r="F63" s="210">
        <f t="shared" si="6"/>
        <v>3136239.1178494645</v>
      </c>
      <c r="M63" s="7"/>
    </row>
    <row r="64" spans="1:13" x14ac:dyDescent="0.3">
      <c r="A64" s="267">
        <v>2019</v>
      </c>
      <c r="B64" s="268">
        <f t="shared" si="3"/>
        <v>1.0249999999999999</v>
      </c>
      <c r="C64" s="272">
        <v>1</v>
      </c>
      <c r="D64" s="269">
        <f t="shared" si="4"/>
        <v>0.62078006826759291</v>
      </c>
      <c r="E64" s="269">
        <f t="shared" si="5"/>
        <v>0.65730810054736521</v>
      </c>
      <c r="F64" s="210">
        <f t="shared" si="6"/>
        <v>2999591.3368266728</v>
      </c>
      <c r="M64" s="7"/>
    </row>
    <row r="65" spans="1:14" x14ac:dyDescent="0.3">
      <c r="A65" s="274">
        <v>2020</v>
      </c>
      <c r="B65" s="275">
        <f t="shared" si="3"/>
        <v>1</v>
      </c>
      <c r="C65" s="273">
        <v>1</v>
      </c>
      <c r="D65" s="270"/>
      <c r="E65" s="270">
        <f t="shared" si="5"/>
        <v>0.64127619565596616</v>
      </c>
      <c r="F65" s="213">
        <f t="shared" si="6"/>
        <v>3154775.5589868082</v>
      </c>
      <c r="M65" s="7"/>
    </row>
    <row r="66" spans="1:14" x14ac:dyDescent="0.3">
      <c r="A66" s="125" t="s">
        <v>44</v>
      </c>
      <c r="C66" s="158"/>
      <c r="D66" s="271">
        <f>AVERAGE(D56:D64)</f>
        <v>0.64127619565596616</v>
      </c>
      <c r="E66" s="158"/>
      <c r="F66" s="210">
        <f>SUM(F56:F65)</f>
        <v>36167367.276460364</v>
      </c>
      <c r="M66" s="7"/>
    </row>
    <row r="68" spans="1:14" x14ac:dyDescent="0.3">
      <c r="A68" s="6" t="s">
        <v>1</v>
      </c>
      <c r="B68" s="9" t="s">
        <v>191</v>
      </c>
      <c r="C68" s="4"/>
      <c r="D68" s="4"/>
      <c r="E68" s="4"/>
      <c r="F68" s="4"/>
      <c r="G68" s="4"/>
      <c r="H68" s="4"/>
      <c r="I68" s="4"/>
      <c r="J68" s="4"/>
      <c r="K68" s="4"/>
      <c r="L68" s="4"/>
    </row>
    <row r="69" spans="1:14" x14ac:dyDescent="0.3">
      <c r="A69" s="7"/>
      <c r="B69" s="7"/>
      <c r="C69" s="7"/>
      <c r="D69" s="7"/>
      <c r="E69" s="7"/>
      <c r="F69" s="7"/>
      <c r="G69" s="7"/>
      <c r="H69" s="7"/>
      <c r="I69" s="7"/>
      <c r="J69" s="7"/>
      <c r="K69" s="7"/>
      <c r="L69" s="7"/>
    </row>
    <row r="70" spans="1:14" x14ac:dyDescent="0.3">
      <c r="A70" s="7" t="s">
        <v>2</v>
      </c>
      <c r="B70" s="7"/>
      <c r="C70" s="7"/>
      <c r="D70" s="7"/>
      <c r="E70" s="7"/>
      <c r="F70" s="7"/>
      <c r="G70" s="7"/>
      <c r="H70" s="7"/>
      <c r="I70" s="7"/>
      <c r="J70" s="7"/>
      <c r="K70" s="7"/>
      <c r="L70" s="7"/>
    </row>
    <row r="71" spans="1:14" x14ac:dyDescent="0.3">
      <c r="A71" s="7"/>
      <c r="B71" s="7"/>
      <c r="C71" s="7"/>
      <c r="D71" s="7"/>
      <c r="E71" s="7"/>
      <c r="F71" s="7"/>
      <c r="G71" s="7"/>
      <c r="H71" s="7"/>
      <c r="I71" s="7"/>
      <c r="J71" s="7"/>
      <c r="K71" s="7"/>
      <c r="L71" s="7"/>
    </row>
    <row r="72" spans="1:14" ht="46.8" x14ac:dyDescent="0.3">
      <c r="A72" s="225" t="s">
        <v>404</v>
      </c>
      <c r="B72" s="156" t="s">
        <v>405</v>
      </c>
      <c r="C72" s="156" t="s">
        <v>406</v>
      </c>
      <c r="D72" s="156" t="s">
        <v>407</v>
      </c>
      <c r="E72" s="156" t="s">
        <v>408</v>
      </c>
      <c r="F72" s="156" t="s">
        <v>311</v>
      </c>
      <c r="G72" s="7"/>
      <c r="H72" s="7"/>
      <c r="I72" s="7"/>
      <c r="J72" s="7"/>
      <c r="K72" s="7"/>
      <c r="L72" s="7"/>
    </row>
    <row r="73" spans="1:14" x14ac:dyDescent="0.3">
      <c r="A73" s="267">
        <v>2011</v>
      </c>
      <c r="B73" s="210">
        <f>B56*C6</f>
        <v>6099958.9298949996</v>
      </c>
      <c r="C73" s="269">
        <f>1/E6</f>
        <v>0.96525096525096521</v>
      </c>
      <c r="D73" s="210">
        <f>B73*C73</f>
        <v>5887991.2450723927</v>
      </c>
      <c r="E73" s="210">
        <f>C56*D6</f>
        <v>3944320</v>
      </c>
      <c r="F73" s="210">
        <f>$E$84*B73/C56</f>
        <v>4918178.9269017568</v>
      </c>
    </row>
    <row r="74" spans="1:14" x14ac:dyDescent="0.3">
      <c r="A74" s="267">
        <v>2012</v>
      </c>
      <c r="B74" s="210">
        <f t="shared" ref="B74:B82" si="7">B57*C7</f>
        <v>5559713.5261299992</v>
      </c>
      <c r="C74" s="269">
        <f t="shared" ref="C74:C82" si="8">1/E7</f>
        <v>0.92506938020351526</v>
      </c>
      <c r="D74" s="210">
        <f t="shared" ref="D74:D82" si="9">B74*C74</f>
        <v>5143120.7457261784</v>
      </c>
      <c r="E74" s="210">
        <f t="shared" ref="E74:E82" si="10">C57*D7</f>
        <v>3418400</v>
      </c>
      <c r="F74" s="210">
        <f t="shared" ref="F74:F82" si="11">$E$84*B74/C57</f>
        <v>4482598.3614112455</v>
      </c>
    </row>
    <row r="75" spans="1:14" x14ac:dyDescent="0.3">
      <c r="A75" s="267">
        <v>2013</v>
      </c>
      <c r="B75" s="210">
        <f t="shared" si="7"/>
        <v>4989119.7614320377</v>
      </c>
      <c r="C75" s="269">
        <f t="shared" si="8"/>
        <v>0.86505190311418689</v>
      </c>
      <c r="D75" s="210">
        <f t="shared" si="9"/>
        <v>4315847.5444913823</v>
      </c>
      <c r="E75" s="210">
        <f t="shared" si="10"/>
        <v>2316800</v>
      </c>
      <c r="F75" s="210">
        <f t="shared" si="11"/>
        <v>4022548.9968809569</v>
      </c>
      <c r="M75" s="7"/>
      <c r="N75" s="7"/>
    </row>
    <row r="76" spans="1:14" x14ac:dyDescent="0.3">
      <c r="A76" s="267">
        <v>2014</v>
      </c>
      <c r="B76" s="210">
        <f t="shared" si="7"/>
        <v>4795868.2769999998</v>
      </c>
      <c r="C76" s="269">
        <f t="shared" si="8"/>
        <v>0.78186082877247853</v>
      </c>
      <c r="D76" s="210">
        <f t="shared" si="9"/>
        <v>3749701.5457388586</v>
      </c>
      <c r="E76" s="210">
        <f t="shared" si="10"/>
        <v>2578140</v>
      </c>
      <c r="F76" s="210">
        <f t="shared" si="11"/>
        <v>3437099.7600644203</v>
      </c>
      <c r="M76" s="7"/>
      <c r="N76" s="7"/>
    </row>
    <row r="77" spans="1:14" x14ac:dyDescent="0.3">
      <c r="A77" s="267">
        <v>2015</v>
      </c>
      <c r="B77" s="210">
        <f t="shared" si="7"/>
        <v>5099388.9399999995</v>
      </c>
      <c r="C77" s="269">
        <f t="shared" si="8"/>
        <v>0.702247191011236</v>
      </c>
      <c r="D77" s="210">
        <f t="shared" si="9"/>
        <v>3581031.558988764</v>
      </c>
      <c r="E77" s="210">
        <f t="shared" si="10"/>
        <v>2447000</v>
      </c>
      <c r="F77" s="210">
        <f t="shared" si="11"/>
        <v>3289164.0764165721</v>
      </c>
      <c r="M77" s="7"/>
      <c r="N77" s="7"/>
    </row>
    <row r="78" spans="1:14" x14ac:dyDescent="0.3">
      <c r="A78" s="267">
        <v>2016</v>
      </c>
      <c r="B78" s="210">
        <f t="shared" si="7"/>
        <v>5387868.943287327</v>
      </c>
      <c r="C78" s="269">
        <f t="shared" si="8"/>
        <v>0.55463117027176934</v>
      </c>
      <c r="D78" s="210">
        <f t="shared" si="9"/>
        <v>2988280.0572863715</v>
      </c>
      <c r="E78" s="210">
        <f t="shared" si="10"/>
        <v>1780460</v>
      </c>
      <c r="F78" s="210">
        <f t="shared" si="11"/>
        <v>3475236.9715696163</v>
      </c>
    </row>
    <row r="79" spans="1:14" x14ac:dyDescent="0.3">
      <c r="A79" s="267">
        <v>2017</v>
      </c>
      <c r="B79" s="210">
        <f t="shared" si="7"/>
        <v>5284375.189473683</v>
      </c>
      <c r="C79" s="269">
        <f t="shared" si="8"/>
        <v>0.39525691699604748</v>
      </c>
      <c r="D79" s="210">
        <f t="shared" si="9"/>
        <v>2088685.8456417723</v>
      </c>
      <c r="E79" s="210">
        <f t="shared" si="10"/>
        <v>1395000</v>
      </c>
      <c r="F79" s="210">
        <f t="shared" si="11"/>
        <v>3408482.3189666048</v>
      </c>
    </row>
    <row r="80" spans="1:14" x14ac:dyDescent="0.3">
      <c r="A80" s="267">
        <v>2018</v>
      </c>
      <c r="B80" s="210">
        <f t="shared" si="7"/>
        <v>4890621.4499999993</v>
      </c>
      <c r="C80" s="269">
        <f t="shared" si="8"/>
        <v>0.26308866087871613</v>
      </c>
      <c r="D80" s="210">
        <f t="shared" si="9"/>
        <v>1286667.0481452248</v>
      </c>
      <c r="E80" s="210">
        <f t="shared" si="10"/>
        <v>829600</v>
      </c>
      <c r="F80" s="210">
        <f t="shared" si="11"/>
        <v>3154506.6622614446</v>
      </c>
    </row>
    <row r="81" spans="1:6" x14ac:dyDescent="0.3">
      <c r="A81" s="267">
        <v>2019</v>
      </c>
      <c r="B81" s="210">
        <f t="shared" si="7"/>
        <v>4677534.1999999993</v>
      </c>
      <c r="C81" s="269">
        <f t="shared" si="8"/>
        <v>0.13668671405139421</v>
      </c>
      <c r="D81" s="210">
        <f t="shared" si="9"/>
        <v>639356.77966101689</v>
      </c>
      <c r="E81" s="210">
        <f t="shared" si="10"/>
        <v>396900</v>
      </c>
      <c r="F81" s="210">
        <f t="shared" si="11"/>
        <v>3017062.9535957556</v>
      </c>
    </row>
    <row r="82" spans="1:6" x14ac:dyDescent="0.3">
      <c r="A82" s="274">
        <v>2020</v>
      </c>
      <c r="B82" s="213">
        <f t="shared" si="7"/>
        <v>4919527</v>
      </c>
      <c r="C82" s="270">
        <f t="shared" si="8"/>
        <v>4.5110068567304221E-2</v>
      </c>
      <c r="D82" s="213">
        <f t="shared" si="9"/>
        <v>221920.20028870442</v>
      </c>
      <c r="E82" s="213">
        <f t="shared" si="10"/>
        <v>180900</v>
      </c>
      <c r="F82" s="213">
        <f t="shared" si="11"/>
        <v>3173151.071971653</v>
      </c>
    </row>
    <row r="83" spans="1:6" x14ac:dyDescent="0.3">
      <c r="A83" s="125" t="s">
        <v>44</v>
      </c>
      <c r="B83" s="210"/>
      <c r="C83" s="276"/>
      <c r="D83" s="210">
        <f t="shared" ref="D83:F83" si="12">SUM(D73:D82)</f>
        <v>29902602.571040668</v>
      </c>
      <c r="E83" s="210">
        <f t="shared" si="12"/>
        <v>19287520</v>
      </c>
      <c r="F83" s="210">
        <f t="shared" si="12"/>
        <v>36378030.100040026</v>
      </c>
    </row>
    <row r="84" spans="1:6" x14ac:dyDescent="0.3">
      <c r="C84" s="46"/>
      <c r="D84" s="116" t="s">
        <v>409</v>
      </c>
      <c r="E84" s="269">
        <f>E83/D83</f>
        <v>0.64501141511605753</v>
      </c>
      <c r="F84" s="46"/>
    </row>
    <row r="86" spans="1:6" ht="31.2" x14ac:dyDescent="0.3">
      <c r="A86" s="225" t="s">
        <v>404</v>
      </c>
      <c r="B86" s="156" t="s">
        <v>410</v>
      </c>
      <c r="C86" s="156" t="s">
        <v>411</v>
      </c>
      <c r="D86" s="156" t="s">
        <v>412</v>
      </c>
    </row>
    <row r="87" spans="1:6" x14ac:dyDescent="0.3">
      <c r="A87" s="267">
        <v>2011</v>
      </c>
      <c r="B87" s="269">
        <f>1-C73</f>
        <v>3.4749034749034791E-2</v>
      </c>
      <c r="C87" s="210">
        <f>B87*F73</f>
        <v>170901.97043287978</v>
      </c>
      <c r="D87" s="210">
        <f>C87+D6</f>
        <v>5101301.9704328794</v>
      </c>
    </row>
    <row r="88" spans="1:6" x14ac:dyDescent="0.3">
      <c r="A88" s="267">
        <v>2012</v>
      </c>
      <c r="B88" s="269">
        <f t="shared" ref="B88:B96" si="13">1-C74</f>
        <v>7.4930619796484743E-2</v>
      </c>
      <c r="C88" s="210">
        <f t="shared" ref="C88:C96" si="14">B88*F74</f>
        <v>335883.87351925153</v>
      </c>
      <c r="D88" s="210">
        <f t="shared" ref="D88:D96" si="15">C88+D7</f>
        <v>4608883.8735192511</v>
      </c>
    </row>
    <row r="89" spans="1:6" x14ac:dyDescent="0.3">
      <c r="A89" s="267">
        <v>2013</v>
      </c>
      <c r="B89" s="269">
        <f t="shared" si="13"/>
        <v>0.13494809688581311</v>
      </c>
      <c r="C89" s="210">
        <f t="shared" si="14"/>
        <v>542835.33175902173</v>
      </c>
      <c r="D89" s="210">
        <f t="shared" si="15"/>
        <v>3438835.3317590216</v>
      </c>
    </row>
    <row r="90" spans="1:6" x14ac:dyDescent="0.3">
      <c r="A90" s="267">
        <v>2014</v>
      </c>
      <c r="B90" s="269">
        <f t="shared" si="13"/>
        <v>0.21813917122752147</v>
      </c>
      <c r="C90" s="210">
        <f t="shared" si="14"/>
        <v>749766.0930867655</v>
      </c>
      <c r="D90" s="210">
        <f t="shared" si="15"/>
        <v>3614366.0930867656</v>
      </c>
    </row>
    <row r="91" spans="1:6" x14ac:dyDescent="0.3">
      <c r="A91" s="267">
        <v>2015</v>
      </c>
      <c r="B91" s="269">
        <f t="shared" si="13"/>
        <v>0.297752808988764</v>
      </c>
      <c r="C91" s="210">
        <f t="shared" si="14"/>
        <v>979357.84297796793</v>
      </c>
      <c r="D91" s="210">
        <f t="shared" si="15"/>
        <v>3426357.842977968</v>
      </c>
    </row>
    <row r="92" spans="1:6" x14ac:dyDescent="0.3">
      <c r="A92" s="267">
        <v>2016</v>
      </c>
      <c r="B92" s="269">
        <f t="shared" si="13"/>
        <v>0.44536882972823066</v>
      </c>
      <c r="C92" s="210">
        <f t="shared" si="14"/>
        <v>1547762.2230562405</v>
      </c>
      <c r="D92" s="210">
        <f t="shared" si="15"/>
        <v>3328222.2230562405</v>
      </c>
    </row>
    <row r="93" spans="1:6" x14ac:dyDescent="0.3">
      <c r="A93" s="267">
        <v>2017</v>
      </c>
      <c r="B93" s="269">
        <f t="shared" si="13"/>
        <v>0.60474308300395252</v>
      </c>
      <c r="C93" s="210">
        <f t="shared" si="14"/>
        <v>2061256.1059363261</v>
      </c>
      <c r="D93" s="210">
        <f t="shared" si="15"/>
        <v>3456256.1059363261</v>
      </c>
    </row>
    <row r="94" spans="1:6" x14ac:dyDescent="0.3">
      <c r="A94" s="267">
        <v>2018</v>
      </c>
      <c r="B94" s="269">
        <f t="shared" si="13"/>
        <v>0.73691133912128381</v>
      </c>
      <c r="C94" s="210">
        <f t="shared" si="14"/>
        <v>2324591.7287540925</v>
      </c>
      <c r="D94" s="210">
        <f t="shared" si="15"/>
        <v>3154191.7287540925</v>
      </c>
    </row>
    <row r="95" spans="1:6" x14ac:dyDescent="0.3">
      <c r="A95" s="267">
        <v>2019</v>
      </c>
      <c r="B95" s="269">
        <f t="shared" si="13"/>
        <v>0.86331328594860579</v>
      </c>
      <c r="C95" s="210">
        <f t="shared" si="14"/>
        <v>2604670.5323825576</v>
      </c>
      <c r="D95" s="210">
        <f t="shared" si="15"/>
        <v>3001570.5323825576</v>
      </c>
    </row>
    <row r="96" spans="1:6" x14ac:dyDescent="0.3">
      <c r="A96" s="274">
        <v>2020</v>
      </c>
      <c r="B96" s="270">
        <f t="shared" si="13"/>
        <v>0.95488993143269574</v>
      </c>
      <c r="C96" s="213">
        <f t="shared" si="14"/>
        <v>3030010.0095405965</v>
      </c>
      <c r="D96" s="213">
        <f t="shared" si="15"/>
        <v>3210910.0095405965</v>
      </c>
    </row>
    <row r="97" spans="1:4" x14ac:dyDescent="0.3">
      <c r="A97" s="125" t="s">
        <v>44</v>
      </c>
      <c r="B97" s="276"/>
      <c r="C97" s="210">
        <f>SUM(C87:C96)</f>
        <v>14347035.7114457</v>
      </c>
      <c r="D97" s="210">
        <f>SUM(D87:D96)</f>
        <v>36340895.711445704</v>
      </c>
    </row>
  </sheetData>
  <mergeCells count="10">
    <mergeCell ref="P33:S33"/>
    <mergeCell ref="T33:W33"/>
    <mergeCell ref="X33:AA33"/>
    <mergeCell ref="AB33:AE33"/>
    <mergeCell ref="D41:M41"/>
    <mergeCell ref="B17:C17"/>
    <mergeCell ref="G33:H33"/>
    <mergeCell ref="I33:J33"/>
    <mergeCell ref="K33:L33"/>
    <mergeCell ref="M33:O33"/>
  </mergeCells>
  <pageMargins left="0.7" right="0.7" top="0.75" bottom="0.75" header="0.3" footer="0.3"/>
  <pageSetup scale="79" orientation="portrait"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0361E-D61E-4F64-95B8-AE63BF87F1DE}">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192</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193</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FC04-3D74-4A92-A351-C091C2CE0DFF}">
  <dimension ref="A1:R90"/>
  <sheetViews>
    <sheetView zoomScaleNormal="100" workbookViewId="0"/>
  </sheetViews>
  <sheetFormatPr defaultRowHeight="15.6" x14ac:dyDescent="0.3"/>
  <cols>
    <col min="1" max="1" width="8.88671875" style="1" customWidth="1"/>
    <col min="2" max="12" width="12.77734375" style="1" customWidth="1"/>
    <col min="13" max="15" width="14.77734375" style="1" customWidth="1"/>
    <col min="16" max="17" width="12.77734375" style="1" customWidth="1"/>
    <col min="18" max="16384" width="8.88671875" style="1"/>
  </cols>
  <sheetData>
    <row r="1" spans="1:12" ht="17.399999999999999" x14ac:dyDescent="0.3">
      <c r="A1" s="2" t="s">
        <v>194</v>
      </c>
      <c r="B1" s="4"/>
      <c r="C1" s="9" t="s">
        <v>59</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195</v>
      </c>
      <c r="B3" s="10"/>
      <c r="C3" s="12"/>
      <c r="D3" s="12"/>
      <c r="E3" s="12"/>
      <c r="F3" s="12"/>
      <c r="G3" s="12"/>
      <c r="H3" s="12"/>
      <c r="I3" s="12"/>
      <c r="J3" s="12"/>
      <c r="K3" s="4"/>
      <c r="L3" s="3"/>
    </row>
    <row r="4" spans="1:12" s="11" customFormat="1" x14ac:dyDescent="0.3">
      <c r="A4" s="25"/>
      <c r="B4" s="10"/>
      <c r="C4" s="12"/>
      <c r="D4" s="12"/>
      <c r="E4" s="12"/>
      <c r="F4" s="12"/>
      <c r="G4" s="12"/>
      <c r="H4" s="10"/>
      <c r="I4" s="10"/>
      <c r="J4" s="10"/>
      <c r="K4" s="10"/>
      <c r="L4" s="10"/>
    </row>
    <row r="5" spans="1:12" s="11" customFormat="1" x14ac:dyDescent="0.3">
      <c r="A5" s="9" t="s">
        <v>0</v>
      </c>
      <c r="B5" s="10"/>
      <c r="C5" s="12"/>
      <c r="D5" s="12"/>
      <c r="E5" s="12"/>
      <c r="F5" s="12"/>
      <c r="G5" s="12"/>
      <c r="H5" s="10"/>
      <c r="I5" s="10"/>
      <c r="J5" s="10"/>
      <c r="K5" s="10"/>
      <c r="L5" s="10"/>
    </row>
    <row r="6" spans="1:12" s="11" customFormat="1" x14ac:dyDescent="0.3">
      <c r="A6" s="13"/>
      <c r="B6" s="12"/>
      <c r="C6" s="12"/>
      <c r="D6" s="12"/>
      <c r="E6" s="12"/>
      <c r="F6" s="12"/>
      <c r="G6" s="12"/>
      <c r="H6" s="10"/>
      <c r="I6" s="10"/>
      <c r="J6" s="10"/>
      <c r="K6" s="10"/>
      <c r="L6" s="10"/>
    </row>
    <row r="7" spans="1:12" s="11" customFormat="1" ht="15.6" customHeight="1" x14ac:dyDescent="0.3">
      <c r="A7" s="13"/>
      <c r="B7" s="395" t="s">
        <v>39</v>
      </c>
      <c r="C7" s="407" t="s">
        <v>196</v>
      </c>
      <c r="D7" s="408"/>
      <c r="E7" s="409"/>
      <c r="F7" s="12"/>
      <c r="G7" s="12"/>
      <c r="H7" s="10"/>
      <c r="I7" s="10"/>
      <c r="J7" s="10"/>
      <c r="K7" s="10"/>
      <c r="L7" s="10"/>
    </row>
    <row r="8" spans="1:12" s="11" customFormat="1" x14ac:dyDescent="0.3">
      <c r="A8" s="13"/>
      <c r="B8" s="395"/>
      <c r="C8" s="410" t="s">
        <v>197</v>
      </c>
      <c r="D8" s="411"/>
      <c r="E8" s="412"/>
      <c r="F8" s="12"/>
      <c r="G8" s="12"/>
      <c r="H8" s="10"/>
      <c r="I8" s="10"/>
      <c r="J8" s="10"/>
      <c r="K8" s="10"/>
      <c r="L8" s="10"/>
    </row>
    <row r="9" spans="1:12" s="11" customFormat="1" x14ac:dyDescent="0.3">
      <c r="A9" s="12"/>
      <c r="B9" s="395"/>
      <c r="C9" s="94">
        <v>250000</v>
      </c>
      <c r="D9" s="94">
        <v>500000</v>
      </c>
      <c r="E9" s="66" t="s">
        <v>198</v>
      </c>
      <c r="F9" s="12"/>
      <c r="G9" s="12"/>
      <c r="H9" s="10"/>
      <c r="I9" s="10"/>
      <c r="J9" s="10"/>
      <c r="K9" s="10"/>
      <c r="L9" s="10"/>
    </row>
    <row r="10" spans="1:12" s="11" customFormat="1" x14ac:dyDescent="0.3">
      <c r="A10" s="12"/>
      <c r="B10" s="69">
        <v>2013</v>
      </c>
      <c r="C10" s="61">
        <v>3990</v>
      </c>
      <c r="D10" s="61">
        <v>4560</v>
      </c>
      <c r="E10" s="70">
        <v>4560</v>
      </c>
      <c r="F10" s="12"/>
      <c r="G10" s="12"/>
      <c r="H10" s="10"/>
      <c r="I10" s="10"/>
      <c r="J10" s="10"/>
      <c r="K10" s="10"/>
      <c r="L10" s="10"/>
    </row>
    <row r="11" spans="1:12" s="11" customFormat="1" x14ac:dyDescent="0.3">
      <c r="A11" s="13"/>
      <c r="B11" s="60">
        <v>2014</v>
      </c>
      <c r="C11" s="61">
        <v>3988</v>
      </c>
      <c r="D11" s="61">
        <v>3988</v>
      </c>
      <c r="E11" s="70">
        <v>3988</v>
      </c>
      <c r="F11" s="12"/>
      <c r="G11" s="12"/>
      <c r="H11" s="10"/>
      <c r="I11" s="10"/>
      <c r="J11" s="10"/>
      <c r="K11" s="10"/>
      <c r="L11" s="10"/>
    </row>
    <row r="12" spans="1:12" s="11" customFormat="1" x14ac:dyDescent="0.3">
      <c r="A12" s="12"/>
      <c r="B12" s="60">
        <v>2015</v>
      </c>
      <c r="C12" s="61">
        <v>3846</v>
      </c>
      <c r="D12" s="61">
        <v>5198</v>
      </c>
      <c r="E12" s="70">
        <v>5370</v>
      </c>
      <c r="F12" s="12"/>
      <c r="G12" s="12"/>
      <c r="H12" s="10"/>
      <c r="I12" s="10"/>
      <c r="J12" s="10"/>
      <c r="K12" s="10"/>
      <c r="L12" s="10"/>
    </row>
    <row r="13" spans="1:12" s="11" customFormat="1" x14ac:dyDescent="0.3">
      <c r="A13" s="12"/>
      <c r="B13" s="60">
        <v>2016</v>
      </c>
      <c r="C13" s="61">
        <v>4301</v>
      </c>
      <c r="D13" s="61">
        <v>6367</v>
      </c>
      <c r="E13" s="70">
        <v>6829</v>
      </c>
      <c r="F13" s="12"/>
      <c r="G13" s="12"/>
      <c r="H13" s="10"/>
      <c r="I13" s="10"/>
      <c r="J13" s="10"/>
      <c r="K13" s="10"/>
      <c r="L13" s="10"/>
    </row>
    <row r="14" spans="1:12" x14ac:dyDescent="0.3">
      <c r="A14" s="12"/>
      <c r="B14" s="60">
        <v>2017</v>
      </c>
      <c r="C14" s="61">
        <v>4545</v>
      </c>
      <c r="D14" s="61">
        <v>6489</v>
      </c>
      <c r="E14" s="70">
        <v>6489</v>
      </c>
      <c r="F14" s="12"/>
      <c r="G14" s="12"/>
      <c r="H14" s="9"/>
      <c r="I14" s="9"/>
      <c r="J14" s="9"/>
      <c r="K14" s="9"/>
      <c r="L14" s="9"/>
    </row>
    <row r="15" spans="1:12" x14ac:dyDescent="0.3">
      <c r="A15" s="12"/>
      <c r="B15" s="60">
        <v>2018</v>
      </c>
      <c r="C15" s="61">
        <v>4256</v>
      </c>
      <c r="D15" s="61">
        <v>4256</v>
      </c>
      <c r="E15" s="70">
        <v>4256</v>
      </c>
      <c r="F15" s="12"/>
      <c r="G15" s="12"/>
      <c r="H15" s="9"/>
      <c r="I15" s="9"/>
      <c r="J15" s="9"/>
      <c r="K15" s="9"/>
      <c r="L15" s="9"/>
    </row>
    <row r="16" spans="1:12" x14ac:dyDescent="0.3">
      <c r="A16" s="12"/>
      <c r="B16" s="60">
        <v>2019</v>
      </c>
      <c r="C16" s="61">
        <v>4840</v>
      </c>
      <c r="D16" s="61">
        <v>7164</v>
      </c>
      <c r="E16" s="70">
        <v>7779</v>
      </c>
      <c r="F16" s="12"/>
      <c r="G16" s="12"/>
      <c r="H16" s="9"/>
      <c r="I16" s="9"/>
      <c r="J16" s="9"/>
      <c r="K16" s="9"/>
      <c r="L16" s="9"/>
    </row>
    <row r="17" spans="1:12" x14ac:dyDescent="0.3">
      <c r="A17" s="12"/>
      <c r="B17" s="60">
        <v>2020</v>
      </c>
      <c r="C17" s="61">
        <v>5038</v>
      </c>
      <c r="D17" s="61">
        <v>7349</v>
      </c>
      <c r="E17" s="70">
        <v>7349</v>
      </c>
      <c r="F17" s="12"/>
      <c r="G17" s="12"/>
      <c r="H17" s="9"/>
      <c r="I17" s="9"/>
      <c r="J17" s="9"/>
      <c r="K17" s="9"/>
      <c r="L17" s="9"/>
    </row>
    <row r="18" spans="1:12" x14ac:dyDescent="0.3">
      <c r="A18" s="12"/>
      <c r="B18" s="12"/>
      <c r="C18" s="12"/>
      <c r="D18" s="12"/>
      <c r="E18" s="12"/>
      <c r="F18" s="12"/>
      <c r="G18" s="12"/>
      <c r="H18" s="9"/>
      <c r="I18" s="9"/>
      <c r="J18" s="9"/>
      <c r="K18" s="9"/>
      <c r="L18" s="9"/>
    </row>
    <row r="19" spans="1:12" ht="15.6" customHeight="1" x14ac:dyDescent="0.3">
      <c r="A19" s="12"/>
      <c r="B19" s="12"/>
      <c r="C19" s="407" t="s">
        <v>199</v>
      </c>
      <c r="D19" s="408"/>
      <c r="E19" s="409"/>
      <c r="F19" s="12"/>
      <c r="G19" s="12"/>
      <c r="H19" s="9"/>
      <c r="I19" s="9"/>
      <c r="J19" s="9"/>
      <c r="K19" s="9"/>
      <c r="L19" s="9"/>
    </row>
    <row r="20" spans="1:12" x14ac:dyDescent="0.3">
      <c r="A20" s="12"/>
      <c r="B20" s="12"/>
      <c r="C20" s="410" t="s">
        <v>197</v>
      </c>
      <c r="D20" s="411"/>
      <c r="E20" s="412"/>
      <c r="F20" s="12"/>
      <c r="G20" s="12"/>
      <c r="H20" s="9"/>
      <c r="I20" s="9"/>
      <c r="J20" s="9"/>
      <c r="K20" s="9"/>
      <c r="L20" s="9"/>
    </row>
    <row r="21" spans="1:12" x14ac:dyDescent="0.3">
      <c r="A21" s="12"/>
      <c r="B21" s="12"/>
      <c r="C21" s="94">
        <v>250000</v>
      </c>
      <c r="D21" s="94">
        <v>500000</v>
      </c>
      <c r="E21" s="59" t="s">
        <v>198</v>
      </c>
      <c r="F21" s="12"/>
      <c r="G21" s="12"/>
      <c r="H21" s="9"/>
      <c r="I21" s="9"/>
      <c r="J21" s="9"/>
      <c r="K21" s="9"/>
      <c r="L21" s="9"/>
    </row>
    <row r="22" spans="1:12" x14ac:dyDescent="0.3">
      <c r="A22" s="12"/>
      <c r="B22" s="12"/>
      <c r="C22" s="101">
        <v>4.4999999999999998E-2</v>
      </c>
      <c r="D22" s="101">
        <v>0.05</v>
      </c>
      <c r="E22" s="101">
        <v>5.7000000000000002E-2</v>
      </c>
      <c r="F22" s="12"/>
      <c r="G22" s="12"/>
      <c r="H22" s="9"/>
      <c r="I22" s="9"/>
      <c r="J22" s="9"/>
      <c r="K22" s="9"/>
      <c r="L22" s="9"/>
    </row>
    <row r="23" spans="1:12" x14ac:dyDescent="0.3">
      <c r="A23" s="12"/>
      <c r="B23" s="12"/>
      <c r="C23" s="12"/>
      <c r="D23" s="12"/>
      <c r="E23" s="12"/>
      <c r="F23" s="12"/>
      <c r="G23" s="12"/>
      <c r="H23" s="9"/>
      <c r="I23" s="9"/>
      <c r="J23" s="9"/>
      <c r="K23" s="9"/>
      <c r="L23" s="9"/>
    </row>
    <row r="24" spans="1:12" x14ac:dyDescent="0.3">
      <c r="A24" s="12"/>
      <c r="B24" s="75" t="s">
        <v>200</v>
      </c>
      <c r="C24" s="10"/>
      <c r="D24" s="12"/>
      <c r="E24" s="12"/>
      <c r="F24" s="12"/>
      <c r="G24" s="12"/>
      <c r="H24" s="9"/>
      <c r="I24" s="9"/>
      <c r="J24" s="9"/>
      <c r="K24" s="9"/>
      <c r="L24" s="9"/>
    </row>
    <row r="25" spans="1:12" x14ac:dyDescent="0.3">
      <c r="A25" s="12"/>
      <c r="B25" s="75" t="s">
        <v>201</v>
      </c>
      <c r="C25" s="10"/>
      <c r="D25" s="12"/>
      <c r="E25" s="12"/>
      <c r="F25" s="12"/>
      <c r="G25" s="12"/>
      <c r="H25" s="9"/>
      <c r="I25" s="9"/>
      <c r="J25" s="9"/>
      <c r="K25" s="9"/>
      <c r="L25" s="9"/>
    </row>
    <row r="26" spans="1:12" x14ac:dyDescent="0.3">
      <c r="A26" s="12"/>
      <c r="B26" s="12"/>
      <c r="C26" s="12"/>
      <c r="D26" s="12"/>
      <c r="E26" s="12"/>
      <c r="F26" s="12"/>
      <c r="G26" s="12"/>
      <c r="H26" s="9"/>
      <c r="I26" s="9"/>
      <c r="J26" s="9"/>
      <c r="K26" s="9"/>
      <c r="L26" s="9"/>
    </row>
    <row r="27" spans="1:12" x14ac:dyDescent="0.3">
      <c r="A27" s="9" t="s">
        <v>263</v>
      </c>
      <c r="B27" s="12"/>
      <c r="C27" s="12"/>
      <c r="D27" s="12"/>
      <c r="E27" s="12"/>
      <c r="F27" s="12"/>
      <c r="G27" s="12"/>
      <c r="H27" s="9"/>
      <c r="I27" s="9"/>
      <c r="J27" s="9"/>
      <c r="K27" s="9"/>
      <c r="L27" s="9"/>
    </row>
    <row r="28" spans="1:12" x14ac:dyDescent="0.3">
      <c r="A28" s="12"/>
      <c r="B28" s="12"/>
      <c r="C28" s="12"/>
      <c r="D28" s="12"/>
      <c r="E28" s="12"/>
      <c r="F28" s="12"/>
      <c r="G28" s="12"/>
      <c r="H28" s="9"/>
      <c r="I28" s="9"/>
      <c r="J28" s="9"/>
      <c r="K28" s="9"/>
      <c r="L28" s="9"/>
    </row>
    <row r="29" spans="1:12" x14ac:dyDescent="0.3">
      <c r="A29" s="12"/>
      <c r="B29" s="395"/>
      <c r="C29" s="389" t="s">
        <v>202</v>
      </c>
      <c r="D29" s="389"/>
      <c r="E29" s="389"/>
      <c r="F29" s="12"/>
      <c r="G29" s="12"/>
      <c r="H29" s="9"/>
      <c r="I29" s="9"/>
      <c r="J29" s="9"/>
      <c r="K29" s="9"/>
      <c r="L29" s="9"/>
    </row>
    <row r="30" spans="1:12" ht="31.2" x14ac:dyDescent="0.3">
      <c r="A30" s="12"/>
      <c r="B30" s="395"/>
      <c r="C30" s="66" t="s">
        <v>203</v>
      </c>
      <c r="D30" s="66" t="s">
        <v>204</v>
      </c>
      <c r="E30" s="66" t="s">
        <v>205</v>
      </c>
      <c r="F30" s="12"/>
      <c r="G30" s="12"/>
      <c r="H30" s="9"/>
      <c r="I30" s="9"/>
      <c r="J30" s="9"/>
      <c r="K30" s="9"/>
      <c r="L30" s="9"/>
    </row>
    <row r="31" spans="1:12" ht="31.2" x14ac:dyDescent="0.3">
      <c r="A31" s="12"/>
      <c r="B31" s="69" t="s">
        <v>206</v>
      </c>
      <c r="C31" s="60">
        <v>1.323</v>
      </c>
      <c r="D31" s="60">
        <v>1.4039999999999999</v>
      </c>
      <c r="E31" s="60">
        <v>1.0589999999999999</v>
      </c>
      <c r="F31" s="12"/>
      <c r="G31" s="12"/>
      <c r="H31" s="9"/>
      <c r="I31" s="9"/>
      <c r="J31" s="9"/>
      <c r="K31" s="9"/>
      <c r="L31" s="9"/>
    </row>
    <row r="32" spans="1:12" x14ac:dyDescent="0.3">
      <c r="A32" s="9"/>
      <c r="B32" s="9"/>
      <c r="C32" s="9"/>
      <c r="D32" s="9"/>
      <c r="E32" s="9"/>
      <c r="F32" s="9"/>
      <c r="G32" s="9"/>
      <c r="H32" s="9"/>
      <c r="I32" s="9"/>
      <c r="J32" s="9"/>
      <c r="K32" s="9"/>
      <c r="L32" s="9"/>
    </row>
    <row r="34" spans="1:18" x14ac:dyDescent="0.3">
      <c r="A34" s="6" t="s">
        <v>5</v>
      </c>
      <c r="B34" s="9" t="s">
        <v>207</v>
      </c>
      <c r="C34" s="4"/>
      <c r="D34" s="4"/>
      <c r="E34" s="4"/>
      <c r="F34" s="4"/>
      <c r="G34" s="4"/>
      <c r="H34" s="4"/>
      <c r="I34" s="4"/>
      <c r="J34" s="4"/>
      <c r="K34" s="4"/>
      <c r="L34" s="4"/>
      <c r="M34" s="8"/>
      <c r="N34" s="8"/>
      <c r="O34" s="8"/>
      <c r="P34" s="8"/>
      <c r="Q34" s="8"/>
      <c r="R34" s="8"/>
    </row>
    <row r="35" spans="1:18" x14ac:dyDescent="0.3">
      <c r="A35" s="7"/>
      <c r="B35" s="7"/>
      <c r="C35" s="7"/>
      <c r="D35" s="7"/>
      <c r="E35" s="7"/>
      <c r="F35" s="7"/>
      <c r="G35" s="7"/>
      <c r="H35" s="7"/>
      <c r="I35" s="7"/>
      <c r="J35" s="7"/>
      <c r="K35" s="7"/>
      <c r="L35" s="7"/>
      <c r="M35" s="7"/>
    </row>
    <row r="36" spans="1:18" x14ac:dyDescent="0.3">
      <c r="A36" s="7" t="s">
        <v>2</v>
      </c>
      <c r="B36" s="7"/>
      <c r="C36" s="7"/>
      <c r="D36" s="7"/>
      <c r="E36" s="7"/>
      <c r="F36" s="7"/>
      <c r="G36" s="7"/>
      <c r="H36" s="7"/>
      <c r="I36" s="7"/>
      <c r="J36" s="7"/>
      <c r="K36" s="7"/>
      <c r="L36" s="7"/>
      <c r="M36" s="7"/>
      <c r="N36" s="8"/>
    </row>
    <row r="37" spans="1:18" x14ac:dyDescent="0.3">
      <c r="A37" s="7"/>
      <c r="B37" s="7"/>
      <c r="C37" s="7"/>
      <c r="D37" s="7"/>
      <c r="E37" s="7"/>
      <c r="F37" s="7"/>
      <c r="G37" s="7"/>
      <c r="H37" s="7"/>
      <c r="I37" s="7"/>
      <c r="J37" s="7"/>
      <c r="K37" s="7"/>
      <c r="L37" s="7"/>
      <c r="M37" s="7"/>
      <c r="N37" s="8"/>
    </row>
    <row r="38" spans="1:18" x14ac:dyDescent="0.3">
      <c r="A38" s="7"/>
      <c r="B38" s="122" t="s">
        <v>454</v>
      </c>
      <c r="C38" s="122"/>
      <c r="D38" s="122"/>
      <c r="E38" s="291">
        <v>44958</v>
      </c>
      <c r="F38" s="235" t="s">
        <v>465</v>
      </c>
      <c r="G38" s="140"/>
      <c r="H38" s="140"/>
      <c r="I38" s="140"/>
      <c r="J38" s="122"/>
      <c r="K38" s="122"/>
      <c r="L38" s="122"/>
      <c r="M38" s="7"/>
      <c r="N38" s="8"/>
    </row>
    <row r="39" spans="1:18" x14ac:dyDescent="0.3">
      <c r="B39" s="140"/>
    </row>
    <row r="40" spans="1:18" ht="15.6" customHeight="1" x14ac:dyDescent="0.3">
      <c r="B40" s="403" t="s">
        <v>39</v>
      </c>
      <c r="C40" s="403" t="s">
        <v>455</v>
      </c>
      <c r="D40" s="413" t="s">
        <v>456</v>
      </c>
      <c r="E40" s="413"/>
      <c r="F40" s="413"/>
      <c r="G40" s="413" t="s">
        <v>457</v>
      </c>
      <c r="H40" s="413"/>
      <c r="I40" s="413"/>
      <c r="J40" s="413" t="s">
        <v>458</v>
      </c>
      <c r="K40" s="413"/>
      <c r="L40" s="413"/>
    </row>
    <row r="41" spans="1:18" ht="31.2" x14ac:dyDescent="0.3">
      <c r="B41" s="405"/>
      <c r="C41" s="405"/>
      <c r="D41" s="299">
        <f>C22</f>
        <v>4.4999999999999998E-2</v>
      </c>
      <c r="E41" s="299">
        <f>D22</f>
        <v>0.05</v>
      </c>
      <c r="F41" s="299">
        <f>E22</f>
        <v>5.7000000000000002E-2</v>
      </c>
      <c r="G41" s="161">
        <v>250000</v>
      </c>
      <c r="H41" s="161">
        <v>500000</v>
      </c>
      <c r="I41" s="161" t="s">
        <v>198</v>
      </c>
      <c r="J41" s="300" t="s">
        <v>203</v>
      </c>
      <c r="K41" s="300" t="s">
        <v>204</v>
      </c>
      <c r="L41" s="300" t="s">
        <v>205</v>
      </c>
    </row>
    <row r="42" spans="1:18" x14ac:dyDescent="0.3">
      <c r="B42" s="267">
        <v>2013</v>
      </c>
      <c r="C42" s="293">
        <f t="shared" ref="C42:C49" si="0">((12*YEAR($E$38)+MONTH($E$38))-(12*B42+7))</f>
        <v>115</v>
      </c>
      <c r="D42" s="294">
        <f t="shared" ref="D42:F49" si="1">(1+D$41)^($C42/12)</f>
        <v>1.5247469856479456</v>
      </c>
      <c r="E42" s="294">
        <f t="shared" si="1"/>
        <v>1.5961147686497059</v>
      </c>
      <c r="F42" s="294">
        <f t="shared" si="1"/>
        <v>1.7010560674669157</v>
      </c>
      <c r="G42" s="295">
        <f t="shared" ref="G42:I49" si="2">C10*D42</f>
        <v>6083.7404727353032</v>
      </c>
      <c r="H42" s="295">
        <f t="shared" si="2"/>
        <v>7278.2833450426588</v>
      </c>
      <c r="I42" s="295">
        <f t="shared" si="2"/>
        <v>7756.8156676491353</v>
      </c>
      <c r="J42" s="296">
        <f t="shared" ref="J42:J49" si="3">H42/G42</f>
        <v>1.1963500707600498</v>
      </c>
      <c r="K42" s="296">
        <f t="shared" ref="K42:K49" si="4">I42/G42</f>
        <v>1.2750076539937614</v>
      </c>
      <c r="L42" s="296">
        <f t="shared" ref="L42:L49" si="5">I42/H42</f>
        <v>1.0657479655463553</v>
      </c>
    </row>
    <row r="43" spans="1:18" x14ac:dyDescent="0.3">
      <c r="B43" s="267">
        <v>2014</v>
      </c>
      <c r="C43" s="293">
        <f t="shared" si="0"/>
        <v>103</v>
      </c>
      <c r="D43" s="294">
        <f t="shared" si="1"/>
        <v>1.4590880245434887</v>
      </c>
      <c r="E43" s="294">
        <f t="shared" si="1"/>
        <v>1.5201093034759103</v>
      </c>
      <c r="F43" s="294">
        <f t="shared" si="1"/>
        <v>1.6093245671399394</v>
      </c>
      <c r="G43" s="295">
        <f t="shared" si="2"/>
        <v>5818.8430418794333</v>
      </c>
      <c r="H43" s="295">
        <f t="shared" si="2"/>
        <v>6062.1959022619303</v>
      </c>
      <c r="I43" s="295">
        <f t="shared" si="2"/>
        <v>6417.9863737540782</v>
      </c>
      <c r="J43" s="296">
        <f t="shared" si="3"/>
        <v>1.0418215199535432</v>
      </c>
      <c r="K43" s="296">
        <f t="shared" si="4"/>
        <v>1.1029660582975833</v>
      </c>
      <c r="L43" s="296">
        <f t="shared" si="5"/>
        <v>1.058690031999691</v>
      </c>
    </row>
    <row r="44" spans="1:18" x14ac:dyDescent="0.3">
      <c r="B44" s="267">
        <v>2015</v>
      </c>
      <c r="C44" s="293">
        <f t="shared" si="0"/>
        <v>91</v>
      </c>
      <c r="D44" s="294">
        <f t="shared" si="1"/>
        <v>1.3962564828167356</v>
      </c>
      <c r="E44" s="294">
        <f t="shared" si="1"/>
        <v>1.4477231461675335</v>
      </c>
      <c r="F44" s="294">
        <f t="shared" si="1"/>
        <v>1.5225397986186751</v>
      </c>
      <c r="G44" s="295">
        <f t="shared" si="2"/>
        <v>5370.0024329131656</v>
      </c>
      <c r="H44" s="295">
        <f t="shared" si="2"/>
        <v>7525.2649137788394</v>
      </c>
      <c r="I44" s="295">
        <f t="shared" si="2"/>
        <v>8176.0387185822847</v>
      </c>
      <c r="J44" s="296">
        <f t="shared" si="3"/>
        <v>1.4013522354582004</v>
      </c>
      <c r="K44" s="296">
        <f t="shared" si="4"/>
        <v>1.5225391088225031</v>
      </c>
      <c r="L44" s="296">
        <f t="shared" si="5"/>
        <v>1.0864785243123962</v>
      </c>
    </row>
    <row r="45" spans="1:18" x14ac:dyDescent="0.3">
      <c r="B45" s="267">
        <v>2016</v>
      </c>
      <c r="C45" s="293">
        <f t="shared" si="0"/>
        <v>79</v>
      </c>
      <c r="D45" s="294">
        <f t="shared" si="1"/>
        <v>1.3361306055662543</v>
      </c>
      <c r="E45" s="294">
        <f t="shared" si="1"/>
        <v>1.3787839487309843</v>
      </c>
      <c r="F45" s="294">
        <f t="shared" si="1"/>
        <v>1.4404350034235336</v>
      </c>
      <c r="G45" s="295">
        <f t="shared" si="2"/>
        <v>5746.6977345404594</v>
      </c>
      <c r="H45" s="295">
        <f t="shared" si="2"/>
        <v>8778.7174015701767</v>
      </c>
      <c r="I45" s="295">
        <f t="shared" si="2"/>
        <v>9836.7306383793111</v>
      </c>
      <c r="J45" s="296">
        <f t="shared" si="3"/>
        <v>1.5276107787618267</v>
      </c>
      <c r="K45" s="296">
        <f t="shared" si="4"/>
        <v>1.7117188153564711</v>
      </c>
      <c r="L45" s="296">
        <f t="shared" si="5"/>
        <v>1.1205202523799087</v>
      </c>
    </row>
    <row r="46" spans="1:18" x14ac:dyDescent="0.3">
      <c r="B46" s="267">
        <v>2017</v>
      </c>
      <c r="C46" s="293">
        <f t="shared" si="0"/>
        <v>67</v>
      </c>
      <c r="D46" s="294">
        <f t="shared" si="1"/>
        <v>1.2785938809246453</v>
      </c>
      <c r="E46" s="294">
        <f t="shared" si="1"/>
        <v>1.3131275702199849</v>
      </c>
      <c r="F46" s="294">
        <f t="shared" si="1"/>
        <v>1.3627578083477141</v>
      </c>
      <c r="G46" s="295">
        <f t="shared" si="2"/>
        <v>5811.2091888025134</v>
      </c>
      <c r="H46" s="295">
        <f t="shared" si="2"/>
        <v>8520.8848031574817</v>
      </c>
      <c r="I46" s="295">
        <f t="shared" si="2"/>
        <v>8842.9354183683172</v>
      </c>
      <c r="J46" s="296">
        <f t="shared" si="3"/>
        <v>1.4662843009637616</v>
      </c>
      <c r="K46" s="296">
        <f t="shared" si="4"/>
        <v>1.5217031655662248</v>
      </c>
      <c r="L46" s="296">
        <f t="shared" si="5"/>
        <v>1.0377954429206104</v>
      </c>
    </row>
    <row r="47" spans="1:18" x14ac:dyDescent="0.3">
      <c r="B47" s="267">
        <v>2018</v>
      </c>
      <c r="C47" s="293">
        <f t="shared" si="0"/>
        <v>55</v>
      </c>
      <c r="D47" s="294">
        <f t="shared" si="1"/>
        <v>1.2235348142819573</v>
      </c>
      <c r="E47" s="294">
        <f t="shared" si="1"/>
        <v>1.2505976859237951</v>
      </c>
      <c r="F47" s="294">
        <f t="shared" si="1"/>
        <v>1.2892694497140151</v>
      </c>
      <c r="G47" s="295">
        <f t="shared" si="2"/>
        <v>5207.3641695840106</v>
      </c>
      <c r="H47" s="295">
        <f t="shared" si="2"/>
        <v>5322.5437512916715</v>
      </c>
      <c r="I47" s="295">
        <f t="shared" si="2"/>
        <v>5487.1307779828485</v>
      </c>
      <c r="J47" s="296">
        <f t="shared" si="3"/>
        <v>1.0221185955037329</v>
      </c>
      <c r="K47" s="296">
        <f t="shared" si="4"/>
        <v>1.0537251859650882</v>
      </c>
      <c r="L47" s="296">
        <f t="shared" si="5"/>
        <v>1.030922625417825</v>
      </c>
    </row>
    <row r="48" spans="1:18" x14ac:dyDescent="0.3">
      <c r="B48" s="267">
        <v>2019</v>
      </c>
      <c r="C48" s="293">
        <f t="shared" si="0"/>
        <v>43</v>
      </c>
      <c r="D48" s="294">
        <f t="shared" si="1"/>
        <v>1.1708467122315382</v>
      </c>
      <c r="E48" s="294">
        <f t="shared" si="1"/>
        <v>1.1910454151655192</v>
      </c>
      <c r="F48" s="294">
        <f t="shared" si="1"/>
        <v>1.2197440394645367</v>
      </c>
      <c r="G48" s="295">
        <f t="shared" si="2"/>
        <v>5666.898087200645</v>
      </c>
      <c r="H48" s="295">
        <f t="shared" si="2"/>
        <v>8532.6493542457793</v>
      </c>
      <c r="I48" s="295">
        <f t="shared" si="2"/>
        <v>9488.3888829946318</v>
      </c>
      <c r="J48" s="296">
        <f t="shared" si="3"/>
        <v>1.5057001595842654</v>
      </c>
      <c r="K48" s="296">
        <f t="shared" si="4"/>
        <v>1.6743531888151073</v>
      </c>
      <c r="L48" s="296">
        <f t="shared" si="5"/>
        <v>1.112009704028595</v>
      </c>
    </row>
    <row r="49" spans="1:14" x14ac:dyDescent="0.3">
      <c r="B49" s="274">
        <v>2020</v>
      </c>
      <c r="C49" s="301">
        <f t="shared" si="0"/>
        <v>31</v>
      </c>
      <c r="D49" s="302">
        <f t="shared" si="1"/>
        <v>1.120427475819654</v>
      </c>
      <c r="E49" s="302">
        <f t="shared" si="1"/>
        <v>1.134328966824304</v>
      </c>
      <c r="F49" s="302">
        <f t="shared" si="1"/>
        <v>1.1539678708273764</v>
      </c>
      <c r="G49" s="303">
        <f t="shared" si="2"/>
        <v>5644.7136231794166</v>
      </c>
      <c r="H49" s="303">
        <f t="shared" si="2"/>
        <v>8336.1835771918104</v>
      </c>
      <c r="I49" s="303">
        <f t="shared" si="2"/>
        <v>8480.5098827103884</v>
      </c>
      <c r="J49" s="304">
        <f t="shared" si="3"/>
        <v>1.4768124892926646</v>
      </c>
      <c r="K49" s="304">
        <f t="shared" si="4"/>
        <v>1.5023808910138641</v>
      </c>
      <c r="L49" s="304">
        <f t="shared" si="5"/>
        <v>1.0173132350292118</v>
      </c>
    </row>
    <row r="50" spans="1:14" x14ac:dyDescent="0.3">
      <c r="B50" s="267"/>
      <c r="C50" s="293"/>
      <c r="D50" s="294"/>
      <c r="E50" s="294"/>
      <c r="F50" s="294"/>
      <c r="G50" s="295"/>
      <c r="H50" s="295"/>
      <c r="I50" s="297" t="s">
        <v>350</v>
      </c>
      <c r="J50" s="298">
        <f>AVERAGE(J42:J49)</f>
        <v>1.3297562687847555</v>
      </c>
      <c r="K50" s="298">
        <f>AVERAGE(K42:K49)</f>
        <v>1.4205492584788255</v>
      </c>
      <c r="L50" s="298">
        <f>AVERAGE(L42:L49)</f>
        <v>1.0661847227043242</v>
      </c>
    </row>
    <row r="51" spans="1:14" x14ac:dyDescent="0.3">
      <c r="C51"/>
      <c r="D51"/>
      <c r="E51"/>
    </row>
    <row r="52" spans="1:14" x14ac:dyDescent="0.3">
      <c r="B52" s="1" t="s">
        <v>459</v>
      </c>
    </row>
    <row r="53" spans="1:14" x14ac:dyDescent="0.3">
      <c r="M53" s="8"/>
      <c r="N53" s="8"/>
    </row>
    <row r="54" spans="1:14" x14ac:dyDescent="0.3">
      <c r="A54" s="26"/>
      <c r="B54" s="26"/>
      <c r="C54" s="26"/>
      <c r="D54" s="26"/>
      <c r="E54" s="26"/>
      <c r="F54" s="26"/>
      <c r="G54" s="26"/>
      <c r="H54" s="26"/>
      <c r="I54" s="26"/>
      <c r="J54" s="26"/>
      <c r="K54" s="26"/>
      <c r="L54" s="26"/>
      <c r="M54" s="8"/>
      <c r="N54" s="8"/>
    </row>
    <row r="55" spans="1:14" x14ac:dyDescent="0.3">
      <c r="A55" s="360" t="s">
        <v>208</v>
      </c>
      <c r="B55" s="361"/>
      <c r="C55" s="361"/>
      <c r="D55" s="361"/>
      <c r="E55" s="361"/>
      <c r="F55" s="361"/>
      <c r="G55" s="361"/>
      <c r="H55" s="361"/>
      <c r="I55" s="361"/>
      <c r="J55" s="361"/>
      <c r="K55" s="361"/>
      <c r="L55" s="361"/>
      <c r="M55" s="8"/>
      <c r="N55" s="8"/>
    </row>
    <row r="56" spans="1:14" x14ac:dyDescent="0.3">
      <c r="A56" s="361"/>
      <c r="B56" s="361"/>
      <c r="C56" s="361"/>
      <c r="D56" s="361"/>
      <c r="E56" s="361"/>
      <c r="F56" s="361"/>
      <c r="G56" s="361"/>
      <c r="H56" s="361"/>
      <c r="I56" s="361"/>
      <c r="J56" s="361"/>
      <c r="K56" s="361"/>
      <c r="L56" s="361"/>
      <c r="M56" s="8"/>
      <c r="N56" s="8"/>
    </row>
    <row r="57" spans="1:14" x14ac:dyDescent="0.3">
      <c r="A57" s="26"/>
      <c r="B57" s="75" t="s">
        <v>209</v>
      </c>
      <c r="C57" s="26"/>
      <c r="D57" s="26"/>
      <c r="E57" s="26"/>
      <c r="F57" s="26"/>
      <c r="G57" s="26"/>
      <c r="H57" s="26"/>
      <c r="I57" s="26"/>
      <c r="J57" s="26"/>
      <c r="K57" s="26"/>
      <c r="L57" s="26"/>
      <c r="M57" s="8"/>
      <c r="N57" s="8"/>
    </row>
    <row r="58" spans="1:14" x14ac:dyDescent="0.3">
      <c r="A58" s="26"/>
      <c r="B58" s="406" t="s">
        <v>210</v>
      </c>
      <c r="C58" s="361"/>
      <c r="D58" s="361"/>
      <c r="E58" s="361"/>
      <c r="F58" s="361"/>
      <c r="G58" s="361"/>
      <c r="H58" s="361"/>
      <c r="I58" s="361"/>
      <c r="J58" s="361"/>
      <c r="K58" s="361"/>
      <c r="L58" s="361"/>
      <c r="M58" s="8"/>
      <c r="N58" s="8"/>
    </row>
    <row r="59" spans="1:14" x14ac:dyDescent="0.3">
      <c r="A59" s="26"/>
      <c r="B59" s="361"/>
      <c r="C59" s="361"/>
      <c r="D59" s="361"/>
      <c r="E59" s="361"/>
      <c r="F59" s="361"/>
      <c r="G59" s="361"/>
      <c r="H59" s="361"/>
      <c r="I59" s="361"/>
      <c r="J59" s="361"/>
      <c r="K59" s="361"/>
      <c r="L59" s="361"/>
      <c r="M59" s="8"/>
      <c r="N59" s="8"/>
    </row>
    <row r="60" spans="1:14" x14ac:dyDescent="0.3">
      <c r="A60" s="26"/>
      <c r="B60" s="406" t="s">
        <v>211</v>
      </c>
      <c r="C60" s="361"/>
      <c r="D60" s="361"/>
      <c r="E60" s="361"/>
      <c r="F60" s="361"/>
      <c r="G60" s="361"/>
      <c r="H60" s="361"/>
      <c r="I60" s="361"/>
      <c r="J60" s="361"/>
      <c r="K60" s="361"/>
      <c r="L60" s="361"/>
      <c r="M60" s="8"/>
      <c r="N60" s="8"/>
    </row>
    <row r="61" spans="1:14" x14ac:dyDescent="0.3">
      <c r="A61" s="26"/>
      <c r="B61" s="361"/>
      <c r="C61" s="361"/>
      <c r="D61" s="361"/>
      <c r="E61" s="361"/>
      <c r="F61" s="361"/>
      <c r="G61" s="361"/>
      <c r="H61" s="361"/>
      <c r="I61" s="361"/>
      <c r="J61" s="361"/>
      <c r="K61" s="361"/>
      <c r="L61" s="361"/>
      <c r="M61" s="8"/>
      <c r="N61" s="8"/>
    </row>
    <row r="62" spans="1:14" x14ac:dyDescent="0.3">
      <c r="A62" s="26"/>
      <c r="B62" s="26"/>
      <c r="C62" s="26"/>
      <c r="D62" s="26"/>
      <c r="E62" s="26"/>
      <c r="F62" s="26"/>
      <c r="G62" s="26"/>
      <c r="H62" s="26"/>
      <c r="I62" s="26"/>
      <c r="J62" s="26"/>
      <c r="K62" s="26"/>
      <c r="L62" s="26"/>
      <c r="M62" s="8"/>
      <c r="N62" s="8"/>
    </row>
    <row r="64" spans="1:14" x14ac:dyDescent="0.3">
      <c r="A64" s="6" t="s">
        <v>6</v>
      </c>
      <c r="B64" s="406" t="s">
        <v>212</v>
      </c>
      <c r="C64" s="361"/>
      <c r="D64" s="361"/>
      <c r="E64" s="361"/>
      <c r="F64" s="361"/>
      <c r="G64" s="361"/>
      <c r="H64" s="361"/>
      <c r="I64" s="361"/>
      <c r="J64" s="361"/>
      <c r="K64" s="361"/>
      <c r="L64" s="361"/>
    </row>
    <row r="65" spans="1:16" x14ac:dyDescent="0.3">
      <c r="A65" s="6"/>
      <c r="B65" s="361"/>
      <c r="C65" s="361"/>
      <c r="D65" s="361"/>
      <c r="E65" s="361"/>
      <c r="F65" s="361"/>
      <c r="G65" s="361"/>
      <c r="H65" s="361"/>
      <c r="I65" s="361"/>
      <c r="J65" s="361"/>
      <c r="K65" s="361"/>
      <c r="L65" s="361"/>
    </row>
    <row r="66" spans="1:16" x14ac:dyDescent="0.3">
      <c r="A66" s="6"/>
      <c r="B66" s="9"/>
      <c r="C66" s="4"/>
      <c r="D66" s="4"/>
      <c r="E66" s="4"/>
      <c r="F66" s="4"/>
      <c r="G66" s="4"/>
      <c r="H66" s="4"/>
      <c r="I66" s="4"/>
      <c r="J66" s="4"/>
      <c r="K66" s="4"/>
      <c r="L66" s="4"/>
    </row>
    <row r="67" spans="1:16" x14ac:dyDescent="0.3">
      <c r="A67" s="6"/>
      <c r="B67" s="96" t="s">
        <v>76</v>
      </c>
      <c r="C67" s="95">
        <v>250000</v>
      </c>
      <c r="D67" s="4"/>
      <c r="E67" s="4"/>
      <c r="F67" s="4"/>
      <c r="G67" s="4"/>
      <c r="H67" s="4"/>
      <c r="I67" s="4"/>
      <c r="J67" s="4"/>
      <c r="K67" s="4"/>
      <c r="L67" s="4"/>
    </row>
    <row r="68" spans="1:16" x14ac:dyDescent="0.3">
      <c r="A68" s="6"/>
      <c r="B68" s="96"/>
      <c r="C68" s="95"/>
      <c r="D68" s="4"/>
      <c r="E68" s="4"/>
      <c r="F68" s="4"/>
      <c r="G68" s="4"/>
      <c r="H68" s="4"/>
      <c r="I68" s="4"/>
      <c r="J68" s="4"/>
      <c r="K68" s="4"/>
      <c r="L68" s="4"/>
    </row>
    <row r="69" spans="1:16" x14ac:dyDescent="0.3">
      <c r="A69" s="6"/>
      <c r="B69" s="96" t="s">
        <v>77</v>
      </c>
      <c r="C69" s="95">
        <v>500000</v>
      </c>
      <c r="D69" s="4"/>
      <c r="E69" s="4"/>
      <c r="F69" s="4"/>
      <c r="G69" s="4"/>
      <c r="H69" s="4"/>
      <c r="I69" s="4"/>
      <c r="J69" s="4"/>
      <c r="K69" s="4"/>
      <c r="L69" s="4"/>
    </row>
    <row r="70" spans="1:16" x14ac:dyDescent="0.3">
      <c r="A70" s="3"/>
      <c r="B70" s="3"/>
      <c r="C70" s="3"/>
      <c r="D70" s="3"/>
      <c r="E70" s="3"/>
      <c r="F70" s="3"/>
      <c r="G70" s="4"/>
      <c r="H70" s="4"/>
      <c r="I70" s="4"/>
      <c r="J70" s="4"/>
      <c r="K70" s="4"/>
      <c r="L70" s="4"/>
    </row>
    <row r="71" spans="1:16" x14ac:dyDescent="0.3">
      <c r="A71" s="7"/>
      <c r="B71" s="7"/>
      <c r="C71" s="7"/>
      <c r="D71" s="7"/>
      <c r="E71" s="7"/>
      <c r="F71" s="7"/>
      <c r="G71" s="7"/>
      <c r="H71" s="7"/>
      <c r="I71" s="7"/>
      <c r="J71" s="7"/>
      <c r="K71" s="7"/>
      <c r="L71" s="7"/>
    </row>
    <row r="72" spans="1:16" x14ac:dyDescent="0.3">
      <c r="A72" s="7" t="s">
        <v>2</v>
      </c>
      <c r="B72" s="7"/>
      <c r="C72" s="7"/>
      <c r="D72" s="7"/>
      <c r="E72" s="7"/>
      <c r="F72" s="7"/>
      <c r="G72" s="7"/>
      <c r="H72" s="7"/>
      <c r="I72" s="7"/>
      <c r="J72" s="7"/>
      <c r="K72" s="315" t="s">
        <v>485</v>
      </c>
      <c r="L72" s="316"/>
      <c r="M72" s="316"/>
      <c r="N72" s="316"/>
      <c r="O72" s="316"/>
      <c r="P72" s="316"/>
    </row>
    <row r="73" spans="1:16" x14ac:dyDescent="0.3">
      <c r="A73" s="7"/>
      <c r="B73" s="7"/>
      <c r="C73" s="7"/>
      <c r="D73" s="7"/>
      <c r="E73" s="7"/>
      <c r="F73" s="7"/>
      <c r="G73" s="7"/>
      <c r="H73" s="7"/>
      <c r="I73" s="7"/>
      <c r="J73" s="7"/>
      <c r="K73" s="316"/>
      <c r="L73" s="316"/>
      <c r="M73" s="316"/>
      <c r="N73" s="316"/>
      <c r="O73" s="316"/>
      <c r="P73" s="316"/>
    </row>
    <row r="74" spans="1:16" x14ac:dyDescent="0.3">
      <c r="A74" s="7"/>
      <c r="B74" s="306"/>
      <c r="C74" s="180"/>
      <c r="D74" s="180"/>
      <c r="E74" s="404" t="s">
        <v>458</v>
      </c>
      <c r="F74" s="404"/>
      <c r="G74" s="404"/>
      <c r="H74" s="7"/>
      <c r="I74" s="7"/>
      <c r="J74" s="7"/>
      <c r="K74" s="317"/>
      <c r="L74" s="316"/>
      <c r="M74" s="316"/>
      <c r="N74" s="400" t="s">
        <v>458</v>
      </c>
      <c r="O74" s="400"/>
      <c r="P74" s="400"/>
    </row>
    <row r="75" spans="1:16" ht="31.2" x14ac:dyDescent="0.3">
      <c r="A75" s="7"/>
      <c r="B75" s="307"/>
      <c r="C75" s="192"/>
      <c r="D75" s="192"/>
      <c r="E75" s="222" t="s">
        <v>203</v>
      </c>
      <c r="F75" s="222" t="s">
        <v>204</v>
      </c>
      <c r="G75" s="222" t="s">
        <v>205</v>
      </c>
      <c r="K75" s="318"/>
      <c r="L75" s="319"/>
      <c r="M75" s="319"/>
      <c r="N75" s="320" t="s">
        <v>203</v>
      </c>
      <c r="O75" s="320" t="s">
        <v>204</v>
      </c>
      <c r="P75" s="320" t="s">
        <v>205</v>
      </c>
    </row>
    <row r="76" spans="1:16" x14ac:dyDescent="0.3">
      <c r="B76" s="226" t="s">
        <v>466</v>
      </c>
      <c r="C76" s="180"/>
      <c r="D76" s="180"/>
      <c r="E76" s="267">
        <v>1.323</v>
      </c>
      <c r="F76" s="267">
        <v>1.4039999999999999</v>
      </c>
      <c r="G76" s="267">
        <v>1.0589999999999999</v>
      </c>
      <c r="K76" s="321" t="s">
        <v>486</v>
      </c>
      <c r="L76" s="316"/>
      <c r="M76" s="316"/>
      <c r="N76" s="322">
        <f>J50</f>
        <v>1.3297562687847555</v>
      </c>
      <c r="O76" s="322">
        <f t="shared" ref="O76:P76" si="6">K50</f>
        <v>1.4205492584788255</v>
      </c>
      <c r="P76" s="322">
        <f t="shared" si="6"/>
        <v>1.0661847227043242</v>
      </c>
    </row>
    <row r="77" spans="1:16" x14ac:dyDescent="0.3">
      <c r="B77" s="227" t="s">
        <v>460</v>
      </c>
      <c r="C77" s="180"/>
      <c r="D77" s="180"/>
      <c r="E77" s="298">
        <v>1.53</v>
      </c>
      <c r="F77" s="298"/>
      <c r="G77" s="298">
        <v>1.05</v>
      </c>
      <c r="K77" s="316" t="s">
        <v>460</v>
      </c>
      <c r="L77" s="316"/>
      <c r="M77" s="316"/>
      <c r="N77" s="323">
        <v>1.53</v>
      </c>
      <c r="O77" s="323"/>
      <c r="P77" s="323">
        <v>1.05</v>
      </c>
    </row>
    <row r="78" spans="1:16" x14ac:dyDescent="0.3">
      <c r="B78" s="230" t="s">
        <v>461</v>
      </c>
      <c r="C78" s="192"/>
      <c r="D78" s="192"/>
      <c r="E78" s="308">
        <v>0.5</v>
      </c>
      <c r="F78" s="288"/>
      <c r="G78" s="308">
        <v>0.2</v>
      </c>
      <c r="K78" s="319" t="s">
        <v>461</v>
      </c>
      <c r="L78" s="319"/>
      <c r="M78" s="319"/>
      <c r="N78" s="324">
        <v>0.5</v>
      </c>
      <c r="O78" s="325"/>
      <c r="P78" s="324">
        <v>0.2</v>
      </c>
    </row>
    <row r="79" spans="1:16" x14ac:dyDescent="0.3">
      <c r="B79" s="227" t="s">
        <v>467</v>
      </c>
      <c r="C79" s="180"/>
      <c r="D79" s="180"/>
      <c r="E79" s="305">
        <f>(E78*E76)+((1-E78)*E77)</f>
        <v>1.4264999999999999</v>
      </c>
      <c r="F79" s="305">
        <f>E79*G79</f>
        <v>1.5003926999999999</v>
      </c>
      <c r="G79" s="305">
        <f>(G78*G76)+((1-G78)*G77)</f>
        <v>1.0518000000000001</v>
      </c>
      <c r="K79" s="316" t="s">
        <v>467</v>
      </c>
      <c r="L79" s="316"/>
      <c r="M79" s="316"/>
      <c r="N79" s="326">
        <f>(N78*N76)+((1-N78)*N77)</f>
        <v>1.4298781343923777</v>
      </c>
      <c r="O79" s="326">
        <f>N79*P79</f>
        <v>1.5060004773332201</v>
      </c>
      <c r="P79" s="326">
        <f>(P78*P76)+((1-P78)*P77)</f>
        <v>1.0532369445408649</v>
      </c>
    </row>
    <row r="81" spans="1:17" ht="63.6" customHeight="1" x14ac:dyDescent="0.3">
      <c r="B81" s="403" t="s">
        <v>39</v>
      </c>
      <c r="C81" s="403" t="s">
        <v>462</v>
      </c>
      <c r="D81" s="403"/>
      <c r="E81" s="403" t="s">
        <v>463</v>
      </c>
      <c r="F81" s="403"/>
      <c r="G81" s="403" t="s">
        <v>464</v>
      </c>
      <c r="H81" s="403"/>
      <c r="K81" s="401" t="s">
        <v>39</v>
      </c>
      <c r="L81" s="401" t="s">
        <v>462</v>
      </c>
      <c r="M81" s="401"/>
      <c r="N81" s="401" t="s">
        <v>463</v>
      </c>
      <c r="O81" s="401"/>
      <c r="P81" s="401" t="s">
        <v>464</v>
      </c>
      <c r="Q81" s="401"/>
    </row>
    <row r="82" spans="1:17" ht="31.2" customHeight="1" x14ac:dyDescent="0.3">
      <c r="B82" s="405"/>
      <c r="C82" s="300" t="s">
        <v>204</v>
      </c>
      <c r="D82" s="300" t="s">
        <v>205</v>
      </c>
      <c r="E82" s="300" t="s">
        <v>204</v>
      </c>
      <c r="F82" s="300" t="s">
        <v>205</v>
      </c>
      <c r="G82" s="161">
        <v>250000</v>
      </c>
      <c r="H82" s="161">
        <v>500000</v>
      </c>
      <c r="K82" s="402"/>
      <c r="L82" s="327" t="s">
        <v>204</v>
      </c>
      <c r="M82" s="327" t="s">
        <v>205</v>
      </c>
      <c r="N82" s="327" t="s">
        <v>204</v>
      </c>
      <c r="O82" s="327" t="s">
        <v>205</v>
      </c>
      <c r="P82" s="328">
        <v>250000</v>
      </c>
      <c r="Q82" s="328">
        <v>500000</v>
      </c>
    </row>
    <row r="83" spans="1:17" x14ac:dyDescent="0.3">
      <c r="B83" s="267">
        <v>2016</v>
      </c>
      <c r="C83" s="309">
        <f>F45/D45</f>
        <v>1.0780645226018717</v>
      </c>
      <c r="D83" s="309">
        <f>F45/E45</f>
        <v>1.0447140792067475</v>
      </c>
      <c r="E83" s="309">
        <f t="shared" ref="E83:F87" si="7">F$79/C83</f>
        <v>1.391746661302659</v>
      </c>
      <c r="F83" s="309">
        <f t="shared" si="7"/>
        <v>1.0067826412358039</v>
      </c>
      <c r="G83" s="292">
        <f t="shared" ref="G83:H87" si="8">C13*E83</f>
        <v>5985.9023902627359</v>
      </c>
      <c r="H83" s="292">
        <f t="shared" si="8"/>
        <v>6410.1850767483629</v>
      </c>
      <c r="K83" s="329">
        <v>2016</v>
      </c>
      <c r="L83" s="330">
        <f>F45/D45</f>
        <v>1.0780645226018717</v>
      </c>
      <c r="M83" s="330">
        <f>F45/E45</f>
        <v>1.0447140792067475</v>
      </c>
      <c r="N83" s="330">
        <f t="shared" ref="N83:O87" si="9">O$79/L83</f>
        <v>1.3969483697492797</v>
      </c>
      <c r="O83" s="330">
        <f t="shared" si="9"/>
        <v>1.0081580841148314</v>
      </c>
      <c r="P83" s="331">
        <f>C13*N83</f>
        <v>6008.2749382916518</v>
      </c>
      <c r="Q83" s="331">
        <f>D13*O83</f>
        <v>6418.9425215591318</v>
      </c>
    </row>
    <row r="84" spans="1:17" x14ac:dyDescent="0.3">
      <c r="B84" s="267">
        <v>2017</v>
      </c>
      <c r="C84" s="309">
        <f>F46/D46</f>
        <v>1.0658253794881325</v>
      </c>
      <c r="D84" s="309">
        <f>F46/E46</f>
        <v>1.0377954429206102</v>
      </c>
      <c r="E84" s="309">
        <f t="shared" si="7"/>
        <v>1.4077284411453688</v>
      </c>
      <c r="F84" s="309">
        <f t="shared" si="7"/>
        <v>1.0134945255107091</v>
      </c>
      <c r="G84" s="292">
        <f t="shared" si="8"/>
        <v>6398.1257650057014</v>
      </c>
      <c r="H84" s="292">
        <f t="shared" si="8"/>
        <v>6576.5659760389908</v>
      </c>
      <c r="K84" s="329">
        <v>2017</v>
      </c>
      <c r="L84" s="330">
        <f t="shared" ref="L84:L87" si="10">F46/D46</f>
        <v>1.0658253794881325</v>
      </c>
      <c r="M84" s="330">
        <f t="shared" ref="M84:M87" si="11">F46/E46</f>
        <v>1.0377954429206102</v>
      </c>
      <c r="N84" s="330">
        <f t="shared" si="9"/>
        <v>1.4129898821291755</v>
      </c>
      <c r="O84" s="330">
        <f t="shared" si="9"/>
        <v>1.0148791380089304</v>
      </c>
      <c r="P84" s="331">
        <f t="shared" ref="P84:Q87" si="12">C14*N84</f>
        <v>6422.039014277103</v>
      </c>
      <c r="Q84" s="331">
        <f t="shared" si="12"/>
        <v>6585.5507265399492</v>
      </c>
    </row>
    <row r="85" spans="1:17" x14ac:dyDescent="0.3">
      <c r="B85" s="267">
        <v>2018</v>
      </c>
      <c r="C85" s="309">
        <f>F47/D47</f>
        <v>1.0537251859650882</v>
      </c>
      <c r="D85" s="309">
        <f>F47/E47</f>
        <v>1.0309226254178248</v>
      </c>
      <c r="E85" s="309">
        <f t="shared" si="7"/>
        <v>1.4238937438188086</v>
      </c>
      <c r="F85" s="309">
        <f t="shared" si="7"/>
        <v>1.0202511556807805</v>
      </c>
      <c r="G85" s="292">
        <f t="shared" si="8"/>
        <v>6060.0917736928495</v>
      </c>
      <c r="H85" s="292">
        <f t="shared" si="8"/>
        <v>4342.1889185774016</v>
      </c>
      <c r="K85" s="329">
        <v>2018</v>
      </c>
      <c r="L85" s="330">
        <f t="shared" si="10"/>
        <v>1.0537251859650882</v>
      </c>
      <c r="M85" s="330">
        <f t="shared" si="11"/>
        <v>1.0309226254178248</v>
      </c>
      <c r="N85" s="330">
        <f t="shared" si="9"/>
        <v>1.4292156032636734</v>
      </c>
      <c r="O85" s="330">
        <f t="shared" si="9"/>
        <v>1.0216449989289897</v>
      </c>
      <c r="P85" s="331">
        <f t="shared" si="12"/>
        <v>6082.7416074901939</v>
      </c>
      <c r="Q85" s="331">
        <f t="shared" si="12"/>
        <v>4348.1211154417806</v>
      </c>
    </row>
    <row r="86" spans="1:17" x14ac:dyDescent="0.3">
      <c r="B86" s="267">
        <v>2019</v>
      </c>
      <c r="C86" s="309">
        <f>F48/D48</f>
        <v>1.0417623645539424</v>
      </c>
      <c r="D86" s="309">
        <f>F48/E48</f>
        <v>1.0240953232627399</v>
      </c>
      <c r="E86" s="309">
        <f t="shared" si="7"/>
        <v>1.4402446767621826</v>
      </c>
      <c r="F86" s="309">
        <f t="shared" si="7"/>
        <v>1.0270528300519857</v>
      </c>
      <c r="G86" s="292">
        <f t="shared" si="8"/>
        <v>6970.784235528964</v>
      </c>
      <c r="H86" s="292">
        <f t="shared" si="8"/>
        <v>7357.806474492425</v>
      </c>
      <c r="K86" s="329">
        <v>2019</v>
      </c>
      <c r="L86" s="330">
        <f t="shared" si="10"/>
        <v>1.0417623645539424</v>
      </c>
      <c r="M86" s="330">
        <f t="shared" si="11"/>
        <v>1.0240953232627399</v>
      </c>
      <c r="N86" s="330">
        <f t="shared" si="9"/>
        <v>1.4456276484686152</v>
      </c>
      <c r="O86" s="330">
        <f t="shared" si="9"/>
        <v>1.0284559655885164</v>
      </c>
      <c r="P86" s="331">
        <f t="shared" si="12"/>
        <v>6996.8378185880974</v>
      </c>
      <c r="Q86" s="331">
        <f t="shared" si="12"/>
        <v>7367.8585374761315</v>
      </c>
    </row>
    <row r="87" spans="1:17" x14ac:dyDescent="0.3">
      <c r="B87" s="274">
        <v>2020</v>
      </c>
      <c r="C87" s="310">
        <f>F49/D49</f>
        <v>1.0299353556848343</v>
      </c>
      <c r="D87" s="310">
        <f>F49/E49</f>
        <v>1.017313235029212</v>
      </c>
      <c r="E87" s="310">
        <f t="shared" si="7"/>
        <v>1.4567833716149541</v>
      </c>
      <c r="F87" s="310">
        <f t="shared" si="7"/>
        <v>1.0338998489189986</v>
      </c>
      <c r="G87" s="161">
        <f t="shared" si="8"/>
        <v>7339.2746261961383</v>
      </c>
      <c r="H87" s="161">
        <f t="shared" si="8"/>
        <v>7598.1299897057206</v>
      </c>
      <c r="K87" s="332">
        <v>2020</v>
      </c>
      <c r="L87" s="333">
        <f t="shared" si="10"/>
        <v>1.0299353556848343</v>
      </c>
      <c r="M87" s="333">
        <f t="shared" si="11"/>
        <v>1.017313235029212</v>
      </c>
      <c r="N87" s="333">
        <f t="shared" si="9"/>
        <v>1.4622281573505516</v>
      </c>
      <c r="O87" s="333">
        <f t="shared" si="9"/>
        <v>1.0353123386924397</v>
      </c>
      <c r="P87" s="328">
        <f t="shared" si="12"/>
        <v>7366.7054567320783</v>
      </c>
      <c r="Q87" s="328">
        <f t="shared" si="12"/>
        <v>7608.5103770507394</v>
      </c>
    </row>
    <row r="88" spans="1:17" x14ac:dyDescent="0.3">
      <c r="B88" s="297" t="s">
        <v>44</v>
      </c>
      <c r="C88" s="297"/>
      <c r="D88" s="297"/>
      <c r="E88" s="297"/>
      <c r="F88" s="297"/>
      <c r="G88" s="292">
        <f>SUM(G83:G87)</f>
        <v>32754.17879068639</v>
      </c>
      <c r="H88" s="292">
        <f t="shared" ref="H88" si="13">SUM(H83:H87)</f>
        <v>32284.876435562899</v>
      </c>
      <c r="K88" s="334" t="s">
        <v>44</v>
      </c>
      <c r="L88" s="334"/>
      <c r="M88" s="334"/>
      <c r="N88" s="334"/>
      <c r="O88" s="334"/>
      <c r="P88" s="331">
        <f>SUM(P83:P87)</f>
        <v>32876.598835379125</v>
      </c>
      <c r="Q88" s="331">
        <f t="shared" ref="Q88" si="14">SUM(Q83:Q87)</f>
        <v>32328.983278067732</v>
      </c>
    </row>
    <row r="90" spans="1:17" ht="15.6" customHeight="1" x14ac:dyDescent="0.3">
      <c r="A90" s="5" t="s">
        <v>213</v>
      </c>
      <c r="B90" s="3"/>
      <c r="C90" s="3"/>
      <c r="D90" s="3"/>
      <c r="E90" s="3"/>
      <c r="F90" s="3"/>
      <c r="G90" s="3"/>
      <c r="H90" s="3"/>
      <c r="I90" s="3"/>
      <c r="J90" s="3"/>
      <c r="K90" s="3"/>
      <c r="L90" s="3"/>
    </row>
  </sheetData>
  <mergeCells count="26">
    <mergeCell ref="B58:L59"/>
    <mergeCell ref="B60:L61"/>
    <mergeCell ref="A55:L56"/>
    <mergeCell ref="B64:L65"/>
    <mergeCell ref="B7:B9"/>
    <mergeCell ref="C7:E7"/>
    <mergeCell ref="C8:E8"/>
    <mergeCell ref="C19:E19"/>
    <mergeCell ref="C20:E20"/>
    <mergeCell ref="B29:B30"/>
    <mergeCell ref="C29:E29"/>
    <mergeCell ref="B40:B41"/>
    <mergeCell ref="C40:C41"/>
    <mergeCell ref="D40:F40"/>
    <mergeCell ref="G40:I40"/>
    <mergeCell ref="J40:L40"/>
    <mergeCell ref="C81:D81"/>
    <mergeCell ref="E81:F81"/>
    <mergeCell ref="G81:H81"/>
    <mergeCell ref="E74:G74"/>
    <mergeCell ref="B81:B82"/>
    <mergeCell ref="N74:P74"/>
    <mergeCell ref="K81:K82"/>
    <mergeCell ref="L81:M81"/>
    <mergeCell ref="N81:O81"/>
    <mergeCell ref="P81:Q81"/>
  </mergeCells>
  <pageMargins left="0.7" right="0.7" top="0.75" bottom="0.75" header="0.3" footer="0.3"/>
  <pageSetup scale="72"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0C4F-0030-4A74-89B5-EA855F4EAA7F}">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214</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215</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293D-212D-4030-9CB4-30B64A547172}">
  <dimension ref="A1:R41"/>
  <sheetViews>
    <sheetView topLeftCell="A13" zoomScaleNormal="100" workbookViewId="0">
      <selection activeCell="B31" sqref="B31"/>
    </sheetView>
  </sheetViews>
  <sheetFormatPr defaultRowHeight="15.6" x14ac:dyDescent="0.3"/>
  <cols>
    <col min="1" max="1" width="8.88671875" style="1" customWidth="1"/>
    <col min="2" max="2" width="15" style="1" customWidth="1"/>
    <col min="3" max="3" width="18.44140625" style="1" customWidth="1"/>
    <col min="4" max="7" width="12.77734375" style="1" customWidth="1"/>
    <col min="8" max="8" width="8.88671875" style="1" customWidth="1"/>
    <col min="9" max="16384" width="8.88671875" style="1"/>
  </cols>
  <sheetData>
    <row r="1" spans="1:18" ht="17.399999999999999" x14ac:dyDescent="0.3">
      <c r="A1" s="2" t="s">
        <v>217</v>
      </c>
      <c r="B1" s="4"/>
      <c r="C1" s="9" t="s">
        <v>9</v>
      </c>
      <c r="D1" s="4"/>
      <c r="E1" s="4"/>
      <c r="F1" s="4"/>
      <c r="G1" s="4"/>
      <c r="H1" s="4"/>
      <c r="I1" s="4"/>
      <c r="J1" s="4"/>
      <c r="K1" s="4"/>
      <c r="L1" s="3"/>
    </row>
    <row r="2" spans="1:18" x14ac:dyDescent="0.3">
      <c r="A2" s="4"/>
      <c r="B2" s="4"/>
      <c r="C2" s="4"/>
      <c r="D2" s="4"/>
      <c r="E2" s="4"/>
      <c r="F2" s="4"/>
      <c r="G2" s="4"/>
      <c r="H2" s="4"/>
      <c r="I2" s="4"/>
      <c r="J2" s="4"/>
      <c r="K2" s="4"/>
      <c r="L2" s="3"/>
    </row>
    <row r="3" spans="1:18" x14ac:dyDescent="0.3">
      <c r="A3" s="9" t="s">
        <v>216</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ht="62.4" x14ac:dyDescent="0.3">
      <c r="A5" s="13"/>
      <c r="B5" s="27" t="s">
        <v>48</v>
      </c>
      <c r="C5" s="27" t="s">
        <v>218</v>
      </c>
      <c r="D5" s="27" t="s">
        <v>219</v>
      </c>
      <c r="E5" s="27" t="s">
        <v>252</v>
      </c>
      <c r="F5" s="27" t="s">
        <v>220</v>
      </c>
      <c r="G5" s="27" t="s">
        <v>221</v>
      </c>
      <c r="H5" s="10"/>
      <c r="I5" s="10"/>
      <c r="J5" s="10"/>
      <c r="K5" s="10"/>
      <c r="L5" s="10"/>
    </row>
    <row r="6" spans="1:18" s="11" customFormat="1" x14ac:dyDescent="0.3">
      <c r="A6" s="13"/>
      <c r="B6" s="60">
        <v>2017</v>
      </c>
      <c r="C6" s="61">
        <v>232300</v>
      </c>
      <c r="D6" s="61">
        <v>290400</v>
      </c>
      <c r="E6" s="61">
        <v>67760</v>
      </c>
      <c r="F6" s="61">
        <v>2420000</v>
      </c>
      <c r="G6" s="61">
        <v>2370000</v>
      </c>
      <c r="H6" s="10"/>
      <c r="I6" s="10"/>
      <c r="J6" s="10"/>
      <c r="K6" s="10"/>
      <c r="L6" s="10"/>
    </row>
    <row r="7" spans="1:18" s="11" customFormat="1" x14ac:dyDescent="0.3">
      <c r="A7" s="13"/>
      <c r="B7" s="60">
        <v>2018</v>
      </c>
      <c r="C7" s="61">
        <v>249500</v>
      </c>
      <c r="D7" s="61">
        <v>303600</v>
      </c>
      <c r="E7" s="61">
        <v>70840</v>
      </c>
      <c r="F7" s="61">
        <v>2530000</v>
      </c>
      <c r="G7" s="61">
        <v>2470000</v>
      </c>
      <c r="H7" s="10"/>
      <c r="I7" s="10"/>
      <c r="J7" s="10"/>
      <c r="K7" s="10"/>
      <c r="L7" s="10"/>
    </row>
    <row r="8" spans="1:18" s="11" customFormat="1" x14ac:dyDescent="0.3">
      <c r="A8" s="13"/>
      <c r="B8" s="60">
        <v>2019</v>
      </c>
      <c r="C8" s="61">
        <v>253200</v>
      </c>
      <c r="D8" s="61">
        <v>320400</v>
      </c>
      <c r="E8" s="61">
        <v>74760</v>
      </c>
      <c r="F8" s="61">
        <v>2670000</v>
      </c>
      <c r="G8" s="61">
        <v>2610000</v>
      </c>
      <c r="H8" s="10"/>
      <c r="I8" s="10"/>
      <c r="J8" s="10"/>
      <c r="K8" s="10"/>
      <c r="L8" s="10"/>
    </row>
    <row r="9" spans="1:18" s="11" customFormat="1" x14ac:dyDescent="0.3">
      <c r="A9" s="12"/>
      <c r="B9" s="60">
        <v>2020</v>
      </c>
      <c r="C9" s="61">
        <v>258500</v>
      </c>
      <c r="D9" s="61">
        <v>352800</v>
      </c>
      <c r="E9" s="61">
        <v>82320</v>
      </c>
      <c r="F9" s="61">
        <v>2940000</v>
      </c>
      <c r="G9" s="61">
        <v>2810000</v>
      </c>
      <c r="H9" s="10"/>
      <c r="I9" s="10"/>
      <c r="J9" s="10"/>
      <c r="K9" s="10"/>
      <c r="L9" s="10"/>
    </row>
    <row r="10" spans="1:18" s="11" customFormat="1" x14ac:dyDescent="0.3">
      <c r="A10" s="12"/>
      <c r="B10" s="12"/>
      <c r="C10" s="12"/>
      <c r="D10" s="12"/>
      <c r="E10" s="12"/>
      <c r="F10" s="12"/>
      <c r="G10" s="12"/>
      <c r="H10" s="10"/>
      <c r="I10" s="10"/>
      <c r="J10" s="10"/>
      <c r="K10" s="10"/>
      <c r="L10" s="10"/>
    </row>
    <row r="11" spans="1:18" s="11" customFormat="1" x14ac:dyDescent="0.3">
      <c r="A11" s="13"/>
      <c r="B11" s="75" t="s">
        <v>222</v>
      </c>
      <c r="C11" s="12"/>
      <c r="D11" s="12"/>
      <c r="E11" s="12"/>
      <c r="F11" s="97">
        <v>2936450</v>
      </c>
      <c r="G11" s="12"/>
      <c r="H11" s="10"/>
      <c r="I11" s="10"/>
      <c r="J11" s="10"/>
      <c r="K11" s="10"/>
      <c r="L11" s="10"/>
    </row>
    <row r="12" spans="1:18" s="11" customFormat="1" x14ac:dyDescent="0.3">
      <c r="A12" s="12"/>
      <c r="B12" s="75" t="s">
        <v>223</v>
      </c>
      <c r="C12" s="12"/>
      <c r="D12" s="12"/>
      <c r="E12" s="12"/>
      <c r="F12" s="12"/>
      <c r="G12" s="97">
        <v>293645</v>
      </c>
      <c r="H12" s="10"/>
      <c r="I12" s="10"/>
      <c r="J12" s="10"/>
      <c r="K12" s="10"/>
      <c r="L12" s="10"/>
    </row>
    <row r="13" spans="1:18" s="11" customFormat="1" x14ac:dyDescent="0.3">
      <c r="A13" s="12"/>
      <c r="B13" s="75" t="s">
        <v>224</v>
      </c>
      <c r="C13" s="12"/>
      <c r="D13" s="12"/>
      <c r="E13" s="12"/>
      <c r="F13" s="12"/>
      <c r="G13" s="98">
        <v>0.3</v>
      </c>
      <c r="H13" s="10"/>
      <c r="I13" s="10"/>
      <c r="J13" s="10"/>
      <c r="K13" s="10"/>
      <c r="L13" s="10"/>
    </row>
    <row r="14" spans="1:18" x14ac:dyDescent="0.3">
      <c r="A14" s="9"/>
      <c r="B14" s="9"/>
      <c r="C14" s="9"/>
      <c r="D14" s="9"/>
      <c r="E14" s="9"/>
      <c r="F14" s="9"/>
      <c r="G14" s="9"/>
      <c r="H14" s="9"/>
      <c r="I14" s="9"/>
      <c r="J14" s="9"/>
      <c r="K14" s="9"/>
      <c r="L14" s="9"/>
    </row>
    <row r="16" spans="1:18" x14ac:dyDescent="0.3">
      <c r="A16" s="6" t="s">
        <v>5</v>
      </c>
      <c r="B16" s="9" t="s">
        <v>225</v>
      </c>
      <c r="C16" s="4"/>
      <c r="D16" s="4"/>
      <c r="E16" s="4"/>
      <c r="F16" s="4"/>
      <c r="G16" s="4"/>
      <c r="H16" s="4"/>
      <c r="I16" s="4"/>
      <c r="J16" s="4"/>
      <c r="K16" s="4"/>
      <c r="L16" s="4"/>
      <c r="M16" s="8"/>
      <c r="N16" s="8"/>
      <c r="O16" s="8"/>
      <c r="P16" s="8"/>
      <c r="Q16" s="8"/>
      <c r="R16" s="8"/>
    </row>
    <row r="17" spans="1:14" x14ac:dyDescent="0.3">
      <c r="A17" s="3"/>
      <c r="B17" s="3"/>
      <c r="C17" s="3"/>
      <c r="D17" s="3"/>
      <c r="E17" s="3"/>
      <c r="F17" s="3"/>
      <c r="G17" s="4"/>
      <c r="H17" s="4"/>
      <c r="I17" s="4"/>
      <c r="J17" s="4"/>
      <c r="K17" s="4"/>
      <c r="L17" s="4"/>
    </row>
    <row r="18" spans="1:14" x14ac:dyDescent="0.3">
      <c r="A18" s="7"/>
      <c r="B18" s="7"/>
      <c r="C18" s="7"/>
      <c r="D18" s="7"/>
      <c r="E18" s="7"/>
      <c r="F18" s="7"/>
      <c r="G18" s="7"/>
      <c r="H18" s="7"/>
      <c r="I18" s="7"/>
      <c r="J18" s="7"/>
      <c r="K18" s="7"/>
      <c r="L18" s="7"/>
      <c r="M18" s="7"/>
    </row>
    <row r="19" spans="1:14" x14ac:dyDescent="0.3">
      <c r="A19" s="7" t="s">
        <v>2</v>
      </c>
      <c r="B19" s="7"/>
      <c r="C19" s="7"/>
      <c r="D19" s="7"/>
      <c r="E19" s="7"/>
      <c r="F19" s="7"/>
      <c r="G19" s="7"/>
      <c r="H19" s="7"/>
      <c r="I19" s="7"/>
      <c r="J19" s="7"/>
      <c r="K19" s="7"/>
      <c r="L19" s="7"/>
      <c r="M19" s="7"/>
      <c r="N19" s="8"/>
    </row>
    <row r="20" spans="1:14" ht="46.8" x14ac:dyDescent="0.3">
      <c r="A20" s="7"/>
      <c r="B20" s="225" t="s">
        <v>48</v>
      </c>
      <c r="C20" s="225" t="s">
        <v>482</v>
      </c>
      <c r="D20" s="225" t="s">
        <v>219</v>
      </c>
      <c r="E20" s="225" t="s">
        <v>476</v>
      </c>
      <c r="F20" s="122"/>
      <c r="G20" s="122"/>
      <c r="H20" s="122"/>
      <c r="I20" s="122"/>
      <c r="J20" s="122"/>
      <c r="K20" s="122"/>
      <c r="L20" s="7"/>
      <c r="M20" s="7"/>
      <c r="N20" s="8"/>
    </row>
    <row r="21" spans="1:14" x14ac:dyDescent="0.3">
      <c r="A21" s="7"/>
      <c r="B21" s="289">
        <f>B6</f>
        <v>2017</v>
      </c>
      <c r="C21" s="313">
        <f>C6/G6</f>
        <v>9.8016877637130795E-2</v>
      </c>
      <c r="D21" s="313">
        <f>D6/F6</f>
        <v>0.12</v>
      </c>
      <c r="E21" s="313">
        <f>E6/F6</f>
        <v>2.8000000000000001E-2</v>
      </c>
      <c r="F21" s="140"/>
      <c r="G21" s="140"/>
      <c r="H21" s="122"/>
      <c r="I21" s="122"/>
      <c r="J21" s="122"/>
      <c r="K21" s="122"/>
      <c r="L21" s="7"/>
      <c r="M21" s="7"/>
      <c r="N21" s="8"/>
    </row>
    <row r="22" spans="1:14" x14ac:dyDescent="0.3">
      <c r="A22" s="7"/>
      <c r="B22" s="289">
        <f t="shared" ref="B22:B24" si="0">B7</f>
        <v>2018</v>
      </c>
      <c r="C22" s="313">
        <f t="shared" ref="C22:C24" si="1">C7/G7</f>
        <v>0.10101214574898786</v>
      </c>
      <c r="D22" s="313">
        <f t="shared" ref="D22:D24" si="2">D7/F7</f>
        <v>0.12</v>
      </c>
      <c r="E22" s="313">
        <f t="shared" ref="E22:E24" si="3">E7/F7</f>
        <v>2.8000000000000001E-2</v>
      </c>
      <c r="F22" s="140"/>
      <c r="G22" s="140"/>
      <c r="H22" s="122"/>
      <c r="I22" s="122"/>
      <c r="J22" s="122"/>
      <c r="K22" s="122"/>
      <c r="L22" s="7"/>
      <c r="M22" s="7"/>
      <c r="N22" s="8"/>
    </row>
    <row r="23" spans="1:14" x14ac:dyDescent="0.3">
      <c r="A23" s="7"/>
      <c r="B23" s="289">
        <f t="shared" si="0"/>
        <v>2019</v>
      </c>
      <c r="C23" s="313">
        <f t="shared" si="1"/>
        <v>9.7011494252873559E-2</v>
      </c>
      <c r="D23" s="313">
        <f t="shared" si="2"/>
        <v>0.12</v>
      </c>
      <c r="E23" s="313">
        <f t="shared" si="3"/>
        <v>2.8000000000000001E-2</v>
      </c>
      <c r="F23" s="140"/>
      <c r="G23" s="140"/>
      <c r="H23" s="122"/>
      <c r="I23" s="122"/>
      <c r="J23" s="122"/>
      <c r="K23" s="122"/>
      <c r="L23" s="7"/>
      <c r="M23" s="7"/>
      <c r="N23" s="8"/>
    </row>
    <row r="24" spans="1:14" x14ac:dyDescent="0.3">
      <c r="A24" s="7"/>
      <c r="B24" s="288">
        <f t="shared" si="0"/>
        <v>2020</v>
      </c>
      <c r="C24" s="308">
        <f t="shared" si="1"/>
        <v>9.1992882562277584E-2</v>
      </c>
      <c r="D24" s="308">
        <f t="shared" si="2"/>
        <v>0.12</v>
      </c>
      <c r="E24" s="308">
        <f t="shared" si="3"/>
        <v>2.8000000000000001E-2</v>
      </c>
      <c r="F24" s="140"/>
      <c r="G24" s="140"/>
      <c r="H24" s="122"/>
      <c r="I24" s="122"/>
      <c r="J24" s="122"/>
      <c r="K24" s="122"/>
      <c r="L24" s="7"/>
      <c r="M24" s="7"/>
      <c r="N24" s="8"/>
    </row>
    <row r="25" spans="1:14" x14ac:dyDescent="0.3">
      <c r="A25" s="7"/>
      <c r="B25" s="122" t="s">
        <v>477</v>
      </c>
      <c r="C25" s="314">
        <f>G12/F11</f>
        <v>0.1</v>
      </c>
      <c r="D25" s="122"/>
      <c r="E25" s="122"/>
      <c r="F25" s="140"/>
      <c r="G25" s="140"/>
      <c r="H25" s="122"/>
      <c r="I25" s="122"/>
      <c r="J25" s="122"/>
      <c r="K25" s="122"/>
      <c r="L25" s="7"/>
      <c r="M25" s="7"/>
      <c r="N25" s="8"/>
    </row>
    <row r="26" spans="1:14" x14ac:dyDescent="0.3">
      <c r="A26" s="7"/>
      <c r="B26" s="122" t="s">
        <v>480</v>
      </c>
      <c r="C26" s="314"/>
      <c r="D26" s="314">
        <f>AVERAGE(D21:D24)</f>
        <v>0.12</v>
      </c>
      <c r="E26" s="314">
        <f>AVERAGE(E21:E24)</f>
        <v>2.8000000000000001E-2</v>
      </c>
      <c r="F26" s="122"/>
      <c r="G26" s="286"/>
      <c r="H26" s="122"/>
      <c r="I26" s="122"/>
      <c r="J26" s="122"/>
      <c r="K26" s="122"/>
      <c r="L26" s="7"/>
      <c r="M26" s="7"/>
      <c r="N26" s="8"/>
    </row>
    <row r="27" spans="1:14" x14ac:dyDescent="0.3">
      <c r="A27" s="7"/>
      <c r="B27" s="122"/>
      <c r="C27" s="122"/>
      <c r="D27" s="122"/>
      <c r="E27" s="122"/>
      <c r="F27" s="122"/>
      <c r="G27" s="122"/>
      <c r="H27" s="122"/>
      <c r="I27" s="122"/>
      <c r="J27" s="122"/>
      <c r="K27" s="122"/>
      <c r="L27" s="7"/>
      <c r="M27" s="7"/>
      <c r="N27" s="8"/>
    </row>
    <row r="28" spans="1:14" x14ac:dyDescent="0.3">
      <c r="A28" s="7"/>
      <c r="B28" s="122" t="s">
        <v>478</v>
      </c>
      <c r="C28" s="122"/>
      <c r="D28" s="122"/>
      <c r="E28" s="286">
        <f>C25</f>
        <v>0.1</v>
      </c>
      <c r="F28" s="122"/>
      <c r="G28" s="122"/>
      <c r="H28" s="122"/>
      <c r="I28" s="122"/>
      <c r="J28" s="122"/>
      <c r="K28" s="122"/>
      <c r="L28" s="7"/>
      <c r="M28" s="7"/>
      <c r="N28" s="8"/>
    </row>
    <row r="29" spans="1:14" x14ac:dyDescent="0.3">
      <c r="A29" s="7"/>
      <c r="B29" s="122" t="s">
        <v>481</v>
      </c>
      <c r="C29" s="122"/>
      <c r="D29" s="122"/>
      <c r="E29" s="286"/>
      <c r="F29" s="122"/>
      <c r="G29" s="122"/>
      <c r="H29" s="122"/>
      <c r="I29" s="122"/>
      <c r="J29" s="122"/>
      <c r="K29" s="122"/>
      <c r="L29" s="7"/>
      <c r="M29" s="7"/>
      <c r="N29" s="8"/>
    </row>
    <row r="30" spans="1:14" x14ac:dyDescent="0.3">
      <c r="A30" s="7"/>
      <c r="B30" s="122" t="s">
        <v>511</v>
      </c>
      <c r="C30" s="122"/>
      <c r="D30" s="122"/>
      <c r="E30" s="286"/>
      <c r="F30" s="122"/>
      <c r="G30" s="122"/>
      <c r="H30" s="122"/>
      <c r="I30" s="122"/>
      <c r="J30" s="122"/>
      <c r="K30" s="122"/>
      <c r="L30" s="7"/>
      <c r="M30" s="7"/>
      <c r="N30" s="8"/>
    </row>
    <row r="31" spans="1:14" x14ac:dyDescent="0.3">
      <c r="A31" s="7"/>
      <c r="B31" s="122"/>
      <c r="C31" s="122"/>
      <c r="D31" s="122"/>
      <c r="E31" s="122"/>
      <c r="F31" s="122"/>
      <c r="G31" s="122"/>
      <c r="H31" s="122"/>
      <c r="I31" s="122"/>
      <c r="J31" s="122"/>
      <c r="K31" s="122"/>
      <c r="L31" s="7"/>
      <c r="M31" s="7"/>
      <c r="N31" s="8"/>
    </row>
    <row r="32" spans="1:14" x14ac:dyDescent="0.3">
      <c r="A32" s="7"/>
      <c r="B32" s="122" t="s">
        <v>479</v>
      </c>
      <c r="C32" s="122"/>
      <c r="D32" s="122"/>
      <c r="F32" s="314">
        <f>$G$13*E28</f>
        <v>0.03</v>
      </c>
      <c r="G32" s="122"/>
      <c r="H32" s="122"/>
      <c r="I32" s="122"/>
      <c r="J32" s="122"/>
      <c r="K32" s="122"/>
      <c r="L32" s="7"/>
      <c r="M32" s="7"/>
      <c r="N32" s="8"/>
    </row>
    <row r="33" spans="1:14" x14ac:dyDescent="0.3">
      <c r="A33" s="7"/>
      <c r="B33" s="122" t="s">
        <v>483</v>
      </c>
      <c r="C33" s="122"/>
      <c r="D33" s="122"/>
      <c r="F33" s="314">
        <f>E28*(1-G13)</f>
        <v>6.9999999999999993E-2</v>
      </c>
      <c r="G33" s="122"/>
      <c r="H33" s="122"/>
      <c r="I33" s="122"/>
      <c r="J33" s="122"/>
      <c r="K33" s="122"/>
      <c r="L33" s="7"/>
      <c r="M33" s="7"/>
      <c r="N33" s="8"/>
    </row>
    <row r="34" spans="1:14" x14ac:dyDescent="0.3">
      <c r="A34" s="7"/>
      <c r="B34" s="122"/>
      <c r="C34" s="122"/>
      <c r="D34" s="314"/>
      <c r="F34" s="140"/>
      <c r="G34" s="122"/>
      <c r="H34" s="122"/>
      <c r="I34" s="122"/>
      <c r="J34" s="122"/>
      <c r="K34" s="122"/>
      <c r="L34" s="7"/>
      <c r="M34" s="7"/>
      <c r="N34" s="8"/>
    </row>
    <row r="35" spans="1:14" x14ac:dyDescent="0.3">
      <c r="A35" s="7"/>
      <c r="B35" s="122" t="s">
        <v>484</v>
      </c>
      <c r="C35" s="122"/>
      <c r="D35" s="122"/>
      <c r="F35" s="314">
        <f>F33+D26+E26</f>
        <v>0.218</v>
      </c>
      <c r="G35" s="122"/>
      <c r="H35" s="122"/>
      <c r="I35" s="122"/>
      <c r="J35" s="122"/>
      <c r="K35" s="122"/>
      <c r="L35" s="7"/>
      <c r="M35" s="7"/>
      <c r="N35" s="8"/>
    </row>
    <row r="37" spans="1:14" x14ac:dyDescent="0.3">
      <c r="A37" s="5" t="s">
        <v>96</v>
      </c>
      <c r="B37" s="3"/>
      <c r="C37" s="3"/>
      <c r="D37" s="3"/>
      <c r="E37" s="3"/>
      <c r="F37" s="3"/>
      <c r="G37" s="3"/>
      <c r="H37" s="3"/>
      <c r="I37" s="3"/>
      <c r="J37" s="3"/>
      <c r="K37" s="3"/>
      <c r="L37" s="3"/>
    </row>
    <row r="39" spans="1:14" x14ac:dyDescent="0.3">
      <c r="A39" s="5" t="s">
        <v>213</v>
      </c>
      <c r="B39" s="3"/>
      <c r="C39" s="3"/>
      <c r="D39" s="3"/>
      <c r="E39" s="3"/>
      <c r="F39" s="3"/>
      <c r="G39" s="3"/>
      <c r="H39" s="3"/>
      <c r="I39" s="3"/>
      <c r="J39" s="3"/>
      <c r="K39" s="3"/>
      <c r="L39" s="3"/>
    </row>
    <row r="40" spans="1:14" x14ac:dyDescent="0.3">
      <c r="A40" s="7"/>
      <c r="B40" s="7"/>
      <c r="C40" s="7"/>
      <c r="D40" s="7"/>
      <c r="E40" s="7"/>
      <c r="F40" s="7"/>
      <c r="G40" s="7"/>
      <c r="H40" s="7"/>
      <c r="I40" s="7"/>
      <c r="J40" s="7"/>
      <c r="K40" s="7"/>
      <c r="L40" s="7"/>
    </row>
    <row r="41" spans="1:14" x14ac:dyDescent="0.3">
      <c r="A41" s="7"/>
      <c r="B41" s="7"/>
      <c r="C41" s="7"/>
      <c r="D41" s="7"/>
      <c r="E41" s="7"/>
      <c r="F41" s="7"/>
      <c r="G41" s="7"/>
      <c r="H41" s="7"/>
      <c r="I41" s="7"/>
      <c r="J41" s="7"/>
      <c r="K41" s="7"/>
      <c r="L41" s="7"/>
    </row>
  </sheetData>
  <pageMargins left="0.7" right="0.7" top="0.75" bottom="0.75" header="0.3" footer="0.3"/>
  <pageSetup scale="6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9A4F-322C-45B3-8C10-85D19A1DCD83}">
  <dimension ref="A1:R84"/>
  <sheetViews>
    <sheetView zoomScaleNormal="100" workbookViewId="0"/>
  </sheetViews>
  <sheetFormatPr defaultRowHeight="15.6" x14ac:dyDescent="0.3"/>
  <cols>
    <col min="1" max="1" width="8.88671875" style="1" customWidth="1"/>
    <col min="2" max="2" width="11.77734375" style="1" customWidth="1"/>
    <col min="3" max="5" width="12.77734375" style="1" customWidth="1"/>
    <col min="6" max="9" width="10.77734375" style="1" customWidth="1"/>
    <col min="10" max="16384" width="8.88671875" style="1"/>
  </cols>
  <sheetData>
    <row r="1" spans="1:12" ht="17.399999999999999" x14ac:dyDescent="0.3">
      <c r="A1" s="2" t="s">
        <v>226</v>
      </c>
      <c r="B1" s="4"/>
      <c r="C1" s="9" t="s">
        <v>59</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8</v>
      </c>
      <c r="B4" s="3"/>
      <c r="C4" s="3"/>
      <c r="D4" s="3"/>
      <c r="E4" s="3"/>
      <c r="F4" s="3"/>
      <c r="G4" s="3"/>
      <c r="H4" s="3"/>
      <c r="I4" s="3"/>
      <c r="J4" s="3"/>
      <c r="K4" s="3"/>
      <c r="L4" s="3"/>
    </row>
    <row r="6" spans="1:12" x14ac:dyDescent="0.3">
      <c r="A6" s="5"/>
      <c r="B6" s="3"/>
      <c r="C6" s="3"/>
      <c r="D6" s="3"/>
      <c r="E6" s="3"/>
      <c r="F6" s="3"/>
      <c r="G6" s="3"/>
      <c r="H6" s="3"/>
      <c r="I6" s="3"/>
      <c r="J6" s="3"/>
      <c r="K6" s="3"/>
      <c r="L6" s="3"/>
    </row>
    <row r="7" spans="1:12" x14ac:dyDescent="0.3">
      <c r="A7" s="9" t="s">
        <v>227</v>
      </c>
      <c r="B7" s="3"/>
      <c r="C7" s="3"/>
      <c r="D7" s="3"/>
      <c r="E7" s="3"/>
      <c r="F7" s="3"/>
      <c r="G7" s="3"/>
      <c r="H7" s="3"/>
      <c r="I7" s="3"/>
      <c r="J7" s="3"/>
      <c r="K7" s="3"/>
      <c r="L7" s="3"/>
    </row>
    <row r="8" spans="1:12" x14ac:dyDescent="0.3">
      <c r="A8" s="5"/>
      <c r="B8" s="3"/>
      <c r="C8" s="3"/>
      <c r="D8" s="3"/>
      <c r="E8" s="3"/>
      <c r="F8" s="3"/>
      <c r="G8" s="3"/>
      <c r="H8" s="3"/>
      <c r="I8" s="3"/>
      <c r="J8" s="3"/>
      <c r="K8" s="3"/>
      <c r="L8" s="3"/>
    </row>
    <row r="9" spans="1:12" x14ac:dyDescent="0.3">
      <c r="A9" s="5"/>
      <c r="B9" s="395" t="s">
        <v>39</v>
      </c>
      <c r="C9" s="395" t="s">
        <v>228</v>
      </c>
      <c r="D9" s="395" t="s">
        <v>229</v>
      </c>
      <c r="E9" s="395"/>
      <c r="F9" s="395"/>
      <c r="G9" s="395"/>
      <c r="H9" s="395"/>
      <c r="I9" s="395"/>
      <c r="J9" s="3"/>
      <c r="K9" s="3"/>
      <c r="L9" s="3"/>
    </row>
    <row r="10" spans="1:12" x14ac:dyDescent="0.3">
      <c r="A10" s="5"/>
      <c r="B10" s="395"/>
      <c r="C10" s="395"/>
      <c r="D10" s="66">
        <v>12</v>
      </c>
      <c r="E10" s="66">
        <v>24</v>
      </c>
      <c r="F10" s="66">
        <v>36</v>
      </c>
      <c r="G10" s="66">
        <v>48</v>
      </c>
      <c r="H10" s="66">
        <v>60</v>
      </c>
      <c r="I10" s="66">
        <v>72</v>
      </c>
      <c r="J10" s="3"/>
      <c r="K10" s="3"/>
      <c r="L10" s="3"/>
    </row>
    <row r="11" spans="1:12" x14ac:dyDescent="0.3">
      <c r="A11" s="5"/>
      <c r="B11" s="69">
        <v>2015</v>
      </c>
      <c r="C11" s="70">
        <v>23313</v>
      </c>
      <c r="D11" s="70">
        <v>5108</v>
      </c>
      <c r="E11" s="70">
        <v>8571</v>
      </c>
      <c r="F11" s="70">
        <v>11226</v>
      </c>
      <c r="G11" s="70">
        <v>12960</v>
      </c>
      <c r="H11" s="70">
        <v>13912</v>
      </c>
      <c r="I11" s="70">
        <v>14520</v>
      </c>
      <c r="J11" s="3"/>
      <c r="K11" s="3"/>
      <c r="L11" s="3"/>
    </row>
    <row r="12" spans="1:12" x14ac:dyDescent="0.3">
      <c r="A12" s="5"/>
      <c r="B12" s="69">
        <v>2016</v>
      </c>
      <c r="C12" s="70">
        <v>22459</v>
      </c>
      <c r="D12" s="70">
        <v>5241</v>
      </c>
      <c r="E12" s="70">
        <v>8759</v>
      </c>
      <c r="F12" s="70">
        <v>11451</v>
      </c>
      <c r="G12" s="70">
        <v>13129</v>
      </c>
      <c r="H12" s="70">
        <v>14071</v>
      </c>
      <c r="I12" s="69"/>
      <c r="J12" s="3"/>
      <c r="K12" s="3"/>
      <c r="L12" s="3"/>
    </row>
    <row r="13" spans="1:12" x14ac:dyDescent="0.3">
      <c r="A13" s="5"/>
      <c r="B13" s="69">
        <v>2017</v>
      </c>
      <c r="C13" s="70">
        <v>22525</v>
      </c>
      <c r="D13" s="70">
        <v>5436</v>
      </c>
      <c r="E13" s="70">
        <v>8640</v>
      </c>
      <c r="F13" s="70">
        <v>11222</v>
      </c>
      <c r="G13" s="70">
        <v>12825</v>
      </c>
      <c r="H13" s="69"/>
      <c r="I13" s="69"/>
      <c r="J13" s="3"/>
      <c r="K13" s="3"/>
      <c r="L13" s="3"/>
    </row>
    <row r="14" spans="1:12" x14ac:dyDescent="0.3">
      <c r="A14" s="5"/>
      <c r="B14" s="69">
        <v>2018</v>
      </c>
      <c r="C14" s="70">
        <v>21688</v>
      </c>
      <c r="D14" s="70">
        <v>5787</v>
      </c>
      <c r="E14" s="70">
        <v>9153</v>
      </c>
      <c r="F14" s="70">
        <v>11822</v>
      </c>
      <c r="G14" s="69"/>
      <c r="H14" s="69"/>
      <c r="I14" s="69"/>
      <c r="J14" s="3"/>
      <c r="K14" s="3"/>
      <c r="L14" s="3"/>
    </row>
    <row r="15" spans="1:12" x14ac:dyDescent="0.3">
      <c r="A15" s="5"/>
      <c r="B15" s="69">
        <v>2019</v>
      </c>
      <c r="C15" s="70">
        <v>20743</v>
      </c>
      <c r="D15" s="70">
        <v>5103</v>
      </c>
      <c r="E15" s="70">
        <v>7968</v>
      </c>
      <c r="F15" s="69"/>
      <c r="G15" s="69"/>
      <c r="H15" s="69"/>
      <c r="I15" s="69"/>
      <c r="J15" s="3"/>
      <c r="K15" s="3"/>
      <c r="L15" s="3"/>
    </row>
    <row r="16" spans="1:12" x14ac:dyDescent="0.3">
      <c r="A16" s="5"/>
      <c r="B16" s="69">
        <v>2020</v>
      </c>
      <c r="C16" s="70">
        <v>17850</v>
      </c>
      <c r="D16" s="70">
        <v>3370</v>
      </c>
      <c r="E16" s="69"/>
      <c r="F16" s="69"/>
      <c r="G16" s="99"/>
      <c r="H16" s="99"/>
      <c r="I16" s="64"/>
      <c r="J16" s="3"/>
      <c r="K16" s="3"/>
      <c r="L16" s="3"/>
    </row>
    <row r="17" spans="1:18" x14ac:dyDescent="0.3">
      <c r="A17" s="5"/>
      <c r="B17" s="3"/>
      <c r="C17" s="3"/>
      <c r="D17" s="3"/>
      <c r="E17" s="3"/>
      <c r="F17" s="3"/>
      <c r="G17" s="3"/>
      <c r="H17" s="3"/>
      <c r="I17" s="3"/>
      <c r="J17" s="3"/>
      <c r="K17" s="3"/>
      <c r="L17" s="3"/>
    </row>
    <row r="18" spans="1:18" x14ac:dyDescent="0.3">
      <c r="A18" s="5"/>
      <c r="B18" s="75" t="s">
        <v>230</v>
      </c>
      <c r="C18" s="3"/>
      <c r="D18" s="3"/>
      <c r="E18" s="3"/>
      <c r="F18" s="3"/>
      <c r="G18" s="3"/>
      <c r="H18" s="3"/>
      <c r="I18" s="3"/>
      <c r="J18" s="3"/>
      <c r="K18" s="3"/>
      <c r="L18" s="3"/>
    </row>
    <row r="19" spans="1:18" x14ac:dyDescent="0.3">
      <c r="A19" s="5"/>
      <c r="B19" s="75" t="s">
        <v>231</v>
      </c>
      <c r="C19" s="3"/>
      <c r="D19" s="3"/>
      <c r="E19" s="3"/>
      <c r="F19" s="3"/>
      <c r="G19" s="3"/>
      <c r="H19" s="3"/>
      <c r="I19" s="3"/>
      <c r="J19" s="3"/>
      <c r="K19" s="3"/>
      <c r="L19" s="3"/>
    </row>
    <row r="20" spans="1:18" x14ac:dyDescent="0.3">
      <c r="A20" s="5"/>
      <c r="B20" s="406" t="s">
        <v>232</v>
      </c>
      <c r="C20" s="361"/>
      <c r="D20" s="361"/>
      <c r="E20" s="361"/>
      <c r="F20" s="361"/>
      <c r="G20" s="361"/>
      <c r="H20" s="361"/>
      <c r="I20" s="361"/>
      <c r="J20" s="361"/>
      <c r="K20" s="361"/>
      <c r="L20" s="361"/>
    </row>
    <row r="21" spans="1:18" x14ac:dyDescent="0.3">
      <c r="A21" s="5"/>
      <c r="B21" s="361"/>
      <c r="C21" s="361"/>
      <c r="D21" s="361"/>
      <c r="E21" s="361"/>
      <c r="F21" s="361"/>
      <c r="G21" s="361"/>
      <c r="H21" s="361"/>
      <c r="I21" s="361"/>
      <c r="J21" s="361"/>
      <c r="K21" s="361"/>
      <c r="L21" s="361"/>
    </row>
    <row r="22" spans="1:18" x14ac:dyDescent="0.3">
      <c r="A22" s="5"/>
      <c r="B22" s="3"/>
      <c r="C22" s="3"/>
      <c r="D22" s="3"/>
      <c r="E22" s="3"/>
      <c r="F22" s="3"/>
      <c r="G22" s="3"/>
      <c r="H22" s="3"/>
      <c r="I22" s="3"/>
      <c r="J22" s="3"/>
      <c r="K22" s="3"/>
      <c r="L22" s="3"/>
    </row>
    <row r="23" spans="1:18" x14ac:dyDescent="0.3">
      <c r="A23" s="7"/>
      <c r="B23" s="7"/>
      <c r="C23" s="7"/>
      <c r="D23" s="7"/>
      <c r="E23" s="7"/>
      <c r="F23" s="7"/>
      <c r="G23" s="7"/>
      <c r="H23" s="7"/>
      <c r="I23" s="7"/>
      <c r="J23" s="7"/>
      <c r="K23" s="7"/>
      <c r="L23" s="7"/>
    </row>
    <row r="24" spans="1:18" x14ac:dyDescent="0.3">
      <c r="A24" s="6" t="s">
        <v>6</v>
      </c>
      <c r="B24" s="9" t="s">
        <v>233</v>
      </c>
      <c r="C24" s="4"/>
      <c r="D24" s="4"/>
      <c r="E24" s="4"/>
      <c r="F24" s="4"/>
      <c r="G24" s="4"/>
      <c r="H24" s="4"/>
      <c r="I24" s="4"/>
      <c r="J24" s="4"/>
      <c r="K24" s="4"/>
      <c r="L24" s="4"/>
      <c r="M24" s="8"/>
      <c r="N24" s="8"/>
      <c r="O24" s="8"/>
      <c r="P24" s="8"/>
      <c r="Q24" s="8"/>
      <c r="R24" s="8"/>
    </row>
    <row r="25" spans="1:18" x14ac:dyDescent="0.3">
      <c r="A25" s="7"/>
      <c r="B25" s="7"/>
      <c r="C25" s="7"/>
      <c r="D25" s="7"/>
      <c r="E25" s="7"/>
      <c r="F25" s="7"/>
      <c r="G25" s="7"/>
      <c r="H25" s="7"/>
      <c r="I25" s="7"/>
      <c r="J25" s="7"/>
      <c r="K25" s="7"/>
      <c r="L25" s="7"/>
      <c r="M25" s="7"/>
    </row>
    <row r="26" spans="1:18" x14ac:dyDescent="0.3">
      <c r="A26" s="7" t="s">
        <v>2</v>
      </c>
      <c r="B26" s="7"/>
      <c r="C26" s="7"/>
      <c r="D26" s="7"/>
      <c r="E26" s="7"/>
      <c r="F26" s="7"/>
      <c r="G26" s="7"/>
      <c r="H26" s="7"/>
      <c r="I26" s="7"/>
      <c r="J26" s="7"/>
      <c r="K26" s="7"/>
      <c r="L26" s="7"/>
      <c r="M26" s="7"/>
      <c r="N26" s="8"/>
    </row>
    <row r="27" spans="1:18" x14ac:dyDescent="0.3">
      <c r="A27" s="7"/>
      <c r="B27" s="288" t="s">
        <v>349</v>
      </c>
      <c r="C27" s="335" t="s">
        <v>487</v>
      </c>
      <c r="D27" s="335" t="s">
        <v>488</v>
      </c>
      <c r="E27" s="335" t="s">
        <v>489</v>
      </c>
      <c r="F27" s="335" t="s">
        <v>490</v>
      </c>
      <c r="G27" s="335" t="s">
        <v>491</v>
      </c>
      <c r="H27" s="336" t="s">
        <v>492</v>
      </c>
      <c r="I27" s="122"/>
      <c r="J27" s="7"/>
      <c r="K27" s="7"/>
      <c r="L27" s="7"/>
      <c r="M27" s="7"/>
      <c r="N27" s="8"/>
    </row>
    <row r="28" spans="1:18" x14ac:dyDescent="0.3">
      <c r="A28" s="7"/>
      <c r="B28" s="289">
        <f>B11</f>
        <v>2015</v>
      </c>
      <c r="C28" s="337">
        <f>E11/D11</f>
        <v>1.677956147220047</v>
      </c>
      <c r="D28" s="337">
        <f t="shared" ref="D28:G28" si="0">F11/E11</f>
        <v>1.3097654882744136</v>
      </c>
      <c r="E28" s="337">
        <f t="shared" si="0"/>
        <v>1.1544628540887225</v>
      </c>
      <c r="F28" s="337">
        <f t="shared" si="0"/>
        <v>1.0734567901234568</v>
      </c>
      <c r="G28" s="337">
        <f t="shared" si="0"/>
        <v>1.0437032777458308</v>
      </c>
      <c r="H28" s="337"/>
      <c r="I28" s="122"/>
      <c r="J28" s="7"/>
      <c r="K28" s="7"/>
      <c r="L28" s="7"/>
      <c r="M28" s="7"/>
      <c r="N28" s="8"/>
    </row>
    <row r="29" spans="1:18" x14ac:dyDescent="0.3">
      <c r="B29" s="289">
        <f t="shared" ref="B29:B32" si="1">B12</f>
        <v>2016</v>
      </c>
      <c r="C29" s="337">
        <f t="shared" ref="C29:F29" si="2">E12/D12</f>
        <v>1.6712459454302615</v>
      </c>
      <c r="D29" s="337">
        <f t="shared" si="2"/>
        <v>1.3073410206644593</v>
      </c>
      <c r="E29" s="337">
        <f t="shared" si="2"/>
        <v>1.1465374203126364</v>
      </c>
      <c r="F29" s="337">
        <f t="shared" si="2"/>
        <v>1.071749562038236</v>
      </c>
      <c r="G29" s="337"/>
      <c r="H29" s="337"/>
      <c r="I29" s="122"/>
      <c r="M29" s="8"/>
      <c r="N29" s="8"/>
    </row>
    <row r="30" spans="1:18" x14ac:dyDescent="0.3">
      <c r="B30" s="289">
        <f t="shared" si="1"/>
        <v>2017</v>
      </c>
      <c r="C30" s="337">
        <f t="shared" ref="C30:E30" si="3">E13/D13</f>
        <v>1.5894039735099337</v>
      </c>
      <c r="D30" s="337">
        <f t="shared" si="3"/>
        <v>1.2988425925925926</v>
      </c>
      <c r="E30" s="337">
        <f t="shared" si="3"/>
        <v>1.1428444127606487</v>
      </c>
      <c r="F30" s="337"/>
      <c r="G30" s="337"/>
      <c r="H30" s="337"/>
      <c r="I30" s="122"/>
      <c r="M30" s="8"/>
      <c r="N30" s="8"/>
    </row>
    <row r="31" spans="1:18" x14ac:dyDescent="0.3">
      <c r="B31" s="289">
        <f t="shared" si="1"/>
        <v>2018</v>
      </c>
      <c r="C31" s="337">
        <f t="shared" ref="C31:D31" si="4">E14/D14</f>
        <v>1.5816485225505443</v>
      </c>
      <c r="D31" s="337">
        <f t="shared" si="4"/>
        <v>1.2915983830438107</v>
      </c>
      <c r="E31" s="337"/>
      <c r="F31" s="337"/>
      <c r="G31" s="337"/>
      <c r="H31" s="337"/>
      <c r="I31" s="122"/>
      <c r="M31" s="8"/>
      <c r="N31" s="8"/>
    </row>
    <row r="32" spans="1:18" x14ac:dyDescent="0.3">
      <c r="B32" s="289">
        <f t="shared" si="1"/>
        <v>2019</v>
      </c>
      <c r="C32" s="337">
        <f t="shared" ref="C32" si="5">E15/D15</f>
        <v>1.5614344503233393</v>
      </c>
      <c r="D32" s="337"/>
      <c r="E32" s="337"/>
      <c r="F32" s="337"/>
      <c r="G32" s="337"/>
      <c r="H32" s="337"/>
      <c r="I32" s="122"/>
      <c r="M32" s="8"/>
      <c r="N32" s="8"/>
    </row>
    <row r="33" spans="1:14" x14ac:dyDescent="0.3">
      <c r="B33" s="289"/>
      <c r="C33" s="337"/>
      <c r="D33" s="337"/>
      <c r="E33" s="337"/>
      <c r="F33" s="337"/>
      <c r="G33" s="337"/>
      <c r="H33" s="337"/>
      <c r="I33" s="122"/>
      <c r="M33" s="8"/>
      <c r="N33" s="8"/>
    </row>
    <row r="34" spans="1:14" x14ac:dyDescent="0.3">
      <c r="B34" s="220" t="s">
        <v>494</v>
      </c>
      <c r="C34" s="337">
        <f>AVERAGE(C28:C32)</f>
        <v>1.6163378078068251</v>
      </c>
      <c r="D34" s="337">
        <f t="shared" ref="D34:G34" si="6">AVERAGE(D28:D32)</f>
        <v>1.301886871143819</v>
      </c>
      <c r="E34" s="337">
        <f t="shared" si="6"/>
        <v>1.1479482290540026</v>
      </c>
      <c r="F34" s="337">
        <f t="shared" si="6"/>
        <v>1.0726031760808463</v>
      </c>
      <c r="G34" s="337">
        <f t="shared" si="6"/>
        <v>1.0437032777458308</v>
      </c>
      <c r="H34" s="337"/>
      <c r="I34" s="122"/>
      <c r="M34" s="8"/>
      <c r="N34" s="8"/>
    </row>
    <row r="35" spans="1:14" x14ac:dyDescent="0.3">
      <c r="B35" s="220" t="s">
        <v>493</v>
      </c>
      <c r="C35" s="337">
        <f>AVERAGE(C30:C32)</f>
        <v>1.5774956487946057</v>
      </c>
      <c r="D35" s="337">
        <f>AVERAGE(D29:D31)</f>
        <v>1.2992606654336207</v>
      </c>
      <c r="E35" s="337">
        <f>E34</f>
        <v>1.1479482290540026</v>
      </c>
      <c r="F35" s="337">
        <f>F34</f>
        <v>1.0726031760808463</v>
      </c>
      <c r="G35" s="337">
        <f>G34</f>
        <v>1.0437032777458308</v>
      </c>
      <c r="H35" s="337"/>
      <c r="I35" s="122"/>
      <c r="M35" s="8"/>
      <c r="N35" s="8"/>
    </row>
    <row r="36" spans="1:14" x14ac:dyDescent="0.3">
      <c r="B36" s="220" t="s">
        <v>495</v>
      </c>
      <c r="C36" s="337">
        <f>C35</f>
        <v>1.5774956487946057</v>
      </c>
      <c r="D36" s="337">
        <f t="shared" ref="D36:G36" si="7">D35</f>
        <v>1.2992606654336207</v>
      </c>
      <c r="E36" s="337">
        <f t="shared" si="7"/>
        <v>1.1479482290540026</v>
      </c>
      <c r="F36" s="337">
        <f t="shared" si="7"/>
        <v>1.0726031760808463</v>
      </c>
      <c r="G36" s="337">
        <f t="shared" si="7"/>
        <v>1.0437032777458308</v>
      </c>
      <c r="H36" s="337">
        <v>1.1000000000000001</v>
      </c>
      <c r="I36" s="122"/>
      <c r="M36" s="8"/>
      <c r="N36" s="8"/>
    </row>
    <row r="37" spans="1:14" x14ac:dyDescent="0.3">
      <c r="C37" s="125"/>
      <c r="D37" s="125"/>
      <c r="E37" s="125"/>
      <c r="F37" s="125"/>
      <c r="G37" s="125"/>
      <c r="H37" s="125"/>
      <c r="M37" s="8"/>
      <c r="N37" s="8"/>
    </row>
    <row r="38" spans="1:14" x14ac:dyDescent="0.3">
      <c r="B38" s="1" t="s">
        <v>496</v>
      </c>
      <c r="M38" s="8"/>
      <c r="N38" s="8"/>
    </row>
    <row r="40" spans="1:14" x14ac:dyDescent="0.3">
      <c r="A40" s="6" t="s">
        <v>1</v>
      </c>
      <c r="B40" s="406" t="s">
        <v>234</v>
      </c>
      <c r="C40" s="415"/>
      <c r="D40" s="415"/>
      <c r="E40" s="415"/>
      <c r="F40" s="415"/>
      <c r="G40" s="415"/>
      <c r="H40" s="415"/>
      <c r="I40" s="415"/>
      <c r="J40" s="415"/>
      <c r="K40" s="415"/>
      <c r="L40" s="415"/>
    </row>
    <row r="41" spans="1:14" x14ac:dyDescent="0.3">
      <c r="A41" s="3"/>
      <c r="B41" s="415"/>
      <c r="C41" s="415"/>
      <c r="D41" s="415"/>
      <c r="E41" s="415"/>
      <c r="F41" s="415"/>
      <c r="G41" s="415"/>
      <c r="H41" s="415"/>
      <c r="I41" s="415"/>
      <c r="J41" s="415"/>
      <c r="K41" s="415"/>
      <c r="L41" s="415"/>
    </row>
    <row r="42" spans="1:14" x14ac:dyDescent="0.3">
      <c r="A42" s="7"/>
      <c r="B42" s="7"/>
      <c r="C42" s="7"/>
      <c r="D42" s="7"/>
      <c r="E42" s="7"/>
      <c r="F42" s="7"/>
      <c r="G42" s="7"/>
      <c r="H42" s="7"/>
      <c r="I42" s="7"/>
      <c r="J42" s="7"/>
      <c r="K42" s="7"/>
      <c r="L42" s="7"/>
    </row>
    <row r="43" spans="1:14" x14ac:dyDescent="0.3">
      <c r="A43" s="7" t="s">
        <v>2</v>
      </c>
      <c r="B43" s="7"/>
      <c r="C43" s="7"/>
      <c r="D43" s="7"/>
      <c r="E43" s="7"/>
      <c r="F43" s="7"/>
      <c r="G43" s="7"/>
      <c r="H43" s="7"/>
      <c r="I43" s="7"/>
      <c r="J43" s="7"/>
      <c r="K43" s="7"/>
      <c r="L43" s="7"/>
    </row>
    <row r="44" spans="1:14" x14ac:dyDescent="0.3">
      <c r="A44" s="7"/>
      <c r="B44" s="230"/>
      <c r="C44" s="335" t="s">
        <v>487</v>
      </c>
      <c r="D44" s="335" t="s">
        <v>488</v>
      </c>
      <c r="E44" s="335" t="s">
        <v>489</v>
      </c>
      <c r="F44" s="335" t="s">
        <v>490</v>
      </c>
      <c r="G44" s="335" t="s">
        <v>491</v>
      </c>
      <c r="H44" s="336" t="s">
        <v>492</v>
      </c>
      <c r="I44" s="7"/>
      <c r="J44" s="7"/>
      <c r="K44" s="7"/>
      <c r="L44" s="7"/>
    </row>
    <row r="45" spans="1:14" x14ac:dyDescent="0.3">
      <c r="A45" s="7"/>
      <c r="B45" s="220" t="s">
        <v>497</v>
      </c>
      <c r="C45" s="337">
        <f>PRODUCT(C$36:$H36)</f>
        <v>2.8973140610703583</v>
      </c>
      <c r="D45" s="337">
        <f>PRODUCT(D$36:$H36)</f>
        <v>1.8366542331094546</v>
      </c>
      <c r="E45" s="337">
        <f>PRODUCT(E$36:$H36)</f>
        <v>1.4136148980516408</v>
      </c>
      <c r="F45" s="337">
        <f>PRODUCT(F$36:$H36)</f>
        <v>1.2314273956557846</v>
      </c>
      <c r="G45" s="337">
        <f>PRODUCT(G$36:$H36)</f>
        <v>1.1480736055204139</v>
      </c>
      <c r="H45" s="337">
        <f>PRODUCT($H$36:H36)</f>
        <v>1.1000000000000001</v>
      </c>
      <c r="I45" s="7"/>
      <c r="J45" s="7"/>
      <c r="K45" s="7"/>
      <c r="L45" s="7"/>
    </row>
    <row r="46" spans="1:14" x14ac:dyDescent="0.3">
      <c r="A46" s="7"/>
      <c r="B46" s="122"/>
      <c r="C46" s="122"/>
      <c r="D46" s="122"/>
      <c r="E46" s="122"/>
      <c r="F46" s="122"/>
      <c r="G46" s="122"/>
      <c r="H46" s="122"/>
      <c r="I46" s="7"/>
      <c r="J46" s="7"/>
      <c r="K46" s="7"/>
      <c r="L46" s="7"/>
    </row>
    <row r="47" spans="1:14" ht="46.8" x14ac:dyDescent="0.3">
      <c r="A47" s="7"/>
      <c r="B47" s="288" t="s">
        <v>349</v>
      </c>
      <c r="C47" s="225" t="s">
        <v>499</v>
      </c>
      <c r="D47" s="225" t="s">
        <v>498</v>
      </c>
      <c r="E47" s="225" t="s">
        <v>306</v>
      </c>
      <c r="F47" s="225" t="s">
        <v>500</v>
      </c>
      <c r="G47"/>
      <c r="H47"/>
      <c r="I47"/>
      <c r="J47" s="7"/>
      <c r="K47" s="7"/>
      <c r="L47" s="7"/>
    </row>
    <row r="48" spans="1:14" x14ac:dyDescent="0.3">
      <c r="B48" s="289">
        <f>B11</f>
        <v>2015</v>
      </c>
      <c r="C48" s="342">
        <f>I11</f>
        <v>14520</v>
      </c>
      <c r="D48" s="347">
        <f>H$45</f>
        <v>1.1000000000000001</v>
      </c>
      <c r="E48" s="344">
        <f t="shared" ref="E48:E53" si="8">D48*C48</f>
        <v>15972.000000000002</v>
      </c>
      <c r="F48" s="340">
        <f t="shared" ref="F48:F53" si="9">E48/C11</f>
        <v>0.68511131128554892</v>
      </c>
      <c r="G48"/>
      <c r="H48"/>
      <c r="I48"/>
      <c r="M48" s="7"/>
    </row>
    <row r="49" spans="1:13" x14ac:dyDescent="0.3">
      <c r="B49" s="289">
        <f t="shared" ref="B49:B53" si="10">B12</f>
        <v>2016</v>
      </c>
      <c r="C49" s="342">
        <f>H12</f>
        <v>14071</v>
      </c>
      <c r="D49" s="347">
        <f>G$45</f>
        <v>1.1480736055204139</v>
      </c>
      <c r="E49" s="344">
        <f t="shared" si="8"/>
        <v>16154.543703277744</v>
      </c>
      <c r="F49" s="340">
        <f t="shared" si="9"/>
        <v>0.71929042714625513</v>
      </c>
      <c r="G49"/>
      <c r="H49"/>
      <c r="I49"/>
      <c r="M49" s="7"/>
    </row>
    <row r="50" spans="1:13" x14ac:dyDescent="0.3">
      <c r="B50" s="289">
        <f t="shared" si="10"/>
        <v>2017</v>
      </c>
      <c r="C50" s="342">
        <f>G13</f>
        <v>12825</v>
      </c>
      <c r="D50" s="347">
        <f>F$45</f>
        <v>1.2314273956557846</v>
      </c>
      <c r="E50" s="344">
        <f t="shared" si="8"/>
        <v>15793.056349285438</v>
      </c>
      <c r="F50" s="340">
        <f t="shared" si="9"/>
        <v>0.70113457710479188</v>
      </c>
      <c r="G50"/>
      <c r="H50"/>
      <c r="I50"/>
      <c r="M50" s="7"/>
    </row>
    <row r="51" spans="1:13" x14ac:dyDescent="0.3">
      <c r="B51" s="289">
        <f t="shared" si="10"/>
        <v>2018</v>
      </c>
      <c r="C51" s="342">
        <f>F14</f>
        <v>11822</v>
      </c>
      <c r="D51" s="347">
        <f>E$45</f>
        <v>1.4136148980516408</v>
      </c>
      <c r="E51" s="344">
        <f t="shared" si="8"/>
        <v>16711.755324766498</v>
      </c>
      <c r="F51" s="340">
        <f t="shared" si="9"/>
        <v>0.77055308579705362</v>
      </c>
      <c r="G51"/>
      <c r="H51"/>
      <c r="I51"/>
    </row>
    <row r="52" spans="1:13" x14ac:dyDescent="0.3">
      <c r="B52" s="289">
        <f t="shared" si="10"/>
        <v>2019</v>
      </c>
      <c r="C52" s="342">
        <f>E15</f>
        <v>7968</v>
      </c>
      <c r="D52" s="347">
        <f>D$45</f>
        <v>1.8366542331094546</v>
      </c>
      <c r="E52" s="344">
        <f t="shared" si="8"/>
        <v>14634.460929416135</v>
      </c>
      <c r="F52" s="340">
        <f t="shared" si="9"/>
        <v>0.70551322997715538</v>
      </c>
      <c r="G52"/>
      <c r="H52"/>
      <c r="I52"/>
    </row>
    <row r="53" spans="1:13" x14ac:dyDescent="0.3">
      <c r="B53" s="288">
        <f t="shared" si="10"/>
        <v>2020</v>
      </c>
      <c r="C53" s="343">
        <f>D16</f>
        <v>3370</v>
      </c>
      <c r="D53" s="348">
        <f>C$45</f>
        <v>2.8973140610703583</v>
      </c>
      <c r="E53" s="231">
        <f t="shared" si="8"/>
        <v>9763.9483858071071</v>
      </c>
      <c r="F53" s="341">
        <f t="shared" si="9"/>
        <v>0.54699990956902556</v>
      </c>
      <c r="G53"/>
      <c r="H53"/>
      <c r="I53"/>
    </row>
    <row r="54" spans="1:13" x14ac:dyDescent="0.3">
      <c r="B54" s="289" t="s">
        <v>44</v>
      </c>
      <c r="C54" s="342">
        <f>SUM(C48:C53)</f>
        <v>64576</v>
      </c>
      <c r="D54" s="338"/>
      <c r="E54" s="342">
        <f t="shared" ref="E54" si="11">SUM(E48:E53)</f>
        <v>89029.764692552912</v>
      </c>
      <c r="F54" s="338"/>
      <c r="G54"/>
      <c r="H54"/>
      <c r="I54"/>
    </row>
    <row r="56" spans="1:13" x14ac:dyDescent="0.3">
      <c r="A56" s="6" t="s">
        <v>3</v>
      </c>
      <c r="B56" s="406" t="s">
        <v>235</v>
      </c>
      <c r="C56" s="415"/>
      <c r="D56" s="415"/>
      <c r="E56" s="415"/>
      <c r="F56" s="415"/>
      <c r="G56" s="415"/>
      <c r="H56" s="415"/>
      <c r="I56" s="415"/>
      <c r="J56" s="415"/>
      <c r="K56" s="415"/>
      <c r="L56" s="415"/>
    </row>
    <row r="57" spans="1:13" x14ac:dyDescent="0.3">
      <c r="A57" s="3"/>
      <c r="B57" s="415"/>
      <c r="C57" s="415"/>
      <c r="D57" s="415"/>
      <c r="E57" s="415"/>
      <c r="F57" s="415"/>
      <c r="G57" s="415"/>
      <c r="H57" s="415"/>
      <c r="I57" s="415"/>
      <c r="J57" s="415"/>
      <c r="K57" s="415"/>
      <c r="L57" s="415"/>
    </row>
    <row r="58" spans="1:13" x14ac:dyDescent="0.3">
      <c r="A58" s="7"/>
      <c r="B58" s="7"/>
      <c r="C58" s="7"/>
      <c r="D58" s="7"/>
      <c r="E58" s="7"/>
      <c r="F58" s="7"/>
      <c r="G58" s="7"/>
      <c r="H58" s="7"/>
      <c r="I58" s="7"/>
      <c r="J58" s="7"/>
      <c r="K58" s="7"/>
      <c r="L58" s="7"/>
    </row>
    <row r="59" spans="1:13" x14ac:dyDescent="0.3">
      <c r="A59" s="7" t="s">
        <v>2</v>
      </c>
      <c r="B59" s="7"/>
      <c r="C59" s="7"/>
      <c r="D59" s="7"/>
      <c r="E59" s="7"/>
      <c r="F59" s="7"/>
      <c r="G59" s="7"/>
      <c r="H59" s="7"/>
      <c r="I59" s="7"/>
      <c r="J59" s="7"/>
      <c r="K59" s="7"/>
      <c r="L59" s="7"/>
    </row>
    <row r="60" spans="1:13" ht="46.8" x14ac:dyDescent="0.3">
      <c r="A60" s="7"/>
      <c r="B60" s="288" t="s">
        <v>349</v>
      </c>
      <c r="C60" s="225" t="s">
        <v>177</v>
      </c>
      <c r="D60" s="225" t="s">
        <v>499</v>
      </c>
      <c r="E60" s="225" t="s">
        <v>498</v>
      </c>
      <c r="F60" s="225" t="s">
        <v>501</v>
      </c>
      <c r="G60" s="225" t="s">
        <v>502</v>
      </c>
      <c r="H60" s="225" t="s">
        <v>306</v>
      </c>
      <c r="I60" s="225" t="s">
        <v>500</v>
      </c>
      <c r="J60" s="140"/>
      <c r="K60" s="7"/>
      <c r="L60" s="7"/>
    </row>
    <row r="61" spans="1:13" x14ac:dyDescent="0.3">
      <c r="A61" s="7"/>
      <c r="B61" s="289">
        <f>B48</f>
        <v>2015</v>
      </c>
      <c r="C61" s="352">
        <f>C11</f>
        <v>23313</v>
      </c>
      <c r="D61" s="352">
        <f t="shared" ref="D61:E66" si="12">C48</f>
        <v>14520</v>
      </c>
      <c r="E61" s="347">
        <f t="shared" si="12"/>
        <v>1.1000000000000001</v>
      </c>
      <c r="F61" s="349">
        <f t="shared" ref="F61:F66" si="13">1-1/E61</f>
        <v>9.0909090909090939E-2</v>
      </c>
      <c r="G61" s="233">
        <v>0.65</v>
      </c>
      <c r="H61" s="352">
        <f>G61*C61*F61+D61</f>
        <v>15897.586363636365</v>
      </c>
      <c r="I61" s="313">
        <f>H61/C61</f>
        <v>0.68191937389595358</v>
      </c>
      <c r="J61" s="140"/>
      <c r="K61" s="7"/>
      <c r="L61" s="7"/>
    </row>
    <row r="62" spans="1:13" x14ac:dyDescent="0.3">
      <c r="A62" s="7"/>
      <c r="B62" s="289">
        <f t="shared" ref="B62:B66" si="14">B49</f>
        <v>2016</v>
      </c>
      <c r="C62" s="352">
        <f t="shared" ref="C62:C66" si="15">C12</f>
        <v>22459</v>
      </c>
      <c r="D62" s="352">
        <f t="shared" si="12"/>
        <v>14071</v>
      </c>
      <c r="E62" s="347">
        <f t="shared" si="12"/>
        <v>1.1480736055204139</v>
      </c>
      <c r="F62" s="349">
        <f t="shared" si="13"/>
        <v>0.12897570748810405</v>
      </c>
      <c r="G62" s="233">
        <v>0.65</v>
      </c>
      <c r="H62" s="352">
        <f t="shared" ref="H62:H66" si="16">G62*C62*F62+D62</f>
        <v>15953.832519408963</v>
      </c>
      <c r="I62" s="313">
        <f t="shared" ref="I62:I66" si="17">H62/C62</f>
        <v>0.71035364528291389</v>
      </c>
      <c r="J62" s="140"/>
      <c r="K62" s="7"/>
      <c r="L62" s="7"/>
    </row>
    <row r="63" spans="1:13" x14ac:dyDescent="0.3">
      <c r="A63" s="7"/>
      <c r="B63" s="289">
        <f t="shared" si="14"/>
        <v>2017</v>
      </c>
      <c r="C63" s="352">
        <f t="shared" si="15"/>
        <v>22525</v>
      </c>
      <c r="D63" s="352">
        <f t="shared" si="12"/>
        <v>12825</v>
      </c>
      <c r="E63" s="347">
        <f t="shared" si="12"/>
        <v>1.2314273956557846</v>
      </c>
      <c r="F63" s="349">
        <f t="shared" si="13"/>
        <v>0.18793425943925846</v>
      </c>
      <c r="G63" s="233">
        <v>0.65</v>
      </c>
      <c r="H63" s="352">
        <f t="shared" si="16"/>
        <v>15576.592476015043</v>
      </c>
      <c r="I63" s="313">
        <f t="shared" si="17"/>
        <v>0.69152463822486321</v>
      </c>
      <c r="J63" s="140"/>
      <c r="K63" s="7"/>
      <c r="L63" s="7"/>
    </row>
    <row r="64" spans="1:13" x14ac:dyDescent="0.3">
      <c r="A64" s="7"/>
      <c r="B64" s="289">
        <f t="shared" si="14"/>
        <v>2018</v>
      </c>
      <c r="C64" s="352">
        <f t="shared" si="15"/>
        <v>21688</v>
      </c>
      <c r="D64" s="352">
        <f t="shared" si="12"/>
        <v>11822</v>
      </c>
      <c r="E64" s="347">
        <f t="shared" si="12"/>
        <v>1.4136148980516408</v>
      </c>
      <c r="F64" s="349">
        <f t="shared" si="13"/>
        <v>0.29259375988589154</v>
      </c>
      <c r="G64" s="233">
        <v>0.65</v>
      </c>
      <c r="H64" s="352">
        <f t="shared" si="16"/>
        <v>15946.752751863391</v>
      </c>
      <c r="I64" s="313">
        <f t="shared" si="17"/>
        <v>0.73528000515784719</v>
      </c>
      <c r="J64" s="140"/>
      <c r="K64" s="7"/>
      <c r="L64" s="7"/>
    </row>
    <row r="65" spans="1:14" x14ac:dyDescent="0.3">
      <c r="B65" s="289">
        <f t="shared" si="14"/>
        <v>2019</v>
      </c>
      <c r="C65" s="352">
        <f t="shared" si="15"/>
        <v>20743</v>
      </c>
      <c r="D65" s="352">
        <f t="shared" si="12"/>
        <v>7968</v>
      </c>
      <c r="E65" s="347">
        <f t="shared" si="12"/>
        <v>1.8366542331094546</v>
      </c>
      <c r="F65" s="349">
        <f t="shared" si="13"/>
        <v>0.45553170434970736</v>
      </c>
      <c r="G65" s="233">
        <v>0.65</v>
      </c>
      <c r="H65" s="352">
        <f t="shared" si="16"/>
        <v>14109.911193161886</v>
      </c>
      <c r="I65" s="313">
        <f t="shared" si="17"/>
        <v>0.68022519371170453</v>
      </c>
      <c r="J65" s="140"/>
    </row>
    <row r="66" spans="1:14" x14ac:dyDescent="0.3">
      <c r="B66" s="288">
        <f t="shared" si="14"/>
        <v>2020</v>
      </c>
      <c r="C66" s="353">
        <f t="shared" si="15"/>
        <v>17850</v>
      </c>
      <c r="D66" s="353">
        <f t="shared" si="12"/>
        <v>3370</v>
      </c>
      <c r="E66" s="348">
        <f t="shared" si="12"/>
        <v>2.8973140610703583</v>
      </c>
      <c r="F66" s="350">
        <f t="shared" si="13"/>
        <v>0.6548527432919824</v>
      </c>
      <c r="G66" s="351">
        <v>0.6</v>
      </c>
      <c r="H66" s="353">
        <f t="shared" si="16"/>
        <v>10383.472880657131</v>
      </c>
      <c r="I66" s="308">
        <f t="shared" si="17"/>
        <v>0.58170716418247237</v>
      </c>
      <c r="J66" s="140"/>
    </row>
    <row r="67" spans="1:14" x14ac:dyDescent="0.3">
      <c r="B67" s="289" t="s">
        <v>44</v>
      </c>
      <c r="C67" s="352"/>
      <c r="D67" s="352">
        <f>SUM(D61:D66)</f>
        <v>64576</v>
      </c>
      <c r="E67" s="345"/>
      <c r="F67" s="346"/>
      <c r="G67" s="198"/>
      <c r="H67" s="352">
        <f>SUM(H61:H66)</f>
        <v>87868.148184742779</v>
      </c>
      <c r="I67" s="339"/>
      <c r="J67" s="140"/>
      <c r="M67" s="7"/>
      <c r="N67" s="7"/>
    </row>
    <row r="69" spans="1:14" x14ac:dyDescent="0.3">
      <c r="A69" s="6" t="s">
        <v>4</v>
      </c>
      <c r="B69" s="9" t="s">
        <v>236</v>
      </c>
      <c r="C69" s="4"/>
      <c r="D69" s="4"/>
      <c r="E69" s="4"/>
      <c r="F69" s="4"/>
      <c r="G69" s="4"/>
      <c r="H69" s="4"/>
      <c r="I69" s="4"/>
      <c r="J69" s="4"/>
      <c r="K69" s="4"/>
      <c r="L69" s="4"/>
    </row>
    <row r="70" spans="1:14" x14ac:dyDescent="0.3">
      <c r="A70" s="7"/>
      <c r="B70" s="7"/>
      <c r="C70" s="7"/>
      <c r="D70" s="7"/>
      <c r="E70" s="7"/>
      <c r="F70" s="7"/>
      <c r="G70" s="7"/>
      <c r="H70" s="7"/>
      <c r="I70" s="7"/>
      <c r="J70" s="7"/>
      <c r="K70" s="7"/>
      <c r="L70" s="7"/>
    </row>
    <row r="71" spans="1:14" x14ac:dyDescent="0.3">
      <c r="A71" s="7" t="s">
        <v>2</v>
      </c>
      <c r="B71" s="7"/>
      <c r="C71" s="7"/>
      <c r="D71" s="7"/>
      <c r="E71" s="7"/>
      <c r="F71" s="7"/>
      <c r="G71" s="7"/>
      <c r="H71" s="7"/>
      <c r="I71" s="7"/>
      <c r="J71" s="7"/>
      <c r="K71" s="7"/>
      <c r="L71" s="7"/>
    </row>
    <row r="72" spans="1:14" ht="46.8" x14ac:dyDescent="0.3">
      <c r="A72" s="7"/>
      <c r="B72" s="288" t="s">
        <v>349</v>
      </c>
      <c r="C72" s="225" t="s">
        <v>505</v>
      </c>
      <c r="D72" s="225" t="s">
        <v>506</v>
      </c>
      <c r="E72" s="225" t="s">
        <v>503</v>
      </c>
      <c r="F72" s="225" t="s">
        <v>306</v>
      </c>
      <c r="G72" s="225" t="s">
        <v>504</v>
      </c>
      <c r="I72" s="7"/>
      <c r="J72" s="7"/>
      <c r="K72" s="7"/>
      <c r="L72" s="7"/>
    </row>
    <row r="73" spans="1:14" x14ac:dyDescent="0.3">
      <c r="B73" s="354">
        <v>2015</v>
      </c>
      <c r="C73" s="314">
        <f>F48</f>
        <v>0.68511131128554892</v>
      </c>
      <c r="D73" s="314">
        <f>I61</f>
        <v>0.68191937389595358</v>
      </c>
      <c r="E73" s="314">
        <f>C73</f>
        <v>0.68511131128554892</v>
      </c>
      <c r="F73" s="352">
        <f t="shared" ref="F73:F78" si="18">E73*C61</f>
        <v>15972.000000000002</v>
      </c>
      <c r="G73" s="352">
        <f t="shared" ref="G73:G78" si="19">F73-D61</f>
        <v>1452.0000000000018</v>
      </c>
    </row>
    <row r="74" spans="1:14" x14ac:dyDescent="0.3">
      <c r="B74" s="297">
        <v>2016</v>
      </c>
      <c r="C74" s="314">
        <f t="shared" ref="C74:C78" si="20">F49</f>
        <v>0.71929042714625513</v>
      </c>
      <c r="D74" s="314">
        <f t="shared" ref="D74:D78" si="21">I62</f>
        <v>0.71035364528291389</v>
      </c>
      <c r="E74" s="314">
        <f>C74</f>
        <v>0.71929042714625513</v>
      </c>
      <c r="F74" s="352">
        <f t="shared" si="18"/>
        <v>16154.543703277744</v>
      </c>
      <c r="G74" s="352">
        <f t="shared" si="19"/>
        <v>2083.5437032777445</v>
      </c>
    </row>
    <row r="75" spans="1:14" x14ac:dyDescent="0.3">
      <c r="B75" s="297">
        <f>B74+1</f>
        <v>2017</v>
      </c>
      <c r="C75" s="314">
        <f t="shared" si="20"/>
        <v>0.70113457710479188</v>
      </c>
      <c r="D75" s="314">
        <f t="shared" si="21"/>
        <v>0.69152463822486321</v>
      </c>
      <c r="E75" s="314">
        <f>C75</f>
        <v>0.70113457710479188</v>
      </c>
      <c r="F75" s="352">
        <f t="shared" si="18"/>
        <v>15793.056349285436</v>
      </c>
      <c r="G75" s="352">
        <f t="shared" si="19"/>
        <v>2968.0563492854362</v>
      </c>
      <c r="M75" s="7"/>
    </row>
    <row r="76" spans="1:14" x14ac:dyDescent="0.3">
      <c r="B76" s="297">
        <f>B75+1</f>
        <v>2018</v>
      </c>
      <c r="C76" s="314">
        <f t="shared" si="20"/>
        <v>0.77055308579705362</v>
      </c>
      <c r="D76" s="314">
        <f t="shared" si="21"/>
        <v>0.73528000515784719</v>
      </c>
      <c r="E76" s="314">
        <f>C76</f>
        <v>0.77055308579705362</v>
      </c>
      <c r="F76" s="352">
        <f t="shared" si="18"/>
        <v>16711.755324766498</v>
      </c>
      <c r="G76" s="352">
        <f t="shared" si="19"/>
        <v>4889.7553247664982</v>
      </c>
      <c r="M76" s="7"/>
    </row>
    <row r="77" spans="1:14" x14ac:dyDescent="0.3">
      <c r="B77" s="297">
        <f>B76+1</f>
        <v>2019</v>
      </c>
      <c r="C77" s="314">
        <f t="shared" si="20"/>
        <v>0.70551322997715538</v>
      </c>
      <c r="D77" s="314">
        <f t="shared" si="21"/>
        <v>0.68022519371170453</v>
      </c>
      <c r="E77" s="314">
        <f>C77</f>
        <v>0.70551322997715538</v>
      </c>
      <c r="F77" s="352">
        <f t="shared" si="18"/>
        <v>14634.460929416135</v>
      </c>
      <c r="G77" s="352">
        <f t="shared" si="19"/>
        <v>6666.4609294161346</v>
      </c>
    </row>
    <row r="78" spans="1:14" x14ac:dyDescent="0.3">
      <c r="B78" s="288">
        <f>B77+1</f>
        <v>2020</v>
      </c>
      <c r="C78" s="299">
        <f t="shared" si="20"/>
        <v>0.54699990956902556</v>
      </c>
      <c r="D78" s="299">
        <f t="shared" si="21"/>
        <v>0.58170716418247237</v>
      </c>
      <c r="E78" s="299">
        <f>D78</f>
        <v>0.58170716418247237</v>
      </c>
      <c r="F78" s="353">
        <f t="shared" si="18"/>
        <v>10383.472880657131</v>
      </c>
      <c r="G78" s="353">
        <f t="shared" si="19"/>
        <v>7013.4728806571311</v>
      </c>
    </row>
    <row r="79" spans="1:14" x14ac:dyDescent="0.3">
      <c r="B79" s="289" t="s">
        <v>44</v>
      </c>
      <c r="C79" s="314"/>
      <c r="D79" s="314"/>
      <c r="E79" s="314"/>
      <c r="F79" s="352">
        <f>SUM(F73:F78)</f>
        <v>89649.289187402945</v>
      </c>
      <c r="G79" s="352">
        <f>SUM(G73:G78)</f>
        <v>25073.289187402945</v>
      </c>
    </row>
    <row r="81" spans="2:9" ht="15.6" customHeight="1" x14ac:dyDescent="0.3">
      <c r="B81" s="414" t="s">
        <v>507</v>
      </c>
      <c r="C81" s="414"/>
      <c r="D81" s="414"/>
      <c r="E81" s="414"/>
      <c r="F81" s="414"/>
      <c r="G81" s="414"/>
      <c r="H81" s="414"/>
      <c r="I81" s="414"/>
    </row>
    <row r="82" spans="2:9" x14ac:dyDescent="0.3">
      <c r="B82" s="414"/>
      <c r="C82" s="414"/>
      <c r="D82" s="414"/>
      <c r="E82" s="414"/>
      <c r="F82" s="414"/>
      <c r="G82" s="414"/>
      <c r="H82" s="414"/>
      <c r="I82" s="414"/>
    </row>
    <row r="83" spans="2:9" x14ac:dyDescent="0.3">
      <c r="B83" s="414"/>
      <c r="C83" s="414"/>
      <c r="D83" s="414"/>
      <c r="E83" s="414"/>
      <c r="F83" s="414"/>
      <c r="G83" s="414"/>
      <c r="H83" s="414"/>
      <c r="I83" s="414"/>
    </row>
    <row r="84" spans="2:9" x14ac:dyDescent="0.3">
      <c r="B84" s="414"/>
      <c r="C84" s="414"/>
      <c r="D84" s="414"/>
      <c r="E84" s="414"/>
      <c r="F84" s="414"/>
      <c r="G84" s="414"/>
      <c r="H84" s="414"/>
      <c r="I84" s="414"/>
    </row>
  </sheetData>
  <mergeCells count="7">
    <mergeCell ref="B81:I84"/>
    <mergeCell ref="B56:L57"/>
    <mergeCell ref="B9:B10"/>
    <mergeCell ref="C9:C10"/>
    <mergeCell ref="D9:I9"/>
    <mergeCell ref="B20:L21"/>
    <mergeCell ref="B40:L41"/>
  </mergeCells>
  <pageMargins left="0.7" right="0.7" top="0.75" bottom="0.75" header="0.3" footer="0.3"/>
  <pageSetup scale="8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461B-0D4E-4775-B074-060C036FAD45}">
  <dimension ref="A1:R86"/>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22</v>
      </c>
      <c r="B1" s="4"/>
      <c r="C1" s="9" t="s">
        <v>9</v>
      </c>
      <c r="D1" s="4"/>
      <c r="E1" s="4"/>
      <c r="F1" s="4"/>
      <c r="G1" s="4"/>
      <c r="H1" s="4"/>
      <c r="I1" s="4"/>
      <c r="J1" s="4"/>
      <c r="K1" s="4"/>
      <c r="L1" s="3"/>
    </row>
    <row r="2" spans="1:12" x14ac:dyDescent="0.3">
      <c r="A2" s="4"/>
      <c r="B2" s="4"/>
      <c r="C2" s="4"/>
      <c r="D2" s="4"/>
      <c r="E2" s="4"/>
      <c r="F2" s="4"/>
      <c r="G2" s="4"/>
      <c r="H2" s="4"/>
      <c r="I2" s="4"/>
      <c r="J2" s="4"/>
      <c r="K2" s="4"/>
      <c r="L2" s="3"/>
    </row>
    <row r="3" spans="1:12" x14ac:dyDescent="0.3">
      <c r="A3" s="4" t="s">
        <v>31</v>
      </c>
      <c r="B3" s="4"/>
      <c r="C3" s="4"/>
      <c r="D3" s="4"/>
      <c r="E3" s="4"/>
      <c r="F3" s="4"/>
      <c r="G3" s="4"/>
      <c r="H3" s="4"/>
      <c r="I3" s="4"/>
      <c r="J3" s="4"/>
      <c r="K3" s="4"/>
      <c r="L3" s="3"/>
    </row>
    <row r="4" spans="1:12" x14ac:dyDescent="0.3">
      <c r="A4" s="4"/>
      <c r="B4" s="4"/>
      <c r="C4" s="4"/>
      <c r="D4" s="4"/>
      <c r="E4" s="4"/>
      <c r="F4" s="4"/>
      <c r="G4" s="4"/>
      <c r="H4" s="4"/>
      <c r="I4" s="4"/>
      <c r="J4" s="4"/>
      <c r="K4" s="4"/>
      <c r="L4" s="3"/>
    </row>
    <row r="5" spans="1:12" x14ac:dyDescent="0.3">
      <c r="A5" s="14" t="s">
        <v>23</v>
      </c>
      <c r="B5" s="15" t="s">
        <v>24</v>
      </c>
      <c r="C5" s="15"/>
      <c r="D5" s="15"/>
      <c r="E5" s="15"/>
      <c r="F5" s="15"/>
      <c r="G5" s="15"/>
      <c r="H5" s="15"/>
      <c r="I5" s="15"/>
      <c r="J5" s="16"/>
      <c r="K5" s="4"/>
      <c r="L5" s="3"/>
    </row>
    <row r="6" spans="1:12" x14ac:dyDescent="0.3">
      <c r="A6" s="17" t="s">
        <v>25</v>
      </c>
      <c r="B6" s="18">
        <v>12</v>
      </c>
      <c r="C6" s="19">
        <v>24</v>
      </c>
      <c r="D6" s="19">
        <v>36</v>
      </c>
      <c r="E6" s="19">
        <v>48</v>
      </c>
      <c r="F6" s="19">
        <v>60</v>
      </c>
      <c r="G6" s="19">
        <v>72</v>
      </c>
      <c r="H6" s="19">
        <v>84</v>
      </c>
      <c r="I6" s="19">
        <v>96</v>
      </c>
      <c r="J6" s="19">
        <v>108</v>
      </c>
      <c r="K6" s="4"/>
      <c r="L6" s="3"/>
    </row>
    <row r="7" spans="1:12" x14ac:dyDescent="0.3">
      <c r="A7" s="20">
        <v>2012</v>
      </c>
      <c r="B7" s="21">
        <v>0.88200000000000001</v>
      </c>
      <c r="C7" s="21">
        <v>0.86499999999999999</v>
      </c>
      <c r="D7" s="21">
        <v>0.89500000000000002</v>
      </c>
      <c r="E7" s="21">
        <v>0.89700000000000002</v>
      </c>
      <c r="F7" s="21">
        <v>0.91100000000000003</v>
      </c>
      <c r="G7" s="21">
        <v>0.95599999999999996</v>
      </c>
      <c r="H7" s="21">
        <v>0.97499999999999998</v>
      </c>
      <c r="I7" s="21">
        <v>1</v>
      </c>
      <c r="J7" s="21">
        <v>1</v>
      </c>
      <c r="K7" s="4"/>
      <c r="L7" s="3"/>
    </row>
    <row r="8" spans="1:12" x14ac:dyDescent="0.3">
      <c r="A8" s="22">
        <v>2013</v>
      </c>
      <c r="B8" s="21">
        <v>0.88200000000000001</v>
      </c>
      <c r="C8" s="21">
        <v>0.86499999999999999</v>
      </c>
      <c r="D8" s="21">
        <v>0.89500000000000002</v>
      </c>
      <c r="E8" s="21">
        <v>0.89700000000000002</v>
      </c>
      <c r="F8" s="21">
        <v>0.91100000000000003</v>
      </c>
      <c r="G8" s="21">
        <v>0.95599999999999996</v>
      </c>
      <c r="H8" s="21">
        <v>0.97499999999999998</v>
      </c>
      <c r="I8" s="21">
        <v>1</v>
      </c>
      <c r="J8" s="21"/>
      <c r="K8" s="4"/>
      <c r="L8" s="3"/>
    </row>
    <row r="9" spans="1:12" x14ac:dyDescent="0.3">
      <c r="A9" s="22">
        <v>2014</v>
      </c>
      <c r="B9" s="21">
        <v>0.88200000000000001</v>
      </c>
      <c r="C9" s="21">
        <v>0.86499999999999999</v>
      </c>
      <c r="D9" s="21">
        <v>0.89500000000000002</v>
      </c>
      <c r="E9" s="21">
        <v>0.89700000000000002</v>
      </c>
      <c r="F9" s="21">
        <v>0.91100000000000003</v>
      </c>
      <c r="G9" s="21">
        <v>0.95099999999999996</v>
      </c>
      <c r="H9" s="21">
        <v>0.97599999999999998</v>
      </c>
      <c r="I9" s="21"/>
      <c r="J9" s="21"/>
      <c r="K9" s="4"/>
      <c r="L9" s="3"/>
    </row>
    <row r="10" spans="1:12" x14ac:dyDescent="0.3">
      <c r="A10" s="22">
        <v>2015</v>
      </c>
      <c r="B10" s="21">
        <v>0.88200000000000001</v>
      </c>
      <c r="C10" s="21">
        <v>0.86499999999999999</v>
      </c>
      <c r="D10" s="21">
        <v>0.89500000000000002</v>
      </c>
      <c r="E10" s="21">
        <v>0.89700000000000002</v>
      </c>
      <c r="F10" s="21">
        <v>0.89400000000000002</v>
      </c>
      <c r="G10" s="21">
        <v>0.95099999999999996</v>
      </c>
      <c r="H10" s="21"/>
      <c r="I10" s="21"/>
      <c r="J10" s="21"/>
      <c r="K10" s="4"/>
      <c r="L10" s="3"/>
    </row>
    <row r="11" spans="1:12" x14ac:dyDescent="0.3">
      <c r="A11" s="22">
        <v>2016</v>
      </c>
      <c r="B11" s="21">
        <v>0.88200000000000001</v>
      </c>
      <c r="C11" s="21">
        <v>0.86499999999999999</v>
      </c>
      <c r="D11" s="21">
        <v>0.89500000000000002</v>
      </c>
      <c r="E11" s="21">
        <v>0.86399999999999999</v>
      </c>
      <c r="F11" s="21">
        <v>0.89400000000000002</v>
      </c>
      <c r="G11" s="21"/>
      <c r="H11" s="21"/>
      <c r="I11" s="21"/>
      <c r="J11" s="21"/>
      <c r="K11" s="4"/>
      <c r="L11" s="3"/>
    </row>
    <row r="12" spans="1:12" x14ac:dyDescent="0.3">
      <c r="A12" s="22">
        <v>2017</v>
      </c>
      <c r="B12" s="21">
        <v>0.88200000000000001</v>
      </c>
      <c r="C12" s="21">
        <v>0.86499999999999999</v>
      </c>
      <c r="D12" s="21">
        <v>0.82499999999999996</v>
      </c>
      <c r="E12" s="21">
        <v>0.86399999999999999</v>
      </c>
      <c r="F12" s="21"/>
      <c r="G12" s="21"/>
      <c r="H12" s="21"/>
      <c r="I12" s="21"/>
      <c r="J12" s="21"/>
      <c r="K12" s="4"/>
      <c r="L12" s="3"/>
    </row>
    <row r="13" spans="1:12" x14ac:dyDescent="0.3">
      <c r="A13" s="22">
        <v>2018</v>
      </c>
      <c r="B13" s="21">
        <v>0.88200000000000001</v>
      </c>
      <c r="C13" s="21">
        <v>0.77400000000000002</v>
      </c>
      <c r="D13" s="21">
        <v>0.82499999999999996</v>
      </c>
      <c r="E13" s="21"/>
      <c r="F13" s="21"/>
      <c r="G13" s="21"/>
      <c r="H13" s="21"/>
      <c r="I13" s="21"/>
      <c r="J13" s="21"/>
      <c r="K13" s="4"/>
      <c r="L13" s="3"/>
    </row>
    <row r="14" spans="1:12" x14ac:dyDescent="0.3">
      <c r="A14" s="22">
        <v>2019</v>
      </c>
      <c r="B14" s="21">
        <v>0.71099999999999997</v>
      </c>
      <c r="C14" s="21">
        <v>0.77400000000000002</v>
      </c>
      <c r="D14" s="21"/>
      <c r="E14" s="21"/>
      <c r="F14" s="21"/>
      <c r="G14" s="21"/>
      <c r="H14" s="21"/>
      <c r="I14" s="21"/>
      <c r="J14" s="21"/>
      <c r="K14" s="4"/>
      <c r="L14" s="3"/>
    </row>
    <row r="15" spans="1:12" x14ac:dyDescent="0.3">
      <c r="A15" s="22">
        <v>2020</v>
      </c>
      <c r="B15" s="21">
        <v>0.71099999999999997</v>
      </c>
      <c r="C15" s="21"/>
      <c r="D15" s="21"/>
      <c r="E15" s="21"/>
      <c r="F15" s="21"/>
      <c r="G15" s="21"/>
      <c r="H15" s="21"/>
      <c r="I15" s="21"/>
      <c r="J15" s="21"/>
      <c r="K15" s="4"/>
      <c r="L15" s="3"/>
    </row>
    <row r="16" spans="1:12" x14ac:dyDescent="0.3">
      <c r="A16" s="9"/>
      <c r="B16" s="9"/>
      <c r="C16" s="9"/>
      <c r="D16" s="9"/>
      <c r="E16" s="9"/>
      <c r="F16" s="9"/>
      <c r="G16" s="9"/>
      <c r="H16" s="9"/>
      <c r="I16" s="9"/>
      <c r="J16" s="9"/>
      <c r="K16" s="4"/>
      <c r="L16" s="3"/>
    </row>
    <row r="17" spans="1:12" x14ac:dyDescent="0.3">
      <c r="A17" s="14" t="s">
        <v>23</v>
      </c>
      <c r="B17" s="15" t="s">
        <v>26</v>
      </c>
      <c r="C17" s="15"/>
      <c r="D17" s="15"/>
      <c r="E17" s="15"/>
      <c r="F17" s="15"/>
      <c r="G17" s="15"/>
      <c r="H17" s="15"/>
      <c r="I17" s="15"/>
      <c r="J17" s="16"/>
      <c r="K17" s="4"/>
      <c r="L17" s="3"/>
    </row>
    <row r="18" spans="1:12" x14ac:dyDescent="0.3">
      <c r="A18" s="17" t="s">
        <v>25</v>
      </c>
      <c r="B18" s="18">
        <v>12</v>
      </c>
      <c r="C18" s="19">
        <v>24</v>
      </c>
      <c r="D18" s="19">
        <v>36</v>
      </c>
      <c r="E18" s="19">
        <v>48</v>
      </c>
      <c r="F18" s="19">
        <v>60</v>
      </c>
      <c r="G18" s="19">
        <v>72</v>
      </c>
      <c r="H18" s="19">
        <v>84</v>
      </c>
      <c r="I18" s="19">
        <v>96</v>
      </c>
      <c r="J18" s="19">
        <v>108</v>
      </c>
      <c r="K18" s="4"/>
      <c r="L18" s="3"/>
    </row>
    <row r="19" spans="1:12" x14ac:dyDescent="0.3">
      <c r="A19" s="20">
        <v>2012</v>
      </c>
      <c r="B19" s="23">
        <v>882</v>
      </c>
      <c r="C19" s="23">
        <v>1135</v>
      </c>
      <c r="D19" s="23">
        <v>1382</v>
      </c>
      <c r="E19" s="23">
        <v>1564</v>
      </c>
      <c r="F19" s="23">
        <v>1709</v>
      </c>
      <c r="G19" s="23">
        <v>1792</v>
      </c>
      <c r="H19" s="23">
        <v>1856</v>
      </c>
      <c r="I19" s="23">
        <v>1875</v>
      </c>
      <c r="J19" s="23">
        <v>1875</v>
      </c>
      <c r="K19" s="4"/>
      <c r="L19" s="3"/>
    </row>
    <row r="20" spans="1:12" x14ac:dyDescent="0.3">
      <c r="A20" s="22">
        <v>2013</v>
      </c>
      <c r="B20" s="23">
        <v>882</v>
      </c>
      <c r="C20" s="23">
        <v>1135</v>
      </c>
      <c r="D20" s="23">
        <v>1382</v>
      </c>
      <c r="E20" s="23">
        <v>1564</v>
      </c>
      <c r="F20" s="23">
        <v>1709</v>
      </c>
      <c r="G20" s="23">
        <v>1792</v>
      </c>
      <c r="H20" s="23">
        <v>1856</v>
      </c>
      <c r="I20" s="23">
        <v>1875</v>
      </c>
      <c r="J20" s="23"/>
      <c r="K20" s="4"/>
      <c r="L20" s="3"/>
    </row>
    <row r="21" spans="1:12" x14ac:dyDescent="0.3">
      <c r="A21" s="22">
        <v>2014</v>
      </c>
      <c r="B21" s="23">
        <v>882</v>
      </c>
      <c r="C21" s="23">
        <v>1135</v>
      </c>
      <c r="D21" s="23">
        <v>1647</v>
      </c>
      <c r="E21" s="23">
        <v>1823</v>
      </c>
      <c r="F21" s="23">
        <v>1964</v>
      </c>
      <c r="G21" s="23">
        <v>2046</v>
      </c>
      <c r="H21" s="23">
        <v>2108</v>
      </c>
      <c r="I21" s="23"/>
      <c r="J21" s="23"/>
      <c r="K21" s="4"/>
      <c r="L21" s="3"/>
    </row>
    <row r="22" spans="1:12" x14ac:dyDescent="0.3">
      <c r="A22" s="22">
        <v>2015</v>
      </c>
      <c r="B22" s="23">
        <v>882</v>
      </c>
      <c r="C22" s="23">
        <v>1135</v>
      </c>
      <c r="D22" s="23">
        <v>1382</v>
      </c>
      <c r="E22" s="23">
        <v>1564</v>
      </c>
      <c r="F22" s="23">
        <v>1709</v>
      </c>
      <c r="G22" s="23">
        <v>1793</v>
      </c>
      <c r="H22" s="23"/>
      <c r="I22" s="23"/>
      <c r="J22" s="23"/>
      <c r="K22" s="4"/>
      <c r="L22" s="3"/>
    </row>
    <row r="23" spans="1:12" x14ac:dyDescent="0.3">
      <c r="A23" s="22">
        <v>2016</v>
      </c>
      <c r="B23" s="23">
        <v>882</v>
      </c>
      <c r="C23" s="23">
        <v>1135</v>
      </c>
      <c r="D23" s="23">
        <v>1382</v>
      </c>
      <c r="E23" s="23">
        <v>1564</v>
      </c>
      <c r="F23" s="23">
        <v>1709</v>
      </c>
      <c r="G23" s="23"/>
      <c r="H23" s="23"/>
      <c r="I23" s="23"/>
      <c r="J23" s="23"/>
      <c r="K23" s="4"/>
      <c r="L23" s="3"/>
    </row>
    <row r="24" spans="1:12" x14ac:dyDescent="0.3">
      <c r="A24" s="22">
        <v>2017</v>
      </c>
      <c r="B24" s="23">
        <v>882</v>
      </c>
      <c r="C24" s="23">
        <v>1135</v>
      </c>
      <c r="D24" s="23">
        <v>1381</v>
      </c>
      <c r="E24" s="23">
        <v>1564</v>
      </c>
      <c r="F24" s="23"/>
      <c r="G24" s="23"/>
      <c r="H24" s="23"/>
      <c r="I24" s="23"/>
      <c r="J24" s="23"/>
      <c r="K24" s="4"/>
      <c r="L24" s="3"/>
    </row>
    <row r="25" spans="1:12" x14ac:dyDescent="0.3">
      <c r="A25" s="22">
        <v>2018</v>
      </c>
      <c r="B25" s="23">
        <v>882</v>
      </c>
      <c r="C25" s="23">
        <v>1135</v>
      </c>
      <c r="D25" s="23">
        <v>1381</v>
      </c>
      <c r="E25" s="23"/>
      <c r="F25" s="23"/>
      <c r="G25" s="23"/>
      <c r="H25" s="23"/>
      <c r="I25" s="23"/>
      <c r="J25" s="23"/>
      <c r="K25" s="4"/>
      <c r="L25" s="3"/>
    </row>
    <row r="26" spans="1:12" x14ac:dyDescent="0.3">
      <c r="A26" s="22">
        <v>2019</v>
      </c>
      <c r="B26" s="23">
        <v>882</v>
      </c>
      <c r="C26" s="23">
        <v>1135</v>
      </c>
      <c r="D26" s="23"/>
      <c r="E26" s="23"/>
      <c r="F26" s="23"/>
      <c r="G26" s="23"/>
      <c r="H26" s="23"/>
      <c r="I26" s="23"/>
      <c r="J26" s="23"/>
      <c r="K26" s="4"/>
      <c r="L26" s="3"/>
    </row>
    <row r="27" spans="1:12" x14ac:dyDescent="0.3">
      <c r="A27" s="22">
        <v>2020</v>
      </c>
      <c r="B27" s="23">
        <v>882</v>
      </c>
      <c r="C27" s="23"/>
      <c r="D27" s="23"/>
      <c r="E27" s="23"/>
      <c r="F27" s="23"/>
      <c r="G27" s="23"/>
      <c r="H27" s="23"/>
      <c r="I27" s="23"/>
      <c r="J27" s="23"/>
      <c r="K27" s="4"/>
      <c r="L27" s="3"/>
    </row>
    <row r="28" spans="1:12" x14ac:dyDescent="0.3">
      <c r="A28" s="24"/>
      <c r="B28" s="24"/>
      <c r="C28" s="24"/>
      <c r="D28" s="24"/>
      <c r="E28" s="24"/>
      <c r="F28" s="24"/>
      <c r="G28" s="24"/>
      <c r="H28" s="24"/>
      <c r="I28" s="24"/>
      <c r="J28" s="24"/>
      <c r="K28" s="4"/>
      <c r="L28" s="3"/>
    </row>
    <row r="29" spans="1:12" x14ac:dyDescent="0.3">
      <c r="A29" s="14" t="s">
        <v>23</v>
      </c>
      <c r="B29" s="15" t="s">
        <v>27</v>
      </c>
      <c r="C29" s="15"/>
      <c r="D29" s="15"/>
      <c r="E29" s="15"/>
      <c r="F29" s="15"/>
      <c r="G29" s="15"/>
      <c r="H29" s="15"/>
      <c r="I29" s="15"/>
      <c r="J29" s="16"/>
      <c r="K29" s="4"/>
      <c r="L29" s="3"/>
    </row>
    <row r="30" spans="1:12" x14ac:dyDescent="0.3">
      <c r="A30" s="17" t="s">
        <v>25</v>
      </c>
      <c r="B30" s="18">
        <v>12</v>
      </c>
      <c r="C30" s="19">
        <v>24</v>
      </c>
      <c r="D30" s="19">
        <v>36</v>
      </c>
      <c r="E30" s="19">
        <v>48</v>
      </c>
      <c r="F30" s="19">
        <v>60</v>
      </c>
      <c r="G30" s="19">
        <v>72</v>
      </c>
      <c r="H30" s="19">
        <v>84</v>
      </c>
      <c r="I30" s="19">
        <v>96</v>
      </c>
      <c r="J30" s="19">
        <v>108</v>
      </c>
      <c r="K30" s="4"/>
      <c r="L30" s="3"/>
    </row>
    <row r="31" spans="1:12" x14ac:dyDescent="0.3">
      <c r="A31" s="20">
        <v>2012</v>
      </c>
      <c r="B31" s="23">
        <v>625</v>
      </c>
      <c r="C31" s="23">
        <v>1055</v>
      </c>
      <c r="D31" s="23">
        <v>1324</v>
      </c>
      <c r="E31" s="23">
        <v>1500</v>
      </c>
      <c r="F31" s="23">
        <v>1667</v>
      </c>
      <c r="G31" s="23">
        <v>1678</v>
      </c>
      <c r="H31" s="23">
        <v>1731</v>
      </c>
      <c r="I31" s="23">
        <v>1744</v>
      </c>
      <c r="J31" s="23">
        <v>1800</v>
      </c>
      <c r="K31" s="4"/>
      <c r="L31" s="3"/>
    </row>
    <row r="32" spans="1:12" x14ac:dyDescent="0.3">
      <c r="A32" s="22">
        <v>2013</v>
      </c>
      <c r="B32" s="23">
        <v>625</v>
      </c>
      <c r="C32" s="23">
        <v>1055</v>
      </c>
      <c r="D32" s="23">
        <v>1323</v>
      </c>
      <c r="E32" s="23">
        <v>1500</v>
      </c>
      <c r="F32" s="23">
        <v>1667</v>
      </c>
      <c r="G32" s="23">
        <v>1678</v>
      </c>
      <c r="H32" s="23">
        <v>1731</v>
      </c>
      <c r="I32" s="23">
        <v>1744</v>
      </c>
      <c r="J32" s="23"/>
      <c r="K32" s="4"/>
      <c r="L32" s="3"/>
    </row>
    <row r="33" spans="1:12" x14ac:dyDescent="0.3">
      <c r="A33" s="22">
        <v>2014</v>
      </c>
      <c r="B33" s="23">
        <v>625</v>
      </c>
      <c r="C33" s="23">
        <v>1055</v>
      </c>
      <c r="D33" s="23">
        <v>1323</v>
      </c>
      <c r="E33" s="23">
        <v>1500</v>
      </c>
      <c r="F33" s="23">
        <v>1667</v>
      </c>
      <c r="G33" s="23">
        <v>1669</v>
      </c>
      <c r="H33" s="23">
        <v>1731</v>
      </c>
      <c r="I33" s="23"/>
      <c r="J33" s="23"/>
      <c r="K33" s="4"/>
      <c r="L33" s="3"/>
    </row>
    <row r="34" spans="1:12" x14ac:dyDescent="0.3">
      <c r="A34" s="22">
        <v>2015</v>
      </c>
      <c r="B34" s="23">
        <v>625</v>
      </c>
      <c r="C34" s="23">
        <v>1055</v>
      </c>
      <c r="D34" s="23">
        <v>1323</v>
      </c>
      <c r="E34" s="23">
        <v>1500</v>
      </c>
      <c r="F34" s="23">
        <v>1658</v>
      </c>
      <c r="G34" s="23">
        <v>1669</v>
      </c>
      <c r="H34" s="23"/>
      <c r="I34" s="23"/>
      <c r="J34" s="23"/>
      <c r="K34" s="4"/>
      <c r="L34" s="3"/>
    </row>
    <row r="35" spans="1:12" x14ac:dyDescent="0.3">
      <c r="A35" s="22">
        <v>2016</v>
      </c>
      <c r="B35" s="23">
        <v>625</v>
      </c>
      <c r="C35" s="23">
        <v>1055</v>
      </c>
      <c r="D35" s="23">
        <v>1323</v>
      </c>
      <c r="E35" s="23">
        <v>1491</v>
      </c>
      <c r="F35" s="23">
        <v>1657.05</v>
      </c>
      <c r="G35" s="23"/>
      <c r="H35" s="23"/>
      <c r="I35" s="23"/>
      <c r="J35" s="23"/>
      <c r="K35" s="4"/>
      <c r="L35" s="3"/>
    </row>
    <row r="36" spans="1:12" x14ac:dyDescent="0.3">
      <c r="A36" s="22">
        <v>2017</v>
      </c>
      <c r="B36" s="23">
        <v>625</v>
      </c>
      <c r="C36" s="23">
        <v>1055</v>
      </c>
      <c r="D36" s="23">
        <v>1316</v>
      </c>
      <c r="E36" s="23">
        <v>1491</v>
      </c>
      <c r="F36" s="23"/>
      <c r="G36" s="23"/>
      <c r="H36" s="23"/>
      <c r="I36" s="23"/>
      <c r="J36" s="23"/>
      <c r="K36" s="4"/>
      <c r="L36" s="3"/>
    </row>
    <row r="37" spans="1:12" x14ac:dyDescent="0.3">
      <c r="A37" s="22">
        <v>2018</v>
      </c>
      <c r="B37" s="23">
        <v>625</v>
      </c>
      <c r="C37" s="23">
        <v>1048</v>
      </c>
      <c r="D37" s="23">
        <v>1316</v>
      </c>
      <c r="E37" s="23"/>
      <c r="F37" s="23"/>
      <c r="G37" s="23"/>
      <c r="H37" s="23"/>
      <c r="I37" s="23"/>
      <c r="J37" s="23"/>
      <c r="K37" s="4"/>
      <c r="L37" s="3"/>
    </row>
    <row r="38" spans="1:12" x14ac:dyDescent="0.3">
      <c r="A38" s="22">
        <v>2019</v>
      </c>
      <c r="B38" s="23">
        <v>620</v>
      </c>
      <c r="C38" s="23">
        <v>1048</v>
      </c>
      <c r="D38" s="23"/>
      <c r="E38" s="23"/>
      <c r="F38" s="23"/>
      <c r="G38" s="23"/>
      <c r="H38" s="23"/>
      <c r="I38" s="23"/>
      <c r="J38" s="23"/>
      <c r="K38" s="4"/>
      <c r="L38" s="3"/>
    </row>
    <row r="39" spans="1:12" x14ac:dyDescent="0.3">
      <c r="A39" s="22">
        <v>2020</v>
      </c>
      <c r="B39" s="23">
        <v>620</v>
      </c>
      <c r="C39" s="23"/>
      <c r="D39" s="23"/>
      <c r="E39" s="23"/>
      <c r="F39" s="23"/>
      <c r="G39" s="23"/>
      <c r="H39" s="23"/>
      <c r="I39" s="23"/>
      <c r="J39" s="23"/>
      <c r="K39" s="4"/>
      <c r="L39" s="3"/>
    </row>
    <row r="40" spans="1:12" x14ac:dyDescent="0.3">
      <c r="A40" s="9"/>
      <c r="B40" s="9"/>
      <c r="C40" s="9"/>
      <c r="D40" s="9"/>
      <c r="E40" s="9"/>
      <c r="F40" s="9"/>
      <c r="G40" s="9"/>
      <c r="H40" s="9"/>
      <c r="I40" s="9"/>
      <c r="J40" s="9"/>
      <c r="K40" s="4"/>
      <c r="L40" s="3"/>
    </row>
    <row r="41" spans="1:12" x14ac:dyDescent="0.3">
      <c r="A41" s="14" t="s">
        <v>23</v>
      </c>
      <c r="B41" s="15" t="s">
        <v>28</v>
      </c>
      <c r="C41" s="15"/>
      <c r="D41" s="15"/>
      <c r="E41" s="15"/>
      <c r="F41" s="15"/>
      <c r="G41" s="15"/>
      <c r="H41" s="15"/>
      <c r="I41" s="15"/>
      <c r="J41" s="16"/>
      <c r="K41" s="4"/>
      <c r="L41" s="3"/>
    </row>
    <row r="42" spans="1:12" x14ac:dyDescent="0.3">
      <c r="A42" s="17" t="s">
        <v>25</v>
      </c>
      <c r="B42" s="18">
        <v>12</v>
      </c>
      <c r="C42" s="19">
        <v>24</v>
      </c>
      <c r="D42" s="19">
        <v>36</v>
      </c>
      <c r="E42" s="19">
        <v>48</v>
      </c>
      <c r="F42" s="19">
        <v>60</v>
      </c>
      <c r="G42" s="19">
        <v>72</v>
      </c>
      <c r="H42" s="19">
        <v>84</v>
      </c>
      <c r="I42" s="19">
        <v>96</v>
      </c>
      <c r="J42" s="19">
        <v>108</v>
      </c>
      <c r="K42" s="4"/>
      <c r="L42" s="3"/>
    </row>
    <row r="43" spans="1:12" s="11" customFormat="1" x14ac:dyDescent="0.3">
      <c r="A43" s="20">
        <v>2012</v>
      </c>
      <c r="B43" s="21">
        <v>0.625</v>
      </c>
      <c r="C43" s="21">
        <v>0.8035714285714286</v>
      </c>
      <c r="D43" s="21">
        <v>0.8571428571428571</v>
      </c>
      <c r="E43" s="21">
        <v>0.86065573770491799</v>
      </c>
      <c r="F43" s="21">
        <v>0.88888888888888884</v>
      </c>
      <c r="G43" s="21">
        <v>0.89473684210526316</v>
      </c>
      <c r="H43" s="21">
        <v>0.90909090909090906</v>
      </c>
      <c r="I43" s="21">
        <v>0.93</v>
      </c>
      <c r="J43" s="21">
        <v>0.96</v>
      </c>
      <c r="K43" s="10"/>
      <c r="L43" s="10"/>
    </row>
    <row r="44" spans="1:12" s="11" customFormat="1" x14ac:dyDescent="0.3">
      <c r="A44" s="22">
        <v>2013</v>
      </c>
      <c r="B44" s="21">
        <v>0.62500016751204412</v>
      </c>
      <c r="C44" s="21">
        <v>0.80357135592591666</v>
      </c>
      <c r="D44" s="21">
        <v>0.85714288449175702</v>
      </c>
      <c r="E44" s="21">
        <v>0.86065580793301799</v>
      </c>
      <c r="F44" s="21">
        <v>0.8888889054332858</v>
      </c>
      <c r="G44" s="21">
        <v>0.894736864378328</v>
      </c>
      <c r="H44" s="21">
        <v>0.9090908598679126</v>
      </c>
      <c r="I44" s="21">
        <v>0.93000007638548188</v>
      </c>
      <c r="J44" s="21"/>
      <c r="K44" s="10"/>
      <c r="L44" s="10"/>
    </row>
    <row r="45" spans="1:12" s="11" customFormat="1" x14ac:dyDescent="0.3">
      <c r="A45" s="22">
        <v>2014</v>
      </c>
      <c r="B45" s="21">
        <v>0.62500016797982094</v>
      </c>
      <c r="C45" s="21">
        <v>0.80357139428983904</v>
      </c>
      <c r="D45" s="21">
        <v>0.71909353579343405</v>
      </c>
      <c r="E45" s="21">
        <v>0.73861703568260917</v>
      </c>
      <c r="F45" s="21">
        <v>0.77340730449405592</v>
      </c>
      <c r="G45" s="21">
        <v>0.77568497439110784</v>
      </c>
      <c r="H45" s="21">
        <v>0.80152493349978027</v>
      </c>
      <c r="I45" s="21"/>
      <c r="J45" s="21"/>
      <c r="K45" s="10"/>
      <c r="L45" s="10"/>
    </row>
    <row r="46" spans="1:12" s="11" customFormat="1" x14ac:dyDescent="0.3">
      <c r="A46" s="22">
        <v>2015</v>
      </c>
      <c r="B46" s="21">
        <v>0.62500012474083011</v>
      </c>
      <c r="C46" s="21">
        <v>0.80357148372892806</v>
      </c>
      <c r="D46" s="21">
        <v>0.85714293860623703</v>
      </c>
      <c r="E46" s="21">
        <v>0.86065576854650383</v>
      </c>
      <c r="F46" s="21">
        <v>0.86666676107737584</v>
      </c>
      <c r="G46" s="21">
        <v>0.88421052631578945</v>
      </c>
      <c r="H46" s="21"/>
      <c r="I46" s="21"/>
      <c r="J46" s="21"/>
      <c r="K46" s="10"/>
      <c r="L46" s="10"/>
    </row>
    <row r="47" spans="1:12" s="11" customFormat="1" x14ac:dyDescent="0.3">
      <c r="A47" s="22">
        <v>2016</v>
      </c>
      <c r="B47" s="21">
        <v>0.62500004096540718</v>
      </c>
      <c r="C47" s="21">
        <v>0.80357157487645414</v>
      </c>
      <c r="D47" s="21">
        <v>0.85714301766034839</v>
      </c>
      <c r="E47" s="21">
        <v>0.82377061965732767</v>
      </c>
      <c r="F47" s="21">
        <v>0.86666666666666681</v>
      </c>
      <c r="G47" s="21"/>
      <c r="H47" s="21"/>
      <c r="I47" s="21"/>
      <c r="J47" s="21"/>
      <c r="K47" s="10"/>
      <c r="L47" s="10"/>
    </row>
    <row r="48" spans="1:12" s="11" customFormat="1" x14ac:dyDescent="0.3">
      <c r="A48" s="22">
        <v>2017</v>
      </c>
      <c r="B48" s="21">
        <v>0.62500024716306235</v>
      </c>
      <c r="C48" s="21">
        <v>0.80357152945430166</v>
      </c>
      <c r="D48" s="21">
        <v>0.7857142165847234</v>
      </c>
      <c r="E48" s="21">
        <v>0.82377049180327866</v>
      </c>
      <c r="F48" s="21"/>
      <c r="G48" s="21"/>
      <c r="H48" s="21"/>
      <c r="I48" s="21"/>
      <c r="J48" s="21"/>
      <c r="K48" s="10"/>
      <c r="L48" s="10"/>
    </row>
    <row r="49" spans="1:18" s="11" customFormat="1" x14ac:dyDescent="0.3">
      <c r="A49" s="22">
        <v>2018</v>
      </c>
      <c r="B49" s="21">
        <v>0.62500036800845271</v>
      </c>
      <c r="C49" s="21">
        <v>0.71428581442406891</v>
      </c>
      <c r="D49" s="21">
        <v>0.78571428571428581</v>
      </c>
      <c r="E49" s="21"/>
      <c r="F49" s="21"/>
      <c r="G49" s="21"/>
      <c r="H49" s="21"/>
      <c r="I49" s="21"/>
      <c r="J49" s="21"/>
      <c r="K49" s="10"/>
      <c r="L49" s="10"/>
    </row>
    <row r="50" spans="1:18" s="11" customFormat="1" x14ac:dyDescent="0.3">
      <c r="A50" s="22">
        <v>2019</v>
      </c>
      <c r="B50" s="21">
        <v>0.50000002086534079</v>
      </c>
      <c r="C50" s="21">
        <v>0.7142857142857143</v>
      </c>
      <c r="D50" s="21"/>
      <c r="E50" s="21"/>
      <c r="F50" s="21"/>
      <c r="G50" s="21"/>
      <c r="H50" s="21"/>
      <c r="I50" s="21"/>
      <c r="J50" s="21"/>
      <c r="K50" s="10"/>
      <c r="L50" s="10"/>
    </row>
    <row r="51" spans="1:18" s="11" customFormat="1" x14ac:dyDescent="0.3">
      <c r="A51" s="22">
        <v>2020</v>
      </c>
      <c r="B51" s="21">
        <v>0.5</v>
      </c>
      <c r="C51" s="21"/>
      <c r="D51" s="21"/>
      <c r="E51" s="21"/>
      <c r="F51" s="21"/>
      <c r="G51" s="21"/>
      <c r="H51" s="21"/>
      <c r="I51" s="21"/>
      <c r="J51" s="21"/>
      <c r="K51" s="10"/>
      <c r="L51" s="10"/>
    </row>
    <row r="52" spans="1:18" s="11" customFormat="1" x14ac:dyDescent="0.3">
      <c r="A52" s="10"/>
      <c r="B52" s="10"/>
      <c r="C52" s="10"/>
      <c r="D52" s="10"/>
      <c r="E52" s="10"/>
      <c r="F52" s="10"/>
      <c r="G52" s="10"/>
      <c r="H52" s="10"/>
      <c r="I52" s="10"/>
      <c r="J52" s="10"/>
      <c r="K52" s="10"/>
      <c r="L52" s="10"/>
    </row>
    <row r="53" spans="1:18" x14ac:dyDescent="0.3">
      <c r="A53" s="25" t="s">
        <v>30</v>
      </c>
      <c r="B53" s="10"/>
      <c r="C53" s="10"/>
      <c r="D53" s="10"/>
      <c r="E53" s="10"/>
      <c r="F53" s="10"/>
      <c r="G53" s="10"/>
      <c r="H53" s="9"/>
      <c r="I53" s="9"/>
      <c r="J53" s="9"/>
      <c r="K53" s="9"/>
      <c r="L53" s="9"/>
    </row>
    <row r="54" spans="1:18" x14ac:dyDescent="0.3">
      <c r="A54" s="10"/>
      <c r="B54" s="10"/>
      <c r="C54" s="10"/>
      <c r="D54" s="10"/>
      <c r="E54" s="10"/>
      <c r="F54" s="10"/>
      <c r="G54" s="10"/>
      <c r="H54" s="9"/>
      <c r="I54" s="9"/>
      <c r="J54" s="9"/>
      <c r="K54" s="9"/>
      <c r="L54" s="9"/>
    </row>
    <row r="55" spans="1:18" x14ac:dyDescent="0.3">
      <c r="A55" s="9" t="s">
        <v>29</v>
      </c>
      <c r="B55" s="9"/>
      <c r="C55" s="9"/>
      <c r="D55" s="9"/>
      <c r="E55" s="9"/>
      <c r="F55" s="9"/>
      <c r="G55" s="9"/>
      <c r="H55" s="9"/>
      <c r="I55" s="9"/>
      <c r="J55" s="9"/>
      <c r="K55" s="9"/>
      <c r="L55" s="9"/>
    </row>
    <row r="56" spans="1:18" x14ac:dyDescent="0.3">
      <c r="A56" s="9"/>
      <c r="B56" s="9"/>
      <c r="C56" s="9"/>
      <c r="D56" s="9"/>
      <c r="E56" s="9"/>
      <c r="F56" s="9"/>
      <c r="G56" s="9"/>
      <c r="H56" s="9"/>
      <c r="I56" s="9"/>
      <c r="J56" s="9"/>
      <c r="K56" s="9"/>
      <c r="L56" s="9"/>
    </row>
    <row r="58" spans="1:18" x14ac:dyDescent="0.3">
      <c r="A58" s="6" t="s">
        <v>5</v>
      </c>
      <c r="B58" s="9" t="s">
        <v>32</v>
      </c>
      <c r="C58" s="4"/>
      <c r="D58" s="4"/>
      <c r="E58" s="4"/>
      <c r="F58" s="4"/>
      <c r="G58" s="4"/>
      <c r="H58" s="4"/>
      <c r="I58" s="4"/>
      <c r="J58" s="4"/>
      <c r="K58" s="4"/>
      <c r="L58" s="4"/>
      <c r="M58" s="8"/>
      <c r="N58" s="8"/>
      <c r="O58" s="8"/>
      <c r="P58" s="8"/>
      <c r="Q58" s="8"/>
      <c r="R58" s="8"/>
    </row>
    <row r="59" spans="1:18" x14ac:dyDescent="0.3">
      <c r="A59" s="7"/>
      <c r="B59" s="7"/>
      <c r="C59" s="7"/>
      <c r="D59" s="7"/>
      <c r="E59" s="7"/>
      <c r="F59" s="7"/>
      <c r="G59" s="7"/>
      <c r="H59" s="7"/>
      <c r="I59" s="7"/>
      <c r="J59" s="7"/>
      <c r="K59" s="7"/>
      <c r="L59" s="7"/>
      <c r="M59" s="7"/>
    </row>
    <row r="60" spans="1:18" x14ac:dyDescent="0.3">
      <c r="A60" s="7" t="s">
        <v>2</v>
      </c>
      <c r="B60" s="7"/>
      <c r="C60" s="7"/>
      <c r="D60" s="7"/>
      <c r="E60" s="7"/>
      <c r="F60" s="7"/>
      <c r="G60" s="7"/>
      <c r="H60" s="7"/>
      <c r="I60" s="7"/>
      <c r="J60" s="7"/>
      <c r="K60" s="7"/>
      <c r="L60" s="7"/>
      <c r="M60" s="7"/>
      <c r="N60" s="8"/>
    </row>
    <row r="61" spans="1:18" x14ac:dyDescent="0.3">
      <c r="A61" s="7"/>
      <c r="B61" s="7"/>
      <c r="C61" s="7"/>
      <c r="D61" s="7"/>
      <c r="E61" s="7"/>
      <c r="F61" s="7"/>
      <c r="G61" s="7"/>
      <c r="H61" s="7"/>
      <c r="I61" s="7"/>
      <c r="J61" s="7"/>
      <c r="K61" s="7"/>
      <c r="L61" s="7"/>
      <c r="M61" s="7"/>
      <c r="N61" s="8"/>
    </row>
    <row r="62" spans="1:18" x14ac:dyDescent="0.3">
      <c r="A62" s="1" t="s">
        <v>468</v>
      </c>
      <c r="B62" s="7"/>
      <c r="C62" s="7"/>
      <c r="D62" s="7"/>
      <c r="E62" s="7"/>
      <c r="F62" s="7"/>
      <c r="G62" s="7"/>
      <c r="H62" s="7"/>
      <c r="I62" s="7"/>
      <c r="J62" s="7"/>
      <c r="K62" s="7"/>
      <c r="L62" s="7"/>
      <c r="M62" s="7"/>
      <c r="N62" s="8"/>
    </row>
    <row r="63" spans="1:18" x14ac:dyDescent="0.3">
      <c r="A63" s="1" t="s">
        <v>290</v>
      </c>
      <c r="B63" s="7"/>
      <c r="C63" s="7"/>
      <c r="D63" s="7"/>
      <c r="E63" s="7"/>
      <c r="F63" s="7"/>
      <c r="G63" s="7"/>
      <c r="H63" s="7"/>
      <c r="I63" s="7"/>
      <c r="J63" s="7"/>
      <c r="K63" s="7"/>
      <c r="L63" s="7"/>
      <c r="M63" s="7"/>
      <c r="N63" s="8"/>
    </row>
    <row r="64" spans="1:18" x14ac:dyDescent="0.3">
      <c r="A64" s="128" t="s">
        <v>469</v>
      </c>
      <c r="B64" s="127"/>
      <c r="M64" s="8"/>
      <c r="N64" s="8"/>
    </row>
    <row r="65" spans="1:14" x14ac:dyDescent="0.3">
      <c r="A65" s="128" t="s">
        <v>470</v>
      </c>
      <c r="B65" s="127"/>
      <c r="M65" s="8"/>
      <c r="N65" s="8"/>
    </row>
    <row r="66" spans="1:14" x14ac:dyDescent="0.3">
      <c r="A66" s="128" t="s">
        <v>471</v>
      </c>
      <c r="B66" s="127"/>
      <c r="M66" s="8"/>
      <c r="N66" s="8"/>
    </row>
    <row r="68" spans="1:14" x14ac:dyDescent="0.3">
      <c r="A68" s="6" t="s">
        <v>6</v>
      </c>
      <c r="B68" s="9" t="s">
        <v>33</v>
      </c>
      <c r="C68" s="4"/>
      <c r="D68" s="4"/>
      <c r="E68" s="4"/>
      <c r="F68" s="4"/>
      <c r="G68" s="4"/>
      <c r="H68" s="4"/>
      <c r="I68" s="4"/>
      <c r="J68" s="4"/>
      <c r="K68" s="4"/>
      <c r="L68" s="4"/>
    </row>
    <row r="69" spans="1:14" x14ac:dyDescent="0.3">
      <c r="A69" s="7"/>
      <c r="B69" s="7"/>
      <c r="C69" s="7"/>
      <c r="D69" s="7"/>
      <c r="E69" s="7"/>
      <c r="F69" s="7"/>
      <c r="G69" s="7"/>
      <c r="H69" s="7"/>
      <c r="I69" s="7"/>
      <c r="J69" s="7"/>
      <c r="K69" s="7"/>
      <c r="L69" s="7"/>
    </row>
    <row r="70" spans="1:14" x14ac:dyDescent="0.3">
      <c r="A70" s="7" t="s">
        <v>2</v>
      </c>
      <c r="B70" s="7"/>
      <c r="C70" s="7"/>
      <c r="D70" s="7"/>
      <c r="E70" s="7"/>
      <c r="F70" s="7"/>
      <c r="G70" s="7"/>
      <c r="H70" s="7"/>
      <c r="I70" s="7"/>
      <c r="J70" s="7"/>
      <c r="K70" s="7"/>
      <c r="L70" s="7"/>
    </row>
    <row r="71" spans="1:14" x14ac:dyDescent="0.3">
      <c r="A71" s="7"/>
      <c r="B71" s="7"/>
      <c r="C71" s="7"/>
      <c r="D71" s="7"/>
      <c r="E71" s="7"/>
      <c r="F71" s="7"/>
      <c r="G71" s="7"/>
      <c r="H71" s="7"/>
      <c r="I71" s="7"/>
      <c r="J71" s="7"/>
      <c r="K71" s="7"/>
      <c r="L71" s="7"/>
    </row>
    <row r="72" spans="1:14" x14ac:dyDescent="0.3">
      <c r="A72" s="126" t="s">
        <v>288</v>
      </c>
      <c r="B72" s="7"/>
      <c r="C72" s="7"/>
      <c r="D72" s="7"/>
      <c r="E72" s="7"/>
      <c r="F72" s="7"/>
      <c r="G72" s="7"/>
      <c r="H72" s="7"/>
      <c r="I72" s="7"/>
      <c r="J72" s="7"/>
      <c r="K72" s="7"/>
      <c r="L72" s="7"/>
    </row>
    <row r="73" spans="1:14" x14ac:dyDescent="0.3">
      <c r="A73" s="126" t="s">
        <v>287</v>
      </c>
      <c r="M73" s="7"/>
    </row>
    <row r="74" spans="1:14" x14ac:dyDescent="0.3">
      <c r="A74" s="127" t="s">
        <v>472</v>
      </c>
      <c r="M74" s="7"/>
    </row>
    <row r="75" spans="1:14" ht="15.6" customHeight="1" x14ac:dyDescent="0.3"/>
    <row r="76" spans="1:14" x14ac:dyDescent="0.3">
      <c r="A76" s="6" t="s">
        <v>1</v>
      </c>
      <c r="B76" s="360" t="s">
        <v>34</v>
      </c>
      <c r="C76" s="361"/>
      <c r="D76" s="361"/>
      <c r="E76" s="361"/>
      <c r="F76" s="361"/>
      <c r="G76" s="361"/>
      <c r="H76" s="361"/>
      <c r="I76" s="361"/>
      <c r="J76" s="361"/>
      <c r="K76" s="361"/>
      <c r="L76" s="361"/>
    </row>
    <row r="77" spans="1:14" x14ac:dyDescent="0.3">
      <c r="A77" s="3"/>
      <c r="B77" s="361"/>
      <c r="C77" s="361"/>
      <c r="D77" s="361"/>
      <c r="E77" s="361"/>
      <c r="F77" s="361"/>
      <c r="G77" s="361"/>
      <c r="H77" s="361"/>
      <c r="I77" s="361"/>
      <c r="J77" s="361"/>
      <c r="K77" s="361"/>
      <c r="L77" s="361"/>
    </row>
    <row r="78" spans="1:14" x14ac:dyDescent="0.3">
      <c r="A78" s="7"/>
      <c r="B78" s="7"/>
      <c r="C78" s="7"/>
      <c r="D78" s="7"/>
      <c r="E78" s="7"/>
      <c r="F78" s="7"/>
      <c r="G78" s="7"/>
      <c r="H78" s="7"/>
      <c r="I78" s="7"/>
      <c r="J78" s="7"/>
      <c r="K78" s="7"/>
      <c r="L78" s="7"/>
    </row>
    <row r="79" spans="1:14" x14ac:dyDescent="0.3">
      <c r="A79" s="7" t="s">
        <v>2</v>
      </c>
      <c r="B79" s="7"/>
      <c r="C79" s="7"/>
      <c r="D79" s="7"/>
      <c r="E79" s="7"/>
      <c r="F79" s="7"/>
      <c r="G79" s="7"/>
      <c r="H79" s="7"/>
      <c r="I79" s="7"/>
      <c r="J79" s="7"/>
      <c r="K79" s="7"/>
      <c r="L79" s="7"/>
    </row>
    <row r="80" spans="1:14" x14ac:dyDescent="0.3">
      <c r="A80" s="7"/>
      <c r="B80" s="7"/>
      <c r="C80" s="7"/>
      <c r="D80" s="7"/>
      <c r="E80" s="7"/>
      <c r="F80" s="7"/>
      <c r="G80" s="7"/>
      <c r="H80" s="7"/>
      <c r="I80" s="7"/>
      <c r="J80" s="7"/>
      <c r="K80" s="7"/>
      <c r="L80" s="7"/>
    </row>
    <row r="81" spans="1:14" x14ac:dyDescent="0.3">
      <c r="A81" s="7" t="s">
        <v>289</v>
      </c>
      <c r="B81" s="7"/>
      <c r="C81" s="7"/>
      <c r="D81" s="7"/>
      <c r="E81" s="7"/>
      <c r="F81" s="7"/>
      <c r="G81" s="7"/>
      <c r="H81" s="7"/>
      <c r="I81" s="7"/>
      <c r="J81" s="7"/>
      <c r="K81" s="7"/>
      <c r="L81" s="7"/>
    </row>
    <row r="82" spans="1:14" x14ac:dyDescent="0.3">
      <c r="A82" s="1" t="s">
        <v>290</v>
      </c>
    </row>
    <row r="83" spans="1:14" x14ac:dyDescent="0.3">
      <c r="A83" s="128" t="s">
        <v>473</v>
      </c>
    </row>
    <row r="84" spans="1:14" x14ac:dyDescent="0.3">
      <c r="A84" s="128" t="s">
        <v>291</v>
      </c>
    </row>
    <row r="85" spans="1:14" x14ac:dyDescent="0.3">
      <c r="A85" s="128" t="s">
        <v>474</v>
      </c>
      <c r="M85" s="7"/>
      <c r="N85" s="7"/>
    </row>
    <row r="86" spans="1:14" x14ac:dyDescent="0.3">
      <c r="A86" s="128" t="s">
        <v>475</v>
      </c>
      <c r="M86" s="7"/>
      <c r="N86" s="7"/>
    </row>
  </sheetData>
  <mergeCells count="1">
    <mergeCell ref="B76:L77"/>
  </mergeCells>
  <pageMargins left="0.7" right="0.7" top="0.75" bottom="0.75" header="0.3" footer="0.3"/>
  <pageSetup scale="7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1750-1184-4FC7-B38E-C623D518F25C}">
  <dimension ref="A1:R121"/>
  <sheetViews>
    <sheetView zoomScaleNormal="100" workbookViewId="0"/>
  </sheetViews>
  <sheetFormatPr defaultRowHeight="15.6" x14ac:dyDescent="0.3"/>
  <cols>
    <col min="1" max="1" width="8.88671875" style="1" customWidth="1"/>
    <col min="2" max="2" width="23.44140625" style="1" customWidth="1"/>
    <col min="3" max="3" width="11.77734375" style="1" customWidth="1"/>
    <col min="4" max="5" width="12.77734375" style="1" customWidth="1"/>
    <col min="6" max="12" width="11.77734375" style="1" customWidth="1"/>
    <col min="13" max="16384" width="8.88671875" style="1"/>
  </cols>
  <sheetData>
    <row r="1" spans="1:12" ht="17.399999999999999" x14ac:dyDescent="0.3">
      <c r="A1" s="2" t="s">
        <v>35</v>
      </c>
      <c r="B1" s="4"/>
      <c r="C1" s="9" t="s">
        <v>36</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37</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47"/>
      <c r="C5" s="47"/>
      <c r="D5" s="370" t="s">
        <v>38</v>
      </c>
      <c r="E5" s="371"/>
      <c r="F5" s="372"/>
      <c r="G5" s="12"/>
      <c r="H5" s="10"/>
      <c r="I5" s="10"/>
      <c r="J5" s="10"/>
      <c r="K5" s="10"/>
      <c r="L5" s="10"/>
    </row>
    <row r="6" spans="1:12" s="11" customFormat="1" ht="15.6" customHeight="1" x14ac:dyDescent="0.3">
      <c r="A6" s="13"/>
      <c r="B6" s="363" t="s">
        <v>39</v>
      </c>
      <c r="C6" s="363" t="s">
        <v>40</v>
      </c>
      <c r="D6" s="373"/>
      <c r="E6" s="374"/>
      <c r="F6" s="375"/>
      <c r="G6" s="12"/>
      <c r="H6" s="10"/>
      <c r="I6" s="10"/>
      <c r="J6" s="10"/>
      <c r="K6" s="10"/>
      <c r="L6" s="10"/>
    </row>
    <row r="7" spans="1:12" s="11" customFormat="1" x14ac:dyDescent="0.3">
      <c r="A7" s="13"/>
      <c r="B7" s="364"/>
      <c r="C7" s="364"/>
      <c r="D7" s="27" t="s">
        <v>41</v>
      </c>
      <c r="E7" s="27" t="s">
        <v>42</v>
      </c>
      <c r="F7" s="27" t="s">
        <v>43</v>
      </c>
      <c r="G7" s="12"/>
      <c r="H7" s="10"/>
      <c r="I7" s="10"/>
      <c r="J7" s="10"/>
      <c r="K7" s="10"/>
      <c r="L7" s="10"/>
    </row>
    <row r="8" spans="1:12" s="11" customFormat="1" x14ac:dyDescent="0.3">
      <c r="A8" s="13"/>
      <c r="B8" s="20">
        <v>2015</v>
      </c>
      <c r="C8" s="28">
        <v>25200</v>
      </c>
      <c r="D8" s="28">
        <v>2088</v>
      </c>
      <c r="E8" s="28">
        <v>9028629</v>
      </c>
      <c r="F8" s="28">
        <v>4324</v>
      </c>
      <c r="G8" s="12"/>
      <c r="H8" s="10"/>
      <c r="I8" s="10"/>
      <c r="J8" s="10"/>
      <c r="K8" s="10"/>
      <c r="L8" s="10"/>
    </row>
    <row r="9" spans="1:12" s="11" customFormat="1" x14ac:dyDescent="0.3">
      <c r="A9" s="13"/>
      <c r="B9" s="22">
        <f>B8+1</f>
        <v>2016</v>
      </c>
      <c r="C9" s="28">
        <v>26700</v>
      </c>
      <c r="D9" s="28">
        <v>2194</v>
      </c>
      <c r="E9" s="28">
        <v>9779132</v>
      </c>
      <c r="F9" s="28">
        <v>4458</v>
      </c>
      <c r="G9" s="12"/>
      <c r="H9" s="10"/>
      <c r="I9" s="10"/>
      <c r="J9" s="10"/>
      <c r="K9" s="10"/>
      <c r="L9" s="10"/>
    </row>
    <row r="10" spans="1:12" s="11" customFormat="1" x14ac:dyDescent="0.3">
      <c r="A10" s="12"/>
      <c r="B10" s="22">
        <f t="shared" ref="B10:B13" si="0">B9+1</f>
        <v>2017</v>
      </c>
      <c r="C10" s="28">
        <v>25300</v>
      </c>
      <c r="D10" s="28">
        <v>2063</v>
      </c>
      <c r="E10" s="28">
        <v>9477056</v>
      </c>
      <c r="F10" s="28">
        <v>4594</v>
      </c>
      <c r="G10" s="12"/>
      <c r="H10" s="10"/>
      <c r="I10" s="10"/>
      <c r="J10" s="10"/>
      <c r="K10" s="10"/>
      <c r="L10" s="10"/>
    </row>
    <row r="11" spans="1:12" s="11" customFormat="1" x14ac:dyDescent="0.3">
      <c r="A11" s="12"/>
      <c r="B11" s="22">
        <f t="shared" si="0"/>
        <v>2018</v>
      </c>
      <c r="C11" s="28">
        <v>24500</v>
      </c>
      <c r="D11" s="28">
        <v>1983</v>
      </c>
      <c r="E11" s="28">
        <v>9375491</v>
      </c>
      <c r="F11" s="28">
        <v>4733</v>
      </c>
      <c r="G11" s="12"/>
      <c r="H11" s="10"/>
      <c r="I11" s="10"/>
      <c r="J11" s="10"/>
      <c r="K11" s="10"/>
      <c r="L11" s="10"/>
    </row>
    <row r="12" spans="1:12" s="11" customFormat="1" x14ac:dyDescent="0.3">
      <c r="A12" s="13"/>
      <c r="B12" s="22">
        <f t="shared" si="0"/>
        <v>2019</v>
      </c>
      <c r="C12" s="28">
        <v>23900</v>
      </c>
      <c r="D12" s="28">
        <v>1933</v>
      </c>
      <c r="E12" s="28">
        <v>8987726</v>
      </c>
      <c r="F12" s="28">
        <v>4724</v>
      </c>
      <c r="G12" s="12"/>
      <c r="H12" s="10"/>
      <c r="I12" s="10"/>
      <c r="J12" s="10"/>
      <c r="K12" s="10"/>
      <c r="L12" s="10"/>
    </row>
    <row r="13" spans="1:12" s="11" customFormat="1" x14ac:dyDescent="0.3">
      <c r="A13" s="12"/>
      <c r="B13" s="22">
        <f t="shared" si="0"/>
        <v>2020</v>
      </c>
      <c r="C13" s="28">
        <v>24200</v>
      </c>
      <c r="D13" s="28">
        <v>1709</v>
      </c>
      <c r="E13" s="28">
        <v>7810473</v>
      </c>
      <c r="F13" s="28">
        <v>4749</v>
      </c>
      <c r="G13" s="12"/>
      <c r="H13" s="10"/>
      <c r="I13" s="10"/>
      <c r="J13" s="10"/>
      <c r="K13" s="10"/>
      <c r="L13" s="10"/>
    </row>
    <row r="14" spans="1:12" s="11" customFormat="1" x14ac:dyDescent="0.3">
      <c r="A14" s="12"/>
      <c r="B14" s="29" t="s">
        <v>44</v>
      </c>
      <c r="C14" s="30">
        <f>SUM(C8:C13)</f>
        <v>149800</v>
      </c>
      <c r="D14" s="30">
        <f>SUM(D8:D13)</f>
        <v>11970</v>
      </c>
      <c r="E14" s="30">
        <f>SUM(E8:E13)</f>
        <v>54458507</v>
      </c>
      <c r="F14" s="30"/>
      <c r="G14" s="12"/>
      <c r="H14" s="10"/>
      <c r="I14" s="10"/>
      <c r="J14" s="10"/>
      <c r="K14" s="10"/>
      <c r="L14" s="10"/>
    </row>
    <row r="15" spans="1:12" x14ac:dyDescent="0.3">
      <c r="A15" s="12"/>
      <c r="B15" s="12"/>
      <c r="C15" s="12"/>
      <c r="D15" s="12"/>
      <c r="E15" s="12"/>
      <c r="F15" s="12"/>
      <c r="G15" s="12"/>
      <c r="H15" s="9"/>
      <c r="I15" s="9"/>
      <c r="J15" s="9"/>
      <c r="K15" s="9"/>
      <c r="L15" s="9"/>
    </row>
    <row r="16" spans="1:12" x14ac:dyDescent="0.3">
      <c r="A16" s="369" t="s">
        <v>45</v>
      </c>
      <c r="B16" s="361"/>
      <c r="C16" s="361"/>
      <c r="D16" s="361"/>
      <c r="E16" s="361"/>
      <c r="F16" s="361"/>
      <c r="G16" s="361"/>
      <c r="H16" s="361"/>
      <c r="I16" s="361"/>
      <c r="J16" s="361"/>
      <c r="K16" s="361"/>
      <c r="L16" s="361"/>
    </row>
    <row r="17" spans="1:18" x14ac:dyDescent="0.3">
      <c r="A17" s="361"/>
      <c r="B17" s="361"/>
      <c r="C17" s="361"/>
      <c r="D17" s="361"/>
      <c r="E17" s="361"/>
      <c r="F17" s="361"/>
      <c r="G17" s="361"/>
      <c r="H17" s="361"/>
      <c r="I17" s="361"/>
      <c r="J17" s="361"/>
      <c r="K17" s="361"/>
      <c r="L17" s="361"/>
    </row>
    <row r="19" spans="1:18" x14ac:dyDescent="0.3">
      <c r="A19" s="5" t="s">
        <v>8</v>
      </c>
      <c r="B19" s="3"/>
      <c r="C19" s="3"/>
      <c r="D19" s="3"/>
      <c r="E19" s="3"/>
      <c r="F19" s="3"/>
      <c r="G19" s="3"/>
      <c r="H19" s="3"/>
      <c r="I19" s="3"/>
      <c r="J19" s="3"/>
      <c r="K19" s="3"/>
      <c r="L19" s="3"/>
    </row>
    <row r="20" spans="1:18" x14ac:dyDescent="0.3">
      <c r="A20" s="7"/>
      <c r="B20" s="7"/>
      <c r="C20" s="7"/>
      <c r="D20" s="7"/>
      <c r="E20" s="7"/>
      <c r="F20" s="7"/>
      <c r="G20" s="7"/>
      <c r="H20" s="7"/>
      <c r="I20" s="7"/>
      <c r="J20" s="7"/>
      <c r="K20" s="7"/>
      <c r="L20" s="7"/>
    </row>
    <row r="21" spans="1:18" x14ac:dyDescent="0.3">
      <c r="A21" s="6" t="s">
        <v>6</v>
      </c>
      <c r="B21" s="9" t="s">
        <v>240</v>
      </c>
      <c r="C21" s="4"/>
      <c r="D21" s="4"/>
      <c r="E21" s="4"/>
      <c r="F21" s="4"/>
      <c r="G21" s="4"/>
      <c r="H21" s="4"/>
      <c r="I21" s="4"/>
      <c r="J21" s="4"/>
      <c r="K21" s="4"/>
      <c r="L21" s="4"/>
      <c r="M21" s="8"/>
      <c r="N21" s="8"/>
      <c r="O21" s="8"/>
      <c r="P21" s="8"/>
      <c r="Q21" s="8"/>
      <c r="R21" s="8"/>
    </row>
    <row r="22" spans="1:18" x14ac:dyDescent="0.3">
      <c r="A22" s="7"/>
      <c r="B22" s="7"/>
      <c r="C22" s="7"/>
      <c r="D22" s="7"/>
      <c r="E22" s="7"/>
      <c r="F22" s="7"/>
      <c r="G22" s="7"/>
      <c r="H22" s="7"/>
      <c r="I22" s="7"/>
      <c r="J22" s="7"/>
      <c r="K22" s="7"/>
      <c r="L22" s="7"/>
      <c r="M22" s="7"/>
    </row>
    <row r="23" spans="1:18" x14ac:dyDescent="0.3">
      <c r="A23" s="7" t="s">
        <v>2</v>
      </c>
      <c r="B23" s="7"/>
      <c r="C23" s="7"/>
      <c r="D23" s="7"/>
      <c r="E23" s="7"/>
      <c r="F23" s="7"/>
      <c r="G23" s="7"/>
      <c r="H23" s="7"/>
      <c r="I23" s="7"/>
      <c r="J23" s="7"/>
      <c r="K23" s="7"/>
      <c r="L23" s="7"/>
      <c r="M23" s="7"/>
      <c r="N23" s="8"/>
    </row>
    <row r="24" spans="1:18" ht="31.2" x14ac:dyDescent="0.3">
      <c r="A24" s="7"/>
      <c r="B24" s="129" t="s">
        <v>39</v>
      </c>
      <c r="C24" s="129" t="s">
        <v>292</v>
      </c>
      <c r="D24" s="129" t="s">
        <v>293</v>
      </c>
      <c r="E24" s="129" t="s">
        <v>297</v>
      </c>
      <c r="F24" s="129" t="s">
        <v>294</v>
      </c>
      <c r="G24" s="7"/>
      <c r="H24" s="7"/>
      <c r="I24" s="7"/>
      <c r="J24" s="7"/>
      <c r="K24" s="7"/>
      <c r="L24" s="7"/>
      <c r="M24" s="7"/>
      <c r="N24" s="8"/>
    </row>
    <row r="25" spans="1:18" x14ac:dyDescent="0.3">
      <c r="B25" s="125">
        <v>2015</v>
      </c>
      <c r="C25" s="130">
        <f t="shared" ref="C25:C30" si="1">D8/C8</f>
        <v>8.2857142857142851E-2</v>
      </c>
      <c r="D25" s="130"/>
      <c r="E25" s="130">
        <f>E26*(1+$D$33)</f>
        <v>0.96160367295865612</v>
      </c>
      <c r="F25" s="130">
        <f>E25*C25</f>
        <v>7.9675732902288646E-2</v>
      </c>
      <c r="M25" s="8"/>
      <c r="N25" s="8"/>
    </row>
    <row r="26" spans="1:18" x14ac:dyDescent="0.3">
      <c r="B26" s="125">
        <f>B25+1</f>
        <v>2016</v>
      </c>
      <c r="C26" s="130">
        <f t="shared" si="1"/>
        <v>8.2172284644194751E-2</v>
      </c>
      <c r="D26" s="130">
        <f>C26/C25-1</f>
        <v>-8.2655301562701844E-3</v>
      </c>
      <c r="E26" s="130">
        <f t="shared" ref="E26:E29" si="2">E27*(1+$D$33)</f>
        <v>0.96916314549350546</v>
      </c>
      <c r="F26" s="130">
        <f t="shared" ref="F26:F30" si="3">E26*C26</f>
        <v>7.9638349858155461E-2</v>
      </c>
      <c r="M26" s="8"/>
      <c r="N26" s="8"/>
    </row>
    <row r="27" spans="1:18" x14ac:dyDescent="0.3">
      <c r="B27" s="125">
        <f t="shared" ref="B27:B30" si="4">B26+1</f>
        <v>2017</v>
      </c>
      <c r="C27" s="130">
        <f t="shared" si="1"/>
        <v>8.1541501976284583E-2</v>
      </c>
      <c r="D27" s="130">
        <f t="shared" ref="D27:D30" si="5">C27/C26-1</f>
        <v>-7.6763433150417448E-3</v>
      </c>
      <c r="E27" s="130">
        <f t="shared" si="2"/>
        <v>0.97678204544799985</v>
      </c>
      <c r="F27" s="130">
        <f t="shared" si="3"/>
        <v>7.964827508929738E-2</v>
      </c>
      <c r="M27" s="8"/>
      <c r="N27" s="8"/>
    </row>
    <row r="28" spans="1:18" x14ac:dyDescent="0.3">
      <c r="B28" s="125">
        <f t="shared" si="4"/>
        <v>2018</v>
      </c>
      <c r="C28" s="130">
        <f t="shared" si="1"/>
        <v>8.0938775510204078E-2</v>
      </c>
      <c r="D28" s="130">
        <f t="shared" si="5"/>
        <v>-7.3916527347730465E-3</v>
      </c>
      <c r="E28" s="130">
        <f t="shared" si="2"/>
        <v>0.98446083999999989</v>
      </c>
      <c r="F28" s="130">
        <f t="shared" si="3"/>
        <v>7.9681054927346923E-2</v>
      </c>
      <c r="M28" s="8"/>
      <c r="N28" s="8"/>
    </row>
    <row r="29" spans="1:18" x14ac:dyDescent="0.3">
      <c r="B29" s="125">
        <f t="shared" si="4"/>
        <v>2019</v>
      </c>
      <c r="C29" s="130">
        <f t="shared" si="1"/>
        <v>8.0878661087866108E-2</v>
      </c>
      <c r="D29" s="130">
        <f t="shared" si="5"/>
        <v>-7.4271474900666767E-4</v>
      </c>
      <c r="E29" s="130">
        <f t="shared" si="2"/>
        <v>0.99219999999999997</v>
      </c>
      <c r="F29" s="130">
        <f t="shared" si="3"/>
        <v>8.0247807531380749E-2</v>
      </c>
      <c r="M29" s="8"/>
      <c r="N29" s="8"/>
    </row>
    <row r="30" spans="1:18" x14ac:dyDescent="0.3">
      <c r="B30" s="125">
        <f t="shared" si="4"/>
        <v>2020</v>
      </c>
      <c r="C30" s="130">
        <f t="shared" si="1"/>
        <v>7.0619834710743803E-2</v>
      </c>
      <c r="D30" s="130">
        <f t="shared" si="5"/>
        <v>-0.12684218852210194</v>
      </c>
      <c r="E30" s="130">
        <v>1</v>
      </c>
      <c r="F30" s="130">
        <f t="shared" si="3"/>
        <v>7.0619834710743803E-2</v>
      </c>
      <c r="M30" s="8"/>
      <c r="N30" s="8"/>
    </row>
    <row r="31" spans="1:18" x14ac:dyDescent="0.3">
      <c r="C31" s="131"/>
      <c r="M31" s="8"/>
      <c r="N31" s="8"/>
    </row>
    <row r="32" spans="1:18" x14ac:dyDescent="0.3">
      <c r="B32" s="46" t="s">
        <v>295</v>
      </c>
      <c r="C32" s="46"/>
      <c r="D32" s="132">
        <f>AVERAGE(D26:D28)</f>
        <v>-7.7778420686949916E-3</v>
      </c>
      <c r="E32" s="133"/>
      <c r="F32" s="134">
        <f>AVERAGE(F25:F29)</f>
        <v>7.9778244061693829E-2</v>
      </c>
      <c r="G32" s="46"/>
      <c r="M32" s="8"/>
      <c r="N32" s="8"/>
    </row>
    <row r="33" spans="1:14" x14ac:dyDescent="0.3">
      <c r="B33" s="46" t="s">
        <v>296</v>
      </c>
      <c r="C33" s="46"/>
      <c r="D33" s="135">
        <v>-7.7999999999999996E-3</v>
      </c>
      <c r="E33" s="133"/>
      <c r="F33" s="46"/>
      <c r="G33" s="46"/>
      <c r="M33" s="8"/>
      <c r="N33" s="8"/>
    </row>
    <row r="34" spans="1:14" x14ac:dyDescent="0.3">
      <c r="B34" s="46" t="s">
        <v>298</v>
      </c>
      <c r="C34" s="133"/>
      <c r="D34" s="133"/>
      <c r="E34" s="46"/>
      <c r="F34" s="46"/>
      <c r="G34" s="46"/>
      <c r="M34" s="8"/>
      <c r="N34" s="8"/>
    </row>
    <row r="35" spans="1:14" x14ac:dyDescent="0.3">
      <c r="B35" s="133"/>
      <c r="C35" s="46"/>
      <c r="D35" s="46"/>
      <c r="E35" s="46"/>
      <c r="F35" s="46"/>
      <c r="G35" s="46"/>
      <c r="M35" s="8"/>
      <c r="N35" s="8"/>
    </row>
    <row r="36" spans="1:14" x14ac:dyDescent="0.3">
      <c r="B36" s="46" t="s">
        <v>299</v>
      </c>
      <c r="C36" s="46"/>
      <c r="D36" s="46"/>
      <c r="E36" s="46"/>
      <c r="F36" s="134">
        <f>F32</f>
        <v>7.9778244061693829E-2</v>
      </c>
      <c r="G36" s="46"/>
      <c r="M36" s="8"/>
      <c r="N36" s="8"/>
    </row>
    <row r="37" spans="1:14" x14ac:dyDescent="0.3">
      <c r="B37" s="46" t="s">
        <v>298</v>
      </c>
      <c r="M37" s="8"/>
      <c r="N37" s="8"/>
    </row>
    <row r="39" spans="1:14" x14ac:dyDescent="0.3">
      <c r="A39" s="6" t="s">
        <v>1</v>
      </c>
      <c r="B39" s="9" t="s">
        <v>46</v>
      </c>
      <c r="C39" s="4"/>
      <c r="D39" s="4"/>
      <c r="E39" s="4"/>
      <c r="F39" s="4"/>
      <c r="G39" s="4"/>
      <c r="H39" s="4"/>
      <c r="I39" s="4"/>
      <c r="J39" s="4"/>
      <c r="K39" s="4"/>
      <c r="L39" s="4"/>
    </row>
    <row r="40" spans="1:14" x14ac:dyDescent="0.3">
      <c r="A40" s="7"/>
      <c r="B40" s="7"/>
      <c r="C40" s="7"/>
      <c r="D40" s="7"/>
      <c r="E40" s="7"/>
      <c r="F40" s="7"/>
      <c r="G40" s="7"/>
      <c r="H40" s="7"/>
      <c r="I40" s="7"/>
      <c r="J40" s="7"/>
      <c r="K40" s="7"/>
      <c r="L40" s="7"/>
    </row>
    <row r="41" spans="1:14" x14ac:dyDescent="0.3">
      <c r="A41" s="7" t="s">
        <v>2</v>
      </c>
      <c r="B41" s="7"/>
      <c r="C41" s="7"/>
      <c r="D41" s="7"/>
      <c r="E41" s="7"/>
      <c r="F41" s="7"/>
      <c r="G41" s="7"/>
      <c r="H41" s="7"/>
      <c r="I41" s="7"/>
      <c r="J41" s="7"/>
      <c r="K41" s="7"/>
      <c r="L41" s="7"/>
    </row>
    <row r="42" spans="1:14" ht="31.2" x14ac:dyDescent="0.3">
      <c r="A42" s="7"/>
      <c r="B42" s="129" t="s">
        <v>39</v>
      </c>
      <c r="C42" s="129" t="s">
        <v>300</v>
      </c>
      <c r="D42" s="129" t="s">
        <v>293</v>
      </c>
      <c r="E42" s="129" t="s">
        <v>302</v>
      </c>
      <c r="F42" s="129" t="s">
        <v>301</v>
      </c>
      <c r="G42" s="7"/>
      <c r="H42" s="7"/>
      <c r="I42" s="7"/>
      <c r="J42" s="7"/>
      <c r="K42" s="7"/>
      <c r="L42" s="7"/>
    </row>
    <row r="43" spans="1:14" x14ac:dyDescent="0.3">
      <c r="A43" s="7"/>
      <c r="B43" s="125">
        <v>2015</v>
      </c>
      <c r="C43" s="136">
        <f t="shared" ref="C43:C48" si="6">F8</f>
        <v>4324</v>
      </c>
      <c r="D43" s="130"/>
      <c r="E43" s="130">
        <f t="shared" ref="E43:E46" si="7">E44*(1+$D$51)</f>
        <v>1.1626545368394114</v>
      </c>
      <c r="F43" s="137">
        <f>E43*C43</f>
        <v>5027.3182172936149</v>
      </c>
      <c r="G43" s="7"/>
      <c r="H43" s="7"/>
      <c r="I43" s="7"/>
      <c r="J43" s="7"/>
      <c r="K43" s="7"/>
      <c r="L43" s="7"/>
    </row>
    <row r="44" spans="1:14" x14ac:dyDescent="0.3">
      <c r="A44" s="7"/>
      <c r="B44" s="125">
        <f>B43+1</f>
        <v>2016</v>
      </c>
      <c r="C44" s="136">
        <f t="shared" si="6"/>
        <v>4458</v>
      </c>
      <c r="D44" s="130">
        <f>C44/C43-1</f>
        <v>3.0989824236817842E-2</v>
      </c>
      <c r="E44" s="130">
        <f t="shared" si="7"/>
        <v>1.1281336472340495</v>
      </c>
      <c r="F44" s="137">
        <f t="shared" ref="F44:F48" si="8">E44*C44</f>
        <v>5029.2197993693926</v>
      </c>
      <c r="G44" s="7"/>
      <c r="H44" s="7"/>
      <c r="I44" s="7"/>
      <c r="J44" s="7"/>
      <c r="K44" s="7"/>
      <c r="L44" s="7"/>
    </row>
    <row r="45" spans="1:14" x14ac:dyDescent="0.3">
      <c r="A45" s="7"/>
      <c r="B45" s="125">
        <f t="shared" ref="B45:B48" si="9">B44+1</f>
        <v>2017</v>
      </c>
      <c r="C45" s="136">
        <f t="shared" si="6"/>
        <v>4594</v>
      </c>
      <c r="D45" s="130">
        <f t="shared" ref="D45:D48" si="10">C45/C44-1</f>
        <v>3.0506953790937708E-2</v>
      </c>
      <c r="E45" s="130">
        <f t="shared" si="7"/>
        <v>1.0946377326159999</v>
      </c>
      <c r="F45" s="137">
        <f t="shared" si="8"/>
        <v>5028.7657436379041</v>
      </c>
      <c r="G45" s="7"/>
      <c r="H45" s="7"/>
      <c r="I45" s="7"/>
      <c r="J45" s="7"/>
      <c r="K45" s="7"/>
      <c r="L45" s="7"/>
    </row>
    <row r="46" spans="1:14" x14ac:dyDescent="0.3">
      <c r="A46" s="7"/>
      <c r="B46" s="125">
        <f t="shared" si="9"/>
        <v>2018</v>
      </c>
      <c r="C46" s="136">
        <f t="shared" si="6"/>
        <v>4733</v>
      </c>
      <c r="D46" s="130">
        <f t="shared" si="10"/>
        <v>3.0256856769699692E-2</v>
      </c>
      <c r="E46" s="130">
        <f t="shared" si="7"/>
        <v>1.06213636</v>
      </c>
      <c r="F46" s="137">
        <f t="shared" si="8"/>
        <v>5027.0913918799997</v>
      </c>
      <c r="G46" s="7"/>
      <c r="H46" s="7"/>
      <c r="I46" s="7"/>
      <c r="J46" s="7"/>
      <c r="K46" s="7"/>
      <c r="L46" s="7"/>
    </row>
    <row r="47" spans="1:14" x14ac:dyDescent="0.3">
      <c r="A47" s="7"/>
      <c r="B47" s="125">
        <f t="shared" si="9"/>
        <v>2019</v>
      </c>
      <c r="C47" s="136">
        <f t="shared" si="6"/>
        <v>4724</v>
      </c>
      <c r="D47" s="130">
        <f t="shared" si="10"/>
        <v>-1.9015423621381311E-3</v>
      </c>
      <c r="E47" s="130">
        <f>E48*(1+$D$51)</f>
        <v>1.0306</v>
      </c>
      <c r="F47" s="137">
        <f t="shared" si="8"/>
        <v>4868.5544</v>
      </c>
      <c r="G47" s="7"/>
      <c r="H47" s="7"/>
      <c r="I47" s="7"/>
      <c r="J47" s="7"/>
      <c r="K47" s="7"/>
      <c r="L47" s="7"/>
    </row>
    <row r="48" spans="1:14" x14ac:dyDescent="0.3">
      <c r="A48" s="7"/>
      <c r="B48" s="125">
        <f t="shared" si="9"/>
        <v>2020</v>
      </c>
      <c r="C48" s="136">
        <f t="shared" si="6"/>
        <v>4749</v>
      </c>
      <c r="D48" s="130">
        <f t="shared" si="10"/>
        <v>5.2921253175275407E-3</v>
      </c>
      <c r="E48" s="130">
        <v>1</v>
      </c>
      <c r="F48" s="137">
        <f t="shared" si="8"/>
        <v>4749</v>
      </c>
      <c r="G48" s="7"/>
      <c r="H48" s="7"/>
      <c r="I48" s="7"/>
      <c r="J48" s="7"/>
      <c r="K48" s="7"/>
      <c r="L48" s="7"/>
    </row>
    <row r="49" spans="1:13" x14ac:dyDescent="0.3">
      <c r="A49" s="7"/>
      <c r="B49" s="122"/>
      <c r="C49" s="138"/>
      <c r="D49" s="122"/>
      <c r="E49" s="122"/>
      <c r="F49" s="122"/>
      <c r="G49" s="122"/>
      <c r="H49" s="7"/>
      <c r="I49" s="7"/>
      <c r="J49" s="7"/>
      <c r="K49" s="7"/>
      <c r="L49" s="7"/>
    </row>
    <row r="50" spans="1:13" x14ac:dyDescent="0.3">
      <c r="A50" s="7"/>
      <c r="B50" s="122" t="s">
        <v>295</v>
      </c>
      <c r="C50" s="122"/>
      <c r="D50" s="139">
        <f>AVERAGE(D44:D46)</f>
        <v>3.058454493248508E-2</v>
      </c>
      <c r="E50" s="140"/>
      <c r="F50" s="141">
        <f>AVERAGE(F43:F46)</f>
        <v>5028.0987880452276</v>
      </c>
      <c r="G50" s="122"/>
      <c r="H50" s="7"/>
      <c r="I50" s="7"/>
      <c r="J50" s="7"/>
      <c r="K50" s="7"/>
      <c r="L50" s="7"/>
    </row>
    <row r="51" spans="1:13" x14ac:dyDescent="0.3">
      <c r="A51" s="7"/>
      <c r="B51" s="122" t="s">
        <v>296</v>
      </c>
      <c r="C51" s="122"/>
      <c r="D51" s="135">
        <v>3.0599999999999999E-2</v>
      </c>
      <c r="E51" s="140"/>
      <c r="F51" s="122"/>
      <c r="G51" s="122"/>
      <c r="H51" s="7"/>
      <c r="I51" s="7"/>
      <c r="J51" s="7"/>
      <c r="K51" s="7"/>
      <c r="L51" s="7"/>
    </row>
    <row r="52" spans="1:13" x14ac:dyDescent="0.3">
      <c r="A52" s="7"/>
      <c r="B52" s="46" t="s">
        <v>298</v>
      </c>
      <c r="C52" s="140"/>
      <c r="D52" s="140"/>
      <c r="E52" s="122"/>
      <c r="F52" s="122"/>
      <c r="G52" s="122"/>
      <c r="H52" s="7"/>
      <c r="I52" s="7"/>
      <c r="J52" s="7"/>
      <c r="K52" s="7"/>
      <c r="L52" s="7"/>
    </row>
    <row r="53" spans="1:13" x14ac:dyDescent="0.3">
      <c r="A53" s="7"/>
      <c r="B53" s="140"/>
      <c r="C53" s="122"/>
      <c r="D53" s="122"/>
      <c r="E53" s="122"/>
      <c r="F53" s="122"/>
      <c r="G53" s="122"/>
      <c r="H53" s="7"/>
      <c r="I53" s="7"/>
      <c r="J53" s="7"/>
      <c r="K53" s="7"/>
      <c r="L53" s="7"/>
    </row>
    <row r="54" spans="1:13" x14ac:dyDescent="0.3">
      <c r="A54" s="7"/>
      <c r="B54" s="122" t="s">
        <v>303</v>
      </c>
      <c r="C54" s="122"/>
      <c r="D54" s="122"/>
      <c r="E54" s="122"/>
      <c r="F54" s="141">
        <f>AVERAGE(F43:F46)</f>
        <v>5028.0987880452276</v>
      </c>
      <c r="G54" s="122"/>
      <c r="H54" s="7"/>
      <c r="I54" s="7"/>
      <c r="J54" s="7"/>
      <c r="K54" s="7"/>
      <c r="L54" s="7"/>
    </row>
    <row r="55" spans="1:13" x14ac:dyDescent="0.3">
      <c r="A55" s="7"/>
      <c r="B55" s="46" t="s">
        <v>298</v>
      </c>
      <c r="C55" s="122"/>
      <c r="D55" s="122"/>
      <c r="E55" s="122"/>
      <c r="F55" s="122"/>
      <c r="G55" s="122"/>
      <c r="H55" s="7"/>
      <c r="I55" s="7"/>
      <c r="J55" s="7"/>
      <c r="K55" s="7"/>
      <c r="L55" s="7"/>
    </row>
    <row r="56" spans="1:13" x14ac:dyDescent="0.3">
      <c r="A56" s="7"/>
      <c r="B56" s="7"/>
      <c r="C56" s="7"/>
      <c r="D56" s="7"/>
      <c r="E56" s="7"/>
      <c r="F56" s="7"/>
      <c r="G56" s="7"/>
      <c r="H56" s="7"/>
      <c r="I56" s="7"/>
      <c r="J56" s="7"/>
      <c r="K56" s="7"/>
      <c r="L56" s="7"/>
    </row>
    <row r="57" spans="1:13" ht="31.2" x14ac:dyDescent="0.3">
      <c r="A57" s="7"/>
      <c r="B57" s="129" t="s">
        <v>39</v>
      </c>
      <c r="C57" s="129" t="s">
        <v>304</v>
      </c>
      <c r="D57" s="129" t="s">
        <v>305</v>
      </c>
      <c r="E57" s="129" t="s">
        <v>306</v>
      </c>
      <c r="F57" s="7"/>
      <c r="G57" s="7"/>
      <c r="H57" s="7"/>
      <c r="I57" s="7"/>
      <c r="J57" s="7"/>
      <c r="K57" s="7"/>
      <c r="L57" s="7"/>
    </row>
    <row r="58" spans="1:13" x14ac:dyDescent="0.3">
      <c r="A58" s="7"/>
      <c r="B58" s="125">
        <v>2015</v>
      </c>
      <c r="C58" s="137">
        <f t="shared" ref="C58:C63" si="11">$F$36*C8/E25</f>
        <v>2090.6864302723202</v>
      </c>
      <c r="D58" s="137">
        <f t="shared" ref="D58:D63" si="12">$F$54/E43</f>
        <v>4324.6713694626214</v>
      </c>
      <c r="E58" s="136">
        <f>C58*D58</f>
        <v>9041531.7475227136</v>
      </c>
      <c r="F58" s="7"/>
      <c r="G58" s="7"/>
      <c r="H58" s="7"/>
      <c r="I58" s="7"/>
      <c r="J58" s="7"/>
      <c r="K58" s="7"/>
      <c r="L58" s="7"/>
    </row>
    <row r="59" spans="1:13" x14ac:dyDescent="0.3">
      <c r="A59" s="7"/>
      <c r="B59" s="125">
        <f>B58+1</f>
        <v>2016</v>
      </c>
      <c r="C59" s="137">
        <f t="shared" si="11"/>
        <v>2197.8540211231125</v>
      </c>
      <c r="D59" s="137">
        <f t="shared" si="12"/>
        <v>4457.0063133681779</v>
      </c>
      <c r="E59" s="136">
        <f t="shared" ref="E59:E63" si="13">C59*D59</f>
        <v>9795849.2480073497</v>
      </c>
      <c r="F59" s="7"/>
      <c r="G59" s="7"/>
      <c r="H59" s="7"/>
      <c r="I59" s="7"/>
      <c r="J59" s="7"/>
      <c r="K59" s="7"/>
      <c r="L59" s="7"/>
    </row>
    <row r="60" spans="1:13" x14ac:dyDescent="0.3">
      <c r="A60" s="7"/>
      <c r="B60" s="125">
        <f t="shared" ref="B60:B63" si="14">B59+1</f>
        <v>2017</v>
      </c>
      <c r="C60" s="137">
        <f t="shared" si="11"/>
        <v>2066.3663753515475</v>
      </c>
      <c r="D60" s="137">
        <f t="shared" si="12"/>
        <v>4593.3907065572439</v>
      </c>
      <c r="E60" s="136">
        <f t="shared" si="13"/>
        <v>9491628.1048821751</v>
      </c>
      <c r="F60" s="7"/>
      <c r="G60" s="7"/>
      <c r="H60" s="7"/>
      <c r="I60" s="7"/>
      <c r="J60" s="7"/>
      <c r="K60" s="7"/>
      <c r="L60" s="7"/>
    </row>
    <row r="61" spans="1:13" x14ac:dyDescent="0.3">
      <c r="A61" s="7"/>
      <c r="B61" s="125">
        <f t="shared" si="14"/>
        <v>2018</v>
      </c>
      <c r="C61" s="137">
        <f t="shared" si="11"/>
        <v>1985.4187186475585</v>
      </c>
      <c r="D61" s="137">
        <f t="shared" si="12"/>
        <v>4733.9484621778956</v>
      </c>
      <c r="E61" s="136">
        <f t="shared" si="13"/>
        <v>9398869.8899208177</v>
      </c>
      <c r="F61" s="7"/>
      <c r="G61" s="7"/>
      <c r="H61" s="7"/>
      <c r="I61" s="7"/>
      <c r="J61" s="7"/>
      <c r="K61" s="7"/>
      <c r="L61" s="7"/>
    </row>
    <row r="62" spans="1:13" x14ac:dyDescent="0.3">
      <c r="B62" s="125">
        <f t="shared" si="14"/>
        <v>2019</v>
      </c>
      <c r="C62" s="137">
        <f t="shared" si="11"/>
        <v>1921.6892089039331</v>
      </c>
      <c r="D62" s="137">
        <f t="shared" si="12"/>
        <v>4878.8072851205388</v>
      </c>
      <c r="E62" s="136">
        <f t="shared" si="13"/>
        <v>9375551.312138034</v>
      </c>
      <c r="M62" s="7"/>
    </row>
    <row r="63" spans="1:13" x14ac:dyDescent="0.3">
      <c r="B63" s="142">
        <f t="shared" si="14"/>
        <v>2020</v>
      </c>
      <c r="C63" s="143">
        <f t="shared" si="11"/>
        <v>1930.6335062929907</v>
      </c>
      <c r="D63" s="143">
        <f t="shared" si="12"/>
        <v>5028.0987880452276</v>
      </c>
      <c r="E63" s="144">
        <f t="shared" si="13"/>
        <v>9707415.9931512941</v>
      </c>
      <c r="M63" s="7"/>
    </row>
    <row r="64" spans="1:13" x14ac:dyDescent="0.3">
      <c r="B64" s="125" t="s">
        <v>44</v>
      </c>
      <c r="C64" s="137"/>
      <c r="D64"/>
      <c r="E64" s="136">
        <f>SUM(E58:E63)</f>
        <v>56810846.295622379</v>
      </c>
      <c r="M64" s="7"/>
    </row>
    <row r="66" spans="1:12" x14ac:dyDescent="0.3">
      <c r="A66" s="9" t="s">
        <v>47</v>
      </c>
      <c r="B66" s="9"/>
      <c r="C66" s="9"/>
      <c r="D66" s="9"/>
      <c r="E66" s="9"/>
      <c r="F66" s="9"/>
      <c r="G66" s="9"/>
      <c r="H66" s="9"/>
      <c r="I66" s="9"/>
      <c r="J66" s="9"/>
      <c r="K66" s="9"/>
      <c r="L66" s="9"/>
    </row>
    <row r="67" spans="1:12" x14ac:dyDescent="0.3">
      <c r="A67" s="9"/>
      <c r="B67" s="9"/>
      <c r="C67" s="9"/>
      <c r="D67" s="9"/>
      <c r="E67" s="9"/>
      <c r="F67" s="9"/>
      <c r="G67" s="9"/>
      <c r="H67" s="9"/>
      <c r="I67" s="9"/>
      <c r="J67" s="9"/>
      <c r="K67" s="9"/>
      <c r="L67" s="9"/>
    </row>
    <row r="68" spans="1:12" x14ac:dyDescent="0.3">
      <c r="A68" s="9"/>
      <c r="B68" s="33"/>
      <c r="C68" s="34"/>
      <c r="D68" s="34"/>
      <c r="E68" s="40">
        <v>12</v>
      </c>
      <c r="F68" s="29">
        <v>24</v>
      </c>
      <c r="G68" s="29">
        <v>36</v>
      </c>
      <c r="H68" s="29">
        <v>48</v>
      </c>
      <c r="I68" s="29">
        <v>60</v>
      </c>
      <c r="J68" s="41">
        <v>72</v>
      </c>
      <c r="K68" s="9"/>
      <c r="L68" s="9"/>
    </row>
    <row r="69" spans="1:12" x14ac:dyDescent="0.3">
      <c r="A69" s="9"/>
      <c r="B69" s="365" t="s">
        <v>50</v>
      </c>
      <c r="C69" s="366"/>
      <c r="D69" s="366"/>
      <c r="E69" s="35"/>
      <c r="F69" s="38"/>
      <c r="G69" s="38"/>
      <c r="H69" s="38"/>
      <c r="I69" s="38"/>
      <c r="J69" s="32"/>
      <c r="K69" s="9"/>
      <c r="L69" s="9"/>
    </row>
    <row r="70" spans="1:12" x14ac:dyDescent="0.3">
      <c r="A70" s="9"/>
      <c r="B70" s="367"/>
      <c r="C70" s="368"/>
      <c r="D70" s="368"/>
      <c r="E70" s="36">
        <v>11.244999999999999</v>
      </c>
      <c r="F70" s="39">
        <v>2.0169999999999999</v>
      </c>
      <c r="G70" s="39">
        <v>1.228</v>
      </c>
      <c r="H70" s="39">
        <v>1.0629999999999999</v>
      </c>
      <c r="I70" s="39">
        <v>1.01</v>
      </c>
      <c r="J70" s="37">
        <v>1</v>
      </c>
      <c r="K70" s="9"/>
      <c r="L70" s="9"/>
    </row>
    <row r="71" spans="1:12" x14ac:dyDescent="0.3">
      <c r="A71" s="9"/>
      <c r="B71" s="9"/>
      <c r="C71" s="9"/>
      <c r="D71" s="9"/>
      <c r="E71" s="9"/>
      <c r="F71" s="9"/>
      <c r="G71" s="9"/>
      <c r="H71" s="9"/>
      <c r="I71" s="9"/>
      <c r="J71" s="9"/>
      <c r="K71" s="9"/>
      <c r="L71" s="9"/>
    </row>
    <row r="72" spans="1:12" x14ac:dyDescent="0.3">
      <c r="A72" s="9"/>
      <c r="B72" s="27" t="s">
        <v>48</v>
      </c>
      <c r="C72" s="27" t="s">
        <v>49</v>
      </c>
      <c r="D72" s="9"/>
      <c r="E72" s="9"/>
      <c r="F72" s="9"/>
      <c r="G72" s="9"/>
      <c r="H72" s="9"/>
      <c r="I72" s="9"/>
      <c r="J72" s="9"/>
      <c r="K72" s="9"/>
      <c r="L72" s="9"/>
    </row>
    <row r="73" spans="1:12" x14ac:dyDescent="0.3">
      <c r="A73" s="9"/>
      <c r="B73" s="20">
        <v>2017</v>
      </c>
      <c r="C73" s="31">
        <v>738905</v>
      </c>
      <c r="D73" s="9"/>
      <c r="E73" s="9"/>
      <c r="F73" s="9"/>
      <c r="G73" s="9"/>
      <c r="H73" s="9"/>
      <c r="I73" s="9"/>
      <c r="J73" s="9"/>
      <c r="K73" s="9"/>
      <c r="L73" s="9"/>
    </row>
    <row r="74" spans="1:12" x14ac:dyDescent="0.3">
      <c r="A74" s="9"/>
      <c r="B74" s="22">
        <v>2018</v>
      </c>
      <c r="C74" s="28">
        <v>851350</v>
      </c>
      <c r="D74" s="9"/>
      <c r="E74" s="9"/>
      <c r="F74" s="9"/>
      <c r="G74" s="9"/>
      <c r="H74" s="9"/>
      <c r="I74" s="9"/>
      <c r="J74" s="9"/>
      <c r="K74" s="9"/>
      <c r="L74" s="9"/>
    </row>
    <row r="75" spans="1:12" x14ac:dyDescent="0.3">
      <c r="A75" s="9"/>
      <c r="B75" s="22">
        <v>2019</v>
      </c>
      <c r="C75" s="28">
        <v>883245</v>
      </c>
      <c r="D75" s="9"/>
      <c r="E75" s="9"/>
      <c r="F75" s="9"/>
      <c r="G75" s="9"/>
      <c r="H75" s="9"/>
      <c r="I75" s="9"/>
      <c r="J75" s="9"/>
      <c r="K75" s="9"/>
      <c r="L75" s="9"/>
    </row>
    <row r="76" spans="1:12" x14ac:dyDescent="0.3">
      <c r="A76" s="9"/>
      <c r="B76" s="22">
        <v>2020</v>
      </c>
      <c r="C76" s="28">
        <v>879224</v>
      </c>
      <c r="D76" s="9"/>
      <c r="E76" s="9"/>
      <c r="F76" s="9"/>
      <c r="G76" s="9"/>
      <c r="H76" s="9"/>
      <c r="I76" s="9"/>
      <c r="J76" s="9"/>
      <c r="K76" s="9"/>
      <c r="L76" s="9"/>
    </row>
    <row r="77" spans="1:12" x14ac:dyDescent="0.3">
      <c r="A77" s="9"/>
      <c r="B77" s="29" t="s">
        <v>44</v>
      </c>
      <c r="C77" s="30">
        <f>SUM(C73:C76)</f>
        <v>3352724</v>
      </c>
      <c r="D77" s="9"/>
      <c r="E77" s="9"/>
      <c r="F77" s="9"/>
      <c r="G77" s="9"/>
      <c r="H77" s="9"/>
      <c r="I77" s="9"/>
      <c r="J77" s="9"/>
      <c r="K77" s="9"/>
      <c r="L77" s="9"/>
    </row>
    <row r="78" spans="1:12" x14ac:dyDescent="0.3">
      <c r="A78" s="9"/>
      <c r="B78" s="9"/>
      <c r="C78" s="9"/>
      <c r="D78" s="9"/>
      <c r="E78" s="9"/>
      <c r="F78" s="9"/>
      <c r="G78" s="9"/>
      <c r="H78" s="9"/>
      <c r="I78" s="9"/>
      <c r="J78" s="9"/>
      <c r="K78" s="9"/>
      <c r="L78" s="9"/>
    </row>
    <row r="79" spans="1:12" s="11" customFormat="1" x14ac:dyDescent="0.3">
      <c r="A79" s="10"/>
      <c r="B79" s="25" t="s">
        <v>51</v>
      </c>
      <c r="C79" s="42"/>
      <c r="D79" s="10"/>
      <c r="E79" s="10"/>
      <c r="F79" s="10"/>
      <c r="G79" s="10"/>
      <c r="H79" s="10"/>
      <c r="I79" s="10"/>
      <c r="J79" s="10"/>
      <c r="K79" s="10"/>
      <c r="L79" s="10"/>
    </row>
    <row r="80" spans="1:12" s="11" customFormat="1" x14ac:dyDescent="0.3">
      <c r="A80" s="10"/>
      <c r="B80" s="25" t="s">
        <v>52</v>
      </c>
      <c r="C80" s="42"/>
      <c r="D80" s="10"/>
      <c r="E80" s="10"/>
      <c r="F80" s="10"/>
      <c r="G80" s="10"/>
      <c r="H80" s="10"/>
      <c r="I80" s="10"/>
      <c r="J80" s="10"/>
      <c r="K80" s="10"/>
      <c r="L80" s="10"/>
    </row>
    <row r="81" spans="1:12" s="11" customFormat="1" x14ac:dyDescent="0.3">
      <c r="A81" s="10"/>
      <c r="B81" s="25" t="s">
        <v>53</v>
      </c>
      <c r="C81" s="10"/>
      <c r="D81" s="10"/>
      <c r="E81" s="10"/>
      <c r="F81" s="10"/>
      <c r="G81" s="10"/>
      <c r="H81" s="10"/>
      <c r="I81" s="10"/>
      <c r="J81" s="10"/>
      <c r="K81" s="10"/>
      <c r="L81" s="10"/>
    </row>
    <row r="82" spans="1:12" x14ac:dyDescent="0.3">
      <c r="A82" s="9"/>
      <c r="B82" s="25" t="s">
        <v>54</v>
      </c>
      <c r="C82" s="10"/>
      <c r="D82" s="26"/>
      <c r="E82" s="44">
        <v>4351459</v>
      </c>
      <c r="F82" s="10"/>
      <c r="G82" s="10"/>
      <c r="H82" s="10"/>
      <c r="I82" s="10"/>
      <c r="J82" s="9"/>
      <c r="K82" s="9"/>
      <c r="L82" s="9"/>
    </row>
    <row r="83" spans="1:12" x14ac:dyDescent="0.3">
      <c r="A83" s="9"/>
      <c r="B83" s="25" t="s">
        <v>55</v>
      </c>
      <c r="C83" s="10"/>
      <c r="D83" s="26"/>
      <c r="E83" s="44">
        <v>11117813</v>
      </c>
      <c r="F83" s="10"/>
      <c r="G83" s="10"/>
      <c r="H83" s="10"/>
      <c r="I83" s="10"/>
      <c r="J83" s="9"/>
      <c r="K83" s="9"/>
      <c r="L83" s="9"/>
    </row>
    <row r="84" spans="1:12" s="46" customFormat="1" x14ac:dyDescent="0.3">
      <c r="A84" s="45"/>
      <c r="B84" s="45"/>
      <c r="C84" s="45"/>
      <c r="D84" s="45"/>
      <c r="E84" s="45"/>
      <c r="F84" s="45"/>
      <c r="G84" s="45"/>
      <c r="H84" s="45"/>
      <c r="I84" s="45"/>
      <c r="J84" s="45"/>
      <c r="K84" s="45"/>
      <c r="L84" s="45"/>
    </row>
    <row r="85" spans="1:12" x14ac:dyDescent="0.3">
      <c r="A85" s="6" t="s">
        <v>3</v>
      </c>
      <c r="B85" s="9" t="s">
        <v>56</v>
      </c>
      <c r="C85" s="9"/>
      <c r="D85" s="9"/>
      <c r="E85" s="4"/>
      <c r="F85" s="4"/>
      <c r="G85" s="4"/>
      <c r="H85" s="4"/>
      <c r="I85" s="4"/>
      <c r="J85" s="4"/>
      <c r="K85" s="4"/>
      <c r="L85" s="4"/>
    </row>
    <row r="86" spans="1:12" x14ac:dyDescent="0.3">
      <c r="A86" s="7"/>
      <c r="B86" s="7"/>
      <c r="C86" s="7"/>
      <c r="D86" s="7"/>
      <c r="E86" s="7"/>
      <c r="F86" s="7"/>
      <c r="G86" s="7"/>
      <c r="H86" s="7"/>
      <c r="I86" s="7"/>
      <c r="J86" s="7"/>
      <c r="K86" s="7"/>
      <c r="L86" s="7"/>
    </row>
    <row r="87" spans="1:12" x14ac:dyDescent="0.3">
      <c r="A87" s="7" t="s">
        <v>2</v>
      </c>
      <c r="B87" s="7"/>
      <c r="C87" s="7"/>
      <c r="D87" s="7"/>
      <c r="E87" s="7"/>
      <c r="F87" s="7"/>
      <c r="G87" s="7"/>
      <c r="H87" s="7"/>
      <c r="I87" s="7"/>
      <c r="J87" s="7"/>
      <c r="K87" s="7"/>
      <c r="L87" s="7"/>
    </row>
    <row r="88" spans="1:12" x14ac:dyDescent="0.3">
      <c r="A88" s="7"/>
      <c r="B88" s="164"/>
      <c r="C88" s="163">
        <v>12</v>
      </c>
      <c r="D88" s="163">
        <v>24</v>
      </c>
      <c r="E88" s="163">
        <v>36</v>
      </c>
      <c r="F88" s="163">
        <v>48</v>
      </c>
      <c r="G88" s="163">
        <v>60</v>
      </c>
      <c r="H88" s="163">
        <v>72</v>
      </c>
      <c r="I88" s="7"/>
      <c r="J88" s="7"/>
      <c r="K88" s="7"/>
      <c r="L88" s="7"/>
    </row>
    <row r="89" spans="1:12" x14ac:dyDescent="0.3">
      <c r="B89" s="152" t="s">
        <v>307</v>
      </c>
      <c r="C89" s="145">
        <f t="shared" ref="C89:H89" si="15">1/E70</f>
        <v>8.8928412627834602E-2</v>
      </c>
      <c r="D89" s="145">
        <f t="shared" si="15"/>
        <v>0.49578582052553299</v>
      </c>
      <c r="E89" s="145">
        <f t="shared" si="15"/>
        <v>0.81433224755700329</v>
      </c>
      <c r="F89" s="145">
        <f t="shared" si="15"/>
        <v>0.94073377234242717</v>
      </c>
      <c r="G89" s="145">
        <f t="shared" si="15"/>
        <v>0.99009900990099009</v>
      </c>
      <c r="H89" s="145">
        <f t="shared" si="15"/>
        <v>1</v>
      </c>
      <c r="I89" s="46"/>
      <c r="J89" s="46"/>
    </row>
    <row r="90" spans="1:12" x14ac:dyDescent="0.3">
      <c r="B90" s="152" t="s">
        <v>308</v>
      </c>
      <c r="C90" s="153">
        <f>C89</f>
        <v>8.8928412627834602E-2</v>
      </c>
      <c r="D90" s="153">
        <f>D89-C89</f>
        <v>0.40685740789769842</v>
      </c>
      <c r="E90" s="153">
        <f>E89-D89</f>
        <v>0.31854642703147029</v>
      </c>
      <c r="F90" s="153">
        <f>F89-E89</f>
        <v>0.12640152478542388</v>
      </c>
      <c r="G90" s="153">
        <f>G89-F89</f>
        <v>4.9365237558562924E-2</v>
      </c>
      <c r="H90" s="153">
        <f>H89-G89</f>
        <v>9.9009900990099098E-3</v>
      </c>
      <c r="I90" s="46"/>
      <c r="J90" s="46"/>
    </row>
    <row r="91" spans="1:12" x14ac:dyDescent="0.3">
      <c r="B91" s="46"/>
      <c r="C91" s="154"/>
      <c r="D91" s="155"/>
      <c r="E91" s="154"/>
      <c r="F91" s="154"/>
      <c r="G91" s="154"/>
      <c r="H91" s="154"/>
      <c r="I91" s="46"/>
      <c r="J91" s="46"/>
    </row>
    <row r="92" spans="1:12" x14ac:dyDescent="0.3">
      <c r="B92" s="46"/>
      <c r="C92" s="46"/>
      <c r="D92" s="46"/>
      <c r="E92" s="46"/>
      <c r="F92" s="46"/>
      <c r="G92" s="46"/>
      <c r="H92" s="46"/>
      <c r="I92" s="46"/>
      <c r="J92" s="46"/>
    </row>
    <row r="93" spans="1:12" x14ac:dyDescent="0.3">
      <c r="B93" s="46"/>
      <c r="C93" s="46"/>
      <c r="D93" s="133"/>
      <c r="E93" s="362" t="s">
        <v>309</v>
      </c>
      <c r="F93" s="362"/>
      <c r="G93" s="362"/>
      <c r="H93" s="362"/>
      <c r="I93" s="46"/>
      <c r="J93" s="46"/>
    </row>
    <row r="94" spans="1:12" ht="31.2" x14ac:dyDescent="0.3">
      <c r="B94" s="46"/>
      <c r="C94" s="156" t="s">
        <v>39</v>
      </c>
      <c r="D94" s="156" t="s">
        <v>306</v>
      </c>
      <c r="E94" s="157">
        <v>2017</v>
      </c>
      <c r="F94" s="157">
        <f>E94+1</f>
        <v>2018</v>
      </c>
      <c r="G94" s="157">
        <f t="shared" ref="G94:H94" si="16">F94+1</f>
        <v>2019</v>
      </c>
      <c r="H94" s="157">
        <f t="shared" si="16"/>
        <v>2020</v>
      </c>
      <c r="I94" s="46"/>
      <c r="J94" s="46"/>
    </row>
    <row r="95" spans="1:12" x14ac:dyDescent="0.3">
      <c r="B95" s="46"/>
      <c r="C95" s="158">
        <v>2015</v>
      </c>
      <c r="D95" s="159">
        <f t="shared" ref="D95:D100" si="17">E58</f>
        <v>9041531.7475227136</v>
      </c>
      <c r="E95" s="160">
        <f>$D95*E90</f>
        <v>2880147.6330649662</v>
      </c>
      <c r="F95" s="160">
        <f>$D95*F90</f>
        <v>1142863.3992826892</v>
      </c>
      <c r="G95" s="160">
        <f>$D95*G90</f>
        <v>446337.36260974733</v>
      </c>
      <c r="H95" s="160">
        <f>$D95*H90</f>
        <v>89520.116312106155</v>
      </c>
      <c r="I95" s="46"/>
      <c r="J95" s="46"/>
    </row>
    <row r="96" spans="1:12" x14ac:dyDescent="0.3">
      <c r="B96" s="46"/>
      <c r="C96" s="158">
        <f>C95+1</f>
        <v>2016</v>
      </c>
      <c r="D96" s="159">
        <f t="shared" si="17"/>
        <v>9795849.2480073497</v>
      </c>
      <c r="E96" s="160">
        <f>$D96*D90</f>
        <v>3985513.8332008887</v>
      </c>
      <c r="F96" s="160">
        <f>$D96*E90</f>
        <v>3120432.7776916563</v>
      </c>
      <c r="G96" s="160">
        <f>$D96*F90</f>
        <v>1238210.281516277</v>
      </c>
      <c r="H96" s="160">
        <f>$D96*G90</f>
        <v>483574.4252157528</v>
      </c>
      <c r="I96" s="46"/>
      <c r="J96" s="46"/>
    </row>
    <row r="97" spans="1:14" x14ac:dyDescent="0.3">
      <c r="B97" s="133"/>
      <c r="C97" s="158">
        <f t="shared" ref="C97:C100" si="18">C96+1</f>
        <v>2017</v>
      </c>
      <c r="D97" s="159">
        <f t="shared" si="17"/>
        <v>9491628.1048821751</v>
      </c>
      <c r="E97" s="160">
        <f>$D97*C90</f>
        <v>844075.42062091385</v>
      </c>
      <c r="F97" s="160">
        <f>$D97*D90</f>
        <v>3861739.2074813056</v>
      </c>
      <c r="G97" s="160">
        <f>$D97*E90</f>
        <v>3023524.2195217023</v>
      </c>
      <c r="H97" s="160">
        <f>$D97*F90</f>
        <v>1199756.2651532902</v>
      </c>
      <c r="I97" s="46"/>
      <c r="J97" s="46"/>
    </row>
    <row r="98" spans="1:14" x14ac:dyDescent="0.3">
      <c r="B98" s="46"/>
      <c r="C98" s="158">
        <f t="shared" si="18"/>
        <v>2018</v>
      </c>
      <c r="D98" s="159">
        <f t="shared" si="17"/>
        <v>9398869.8899208177</v>
      </c>
      <c r="E98" s="160"/>
      <c r="F98" s="160">
        <f>$D98*C90</f>
        <v>835826.57980620884</v>
      </c>
      <c r="G98" s="160">
        <f>$D98*D90</f>
        <v>3823999.84058091</v>
      </c>
      <c r="H98" s="160">
        <f>$D98*E90</f>
        <v>2993976.4215679448</v>
      </c>
      <c r="I98" s="46"/>
      <c r="J98" s="46"/>
    </row>
    <row r="99" spans="1:14" x14ac:dyDescent="0.3">
      <c r="B99" s="46"/>
      <c r="C99" s="158">
        <f t="shared" si="18"/>
        <v>2019</v>
      </c>
      <c r="D99" s="159">
        <f t="shared" si="17"/>
        <v>9375551.312138034</v>
      </c>
      <c r="E99" s="160"/>
      <c r="F99" s="160"/>
      <c r="G99" s="160">
        <f>$D99*C90</f>
        <v>833752.89569924725</v>
      </c>
      <c r="H99" s="160">
        <f>$D99*D90</f>
        <v>3814512.5044683455</v>
      </c>
      <c r="I99" s="46"/>
      <c r="J99" s="46"/>
    </row>
    <row r="100" spans="1:14" x14ac:dyDescent="0.3">
      <c r="B100" s="46"/>
      <c r="C100" s="157">
        <f t="shared" si="18"/>
        <v>2020</v>
      </c>
      <c r="D100" s="161">
        <f t="shared" si="17"/>
        <v>9707415.9931512941</v>
      </c>
      <c r="E100" s="162"/>
      <c r="F100" s="162"/>
      <c r="G100" s="162"/>
      <c r="H100" s="162">
        <f>D100*C90</f>
        <v>863265.09498899907</v>
      </c>
      <c r="I100" s="46"/>
      <c r="J100" s="46"/>
      <c r="M100" s="7"/>
      <c r="N100" s="7"/>
    </row>
    <row r="101" spans="1:14" x14ac:dyDescent="0.3">
      <c r="B101" s="46"/>
      <c r="C101" s="158" t="s">
        <v>44</v>
      </c>
      <c r="D101" s="46"/>
      <c r="E101" s="160">
        <f>SUM(E95:E100)</f>
        <v>7709736.886886769</v>
      </c>
      <c r="F101" s="160">
        <f t="shared" ref="F101:H101" si="19">SUM(F95:F100)</f>
        <v>8960861.9642618597</v>
      </c>
      <c r="G101" s="160">
        <f t="shared" si="19"/>
        <v>9365824.5999278836</v>
      </c>
      <c r="H101" s="160">
        <f t="shared" si="19"/>
        <v>9444604.8277064394</v>
      </c>
      <c r="I101" s="46"/>
      <c r="J101" s="46"/>
      <c r="M101" s="7"/>
      <c r="N101" s="7"/>
    </row>
    <row r="103" spans="1:14" x14ac:dyDescent="0.3">
      <c r="A103" s="6" t="s">
        <v>4</v>
      </c>
      <c r="B103" s="9" t="s">
        <v>239</v>
      </c>
      <c r="C103" s="4"/>
      <c r="D103" s="4"/>
      <c r="E103" s="4"/>
      <c r="F103" s="4"/>
      <c r="G103" s="4"/>
      <c r="H103" s="4"/>
      <c r="I103" s="4"/>
      <c r="J103" s="4"/>
      <c r="K103" s="4"/>
      <c r="L103" s="4"/>
    </row>
    <row r="104" spans="1:14" x14ac:dyDescent="0.3">
      <c r="A104" s="7"/>
      <c r="B104" s="7"/>
      <c r="C104" s="7"/>
      <c r="D104" s="7"/>
      <c r="E104" s="7"/>
      <c r="F104" s="7"/>
      <c r="G104" s="7"/>
      <c r="H104" s="7"/>
      <c r="I104" s="7"/>
      <c r="J104" s="7"/>
      <c r="K104" s="7"/>
      <c r="L104" s="7"/>
    </row>
    <row r="105" spans="1:14" x14ac:dyDescent="0.3">
      <c r="A105" s="7" t="s">
        <v>2</v>
      </c>
      <c r="B105" s="7"/>
      <c r="C105" s="7"/>
      <c r="D105" s="7"/>
      <c r="E105" s="7"/>
      <c r="F105" s="7"/>
      <c r="G105" s="7"/>
      <c r="H105" s="7"/>
      <c r="I105" s="7"/>
      <c r="J105" s="7"/>
      <c r="K105" s="7"/>
      <c r="L105" s="7"/>
    </row>
    <row r="106" spans="1:14" ht="31.2" x14ac:dyDescent="0.3">
      <c r="A106" s="7"/>
      <c r="B106" s="148" t="s">
        <v>48</v>
      </c>
      <c r="C106" s="148" t="s">
        <v>49</v>
      </c>
      <c r="D106" s="148" t="s">
        <v>311</v>
      </c>
      <c r="E106" s="148" t="s">
        <v>310</v>
      </c>
      <c r="F106" s="7"/>
      <c r="G106" s="7"/>
      <c r="H106" s="7"/>
      <c r="I106" s="7"/>
      <c r="J106" s="7"/>
      <c r="K106" s="7"/>
      <c r="L106" s="7"/>
    </row>
    <row r="107" spans="1:14" x14ac:dyDescent="0.3">
      <c r="A107" s="7"/>
      <c r="B107" s="124">
        <v>2017</v>
      </c>
      <c r="C107" s="146">
        <f>C73</f>
        <v>738905</v>
      </c>
      <c r="D107" s="146">
        <f>E101</f>
        <v>7709736.886886769</v>
      </c>
      <c r="E107" s="149">
        <f>C107/D107</f>
        <v>9.5840495057202088E-2</v>
      </c>
      <c r="F107" s="7"/>
      <c r="G107" s="7"/>
      <c r="H107" s="7"/>
      <c r="I107" s="7"/>
      <c r="J107" s="7"/>
      <c r="K107" s="7"/>
      <c r="L107" s="7"/>
    </row>
    <row r="108" spans="1:14" x14ac:dyDescent="0.3">
      <c r="B108" s="124">
        <v>2018</v>
      </c>
      <c r="C108" s="146">
        <f t="shared" ref="C108:C110" si="20">C74</f>
        <v>851350</v>
      </c>
      <c r="D108" s="146">
        <f>F101</f>
        <v>8960861.9642618597</v>
      </c>
      <c r="E108" s="149">
        <f t="shared" ref="E108:E111" si="21">C108/D108</f>
        <v>9.5007601210173195E-2</v>
      </c>
      <c r="F108" s="7"/>
      <c r="G108" s="7"/>
    </row>
    <row r="109" spans="1:14" x14ac:dyDescent="0.3">
      <c r="B109" s="124">
        <v>2019</v>
      </c>
      <c r="C109" s="146">
        <f t="shared" si="20"/>
        <v>883245</v>
      </c>
      <c r="D109" s="146">
        <f>G101</f>
        <v>9365824.5999278836</v>
      </c>
      <c r="E109" s="149">
        <f t="shared" si="21"/>
        <v>9.4305097279613906E-2</v>
      </c>
      <c r="F109" s="7"/>
      <c r="G109" s="7"/>
    </row>
    <row r="110" spans="1:14" x14ac:dyDescent="0.3">
      <c r="B110" s="150">
        <v>2020</v>
      </c>
      <c r="C110" s="147">
        <f t="shared" si="20"/>
        <v>879224</v>
      </c>
      <c r="D110" s="147">
        <f>H101</f>
        <v>9444604.8277064394</v>
      </c>
      <c r="E110" s="151">
        <f t="shared" si="21"/>
        <v>9.3092725004304266E-2</v>
      </c>
      <c r="F110" s="7"/>
      <c r="G110" s="7"/>
      <c r="M110" s="7"/>
    </row>
    <row r="111" spans="1:14" x14ac:dyDescent="0.3">
      <c r="B111" s="165" t="s">
        <v>44</v>
      </c>
      <c r="C111" s="159">
        <f>SUM(C107:C110)</f>
        <v>3352724</v>
      </c>
      <c r="D111" s="159">
        <f>SUM(D107:D110)</f>
        <v>35481028.278782949</v>
      </c>
      <c r="E111" s="149">
        <f t="shared" si="21"/>
        <v>9.4493428252891754E-2</v>
      </c>
      <c r="F111" s="122"/>
      <c r="G111" s="122"/>
      <c r="M111" s="7"/>
    </row>
    <row r="112" spans="1:14" x14ac:dyDescent="0.3">
      <c r="B112" s="140"/>
      <c r="C112" s="140"/>
      <c r="D112" s="140"/>
      <c r="E112" s="140"/>
      <c r="F112" s="122"/>
      <c r="G112" s="122"/>
    </row>
    <row r="113" spans="1:12" x14ac:dyDescent="0.3">
      <c r="B113" s="122" t="s">
        <v>314</v>
      </c>
      <c r="C113" s="122"/>
      <c r="E113" s="166">
        <f>E111</f>
        <v>9.4493428252891754E-2</v>
      </c>
      <c r="F113" s="122"/>
      <c r="G113" s="122"/>
    </row>
    <row r="114" spans="1:12" x14ac:dyDescent="0.3">
      <c r="B114" s="122" t="s">
        <v>313</v>
      </c>
      <c r="C114" s="122"/>
      <c r="D114" s="166"/>
      <c r="E114" s="122"/>
      <c r="F114" s="122"/>
      <c r="G114" s="122"/>
    </row>
    <row r="116" spans="1:12" x14ac:dyDescent="0.3">
      <c r="A116" s="6" t="s">
        <v>7</v>
      </c>
      <c r="B116" s="9" t="s">
        <v>57</v>
      </c>
      <c r="C116" s="4"/>
      <c r="D116" s="4"/>
      <c r="E116" s="4"/>
      <c r="F116" s="4"/>
      <c r="G116" s="4"/>
      <c r="H116" s="4"/>
      <c r="I116" s="4"/>
      <c r="J116" s="4"/>
      <c r="K116" s="4"/>
      <c r="L116" s="4"/>
    </row>
    <row r="117" spans="1:12" x14ac:dyDescent="0.3">
      <c r="A117" s="7"/>
      <c r="B117" s="7"/>
      <c r="C117" s="7"/>
      <c r="D117" s="7"/>
      <c r="E117" s="7"/>
      <c r="F117" s="7"/>
      <c r="G117" s="7"/>
      <c r="H117" s="7"/>
      <c r="I117" s="7"/>
      <c r="J117" s="7"/>
      <c r="K117" s="7"/>
      <c r="L117" s="7"/>
    </row>
    <row r="118" spans="1:12" x14ac:dyDescent="0.3">
      <c r="A118" s="7" t="s">
        <v>2</v>
      </c>
      <c r="B118" s="7"/>
      <c r="C118" s="7"/>
      <c r="D118" s="7"/>
      <c r="E118" s="7"/>
      <c r="F118" s="7"/>
      <c r="G118" s="7"/>
      <c r="H118" s="7"/>
      <c r="I118" s="7"/>
      <c r="J118" s="7"/>
      <c r="K118" s="7"/>
      <c r="L118" s="7"/>
    </row>
    <row r="119" spans="1:12" x14ac:dyDescent="0.3">
      <c r="B119" s="133"/>
      <c r="C119" s="133"/>
      <c r="D119" s="133"/>
      <c r="E119" s="133"/>
      <c r="F119" s="133"/>
      <c r="G119" s="46"/>
    </row>
    <row r="120" spans="1:12" x14ac:dyDescent="0.3">
      <c r="B120" s="46" t="s">
        <v>312</v>
      </c>
      <c r="C120" s="118">
        <f>E113*(E82*(1-0.25)+E83)</f>
        <v>1358948.4741534924</v>
      </c>
      <c r="D120" s="133"/>
      <c r="E120" s="133"/>
      <c r="F120" s="46"/>
      <c r="G120" s="46"/>
    </row>
    <row r="121" spans="1:12" x14ac:dyDescent="0.3">
      <c r="B121" s="46"/>
      <c r="C121" s="46"/>
      <c r="D121" s="46"/>
      <c r="E121" s="46"/>
      <c r="F121" s="46"/>
      <c r="G121" s="46"/>
    </row>
  </sheetData>
  <mergeCells count="6">
    <mergeCell ref="E93:H93"/>
    <mergeCell ref="B6:B7"/>
    <mergeCell ref="C6:C7"/>
    <mergeCell ref="B69:D70"/>
    <mergeCell ref="A16:L17"/>
    <mergeCell ref="D5:F6"/>
  </mergeCells>
  <pageMargins left="0.7" right="0.7" top="0.75" bottom="0.75" header="0.3" footer="0.3"/>
  <pageSetup scale="6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7628-A2B1-42B7-97AE-C3698AB7FA01}">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58</v>
      </c>
      <c r="B1" s="4"/>
      <c r="C1" s="9" t="s">
        <v>59</v>
      </c>
      <c r="D1" s="4"/>
      <c r="E1" s="4"/>
      <c r="F1" s="4"/>
      <c r="G1" s="4"/>
      <c r="H1" s="4"/>
      <c r="I1" s="4"/>
      <c r="J1" s="4"/>
      <c r="K1" s="4"/>
      <c r="L1" s="3"/>
    </row>
    <row r="2" spans="1:12" x14ac:dyDescent="0.3">
      <c r="A2" s="4"/>
      <c r="B2" s="4"/>
      <c r="C2" s="4"/>
      <c r="D2" s="4"/>
      <c r="E2" s="4"/>
      <c r="F2" s="4"/>
      <c r="G2" s="4"/>
      <c r="H2" s="4"/>
      <c r="I2" s="4"/>
      <c r="J2" s="4"/>
      <c r="K2" s="4"/>
      <c r="L2" s="3"/>
    </row>
    <row r="3" spans="1:12" s="11" customFormat="1" ht="16.2" x14ac:dyDescent="0.35">
      <c r="A3" s="48" t="s">
        <v>144</v>
      </c>
      <c r="B3" s="12"/>
      <c r="C3" s="12"/>
      <c r="D3" s="12"/>
      <c r="E3" s="12"/>
      <c r="F3" s="12"/>
      <c r="G3" s="12"/>
      <c r="H3" s="10"/>
      <c r="I3" s="10"/>
      <c r="J3" s="10"/>
      <c r="K3" s="10"/>
      <c r="L3" s="10"/>
    </row>
    <row r="4" spans="1:12" s="11" customFormat="1" x14ac:dyDescent="0.3">
      <c r="A4" s="12"/>
      <c r="B4" s="12"/>
      <c r="C4" s="12"/>
      <c r="D4" s="12"/>
      <c r="E4" s="12"/>
      <c r="F4" s="12"/>
      <c r="G4" s="12"/>
      <c r="H4" s="10"/>
      <c r="I4" s="10"/>
      <c r="J4" s="10"/>
      <c r="K4" s="10"/>
      <c r="L4" s="10"/>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CA220-E73D-4486-AF10-A5D13C441B5E}">
  <dimension ref="A1:R88"/>
  <sheetViews>
    <sheetView zoomScaleNormal="100" workbookViewId="0"/>
  </sheetViews>
  <sheetFormatPr defaultRowHeight="15.6" x14ac:dyDescent="0.3"/>
  <cols>
    <col min="1" max="1" width="8.88671875" style="1" customWidth="1"/>
    <col min="2" max="2" width="11.33203125" style="1" customWidth="1"/>
    <col min="3" max="3" width="17.88671875" style="1" customWidth="1"/>
    <col min="4" max="7" width="11.77734375" style="1" customWidth="1"/>
    <col min="8" max="8" width="25" style="1" customWidth="1"/>
    <col min="9" max="16384" width="8.88671875" style="1"/>
  </cols>
  <sheetData>
    <row r="1" spans="1:18" ht="17.399999999999999" x14ac:dyDescent="0.3">
      <c r="A1" s="2" t="s">
        <v>60</v>
      </c>
      <c r="B1" s="4"/>
      <c r="C1" s="9" t="s">
        <v>61</v>
      </c>
      <c r="D1" s="4"/>
      <c r="E1" s="4"/>
      <c r="F1" s="4"/>
      <c r="G1" s="4"/>
      <c r="H1" s="4"/>
      <c r="I1" s="4"/>
      <c r="J1" s="4"/>
      <c r="K1" s="4"/>
      <c r="L1" s="3"/>
    </row>
    <row r="2" spans="1:18" x14ac:dyDescent="0.3">
      <c r="A2" s="4"/>
      <c r="B2" s="4"/>
      <c r="C2" s="4"/>
      <c r="D2" s="4"/>
      <c r="E2" s="4"/>
      <c r="F2" s="4"/>
      <c r="G2" s="4"/>
      <c r="H2" s="4"/>
      <c r="I2" s="4"/>
      <c r="J2" s="4"/>
      <c r="K2" s="4"/>
      <c r="L2" s="3"/>
    </row>
    <row r="3" spans="1:18" x14ac:dyDescent="0.3">
      <c r="A3" s="12" t="s">
        <v>256</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ht="15.6" customHeight="1" x14ac:dyDescent="0.3">
      <c r="A5" s="13"/>
      <c r="B5" s="53"/>
      <c r="C5" s="378" t="s">
        <v>66</v>
      </c>
      <c r="D5" s="376" t="s">
        <v>67</v>
      </c>
      <c r="E5" s="377"/>
      <c r="F5" s="376" t="s">
        <v>68</v>
      </c>
      <c r="G5" s="377"/>
      <c r="H5" s="54"/>
      <c r="I5" s="10"/>
      <c r="J5" s="10"/>
      <c r="K5" s="10"/>
      <c r="L5" s="10"/>
    </row>
    <row r="6" spans="1:18" s="11" customFormat="1" ht="46.8" x14ac:dyDescent="0.3">
      <c r="A6" s="13"/>
      <c r="B6" s="55" t="s">
        <v>62</v>
      </c>
      <c r="C6" s="379"/>
      <c r="D6" s="56" t="s">
        <v>241</v>
      </c>
      <c r="E6" s="56" t="s">
        <v>69</v>
      </c>
      <c r="F6" s="56" t="s">
        <v>241</v>
      </c>
      <c r="G6" s="56" t="s">
        <v>69</v>
      </c>
      <c r="H6" s="57" t="s">
        <v>63</v>
      </c>
      <c r="I6" s="10"/>
      <c r="J6" s="10"/>
      <c r="K6" s="10"/>
      <c r="L6" s="10"/>
      <c r="N6"/>
      <c r="O6"/>
      <c r="P6"/>
      <c r="Q6"/>
      <c r="R6"/>
    </row>
    <row r="7" spans="1:18" s="11" customFormat="1" x14ac:dyDescent="0.3">
      <c r="A7" s="13"/>
      <c r="B7" s="49">
        <v>1</v>
      </c>
      <c r="C7" s="52">
        <v>43174</v>
      </c>
      <c r="D7" s="50">
        <v>600000</v>
      </c>
      <c r="E7" s="50">
        <v>0</v>
      </c>
      <c r="F7" s="50">
        <v>30000</v>
      </c>
      <c r="G7" s="50">
        <v>0</v>
      </c>
      <c r="H7" s="51" t="s">
        <v>64</v>
      </c>
      <c r="I7" s="10"/>
      <c r="J7" s="10"/>
      <c r="K7" s="10"/>
      <c r="L7" s="10"/>
      <c r="N7"/>
      <c r="O7"/>
      <c r="P7"/>
      <c r="Q7"/>
      <c r="R7"/>
    </row>
    <row r="8" spans="1:18" s="11" customFormat="1" x14ac:dyDescent="0.3">
      <c r="A8" s="13"/>
      <c r="B8" s="49">
        <v>1</v>
      </c>
      <c r="C8" s="52">
        <v>43235</v>
      </c>
      <c r="D8" s="50">
        <v>175000</v>
      </c>
      <c r="E8" s="50">
        <v>0</v>
      </c>
      <c r="F8" s="50">
        <v>15000</v>
      </c>
      <c r="G8" s="50">
        <v>5000</v>
      </c>
      <c r="H8" s="51" t="s">
        <v>261</v>
      </c>
      <c r="I8" s="10"/>
      <c r="J8" s="10"/>
      <c r="K8" s="10"/>
      <c r="L8" s="10"/>
      <c r="N8"/>
      <c r="O8"/>
      <c r="P8"/>
      <c r="Q8"/>
      <c r="R8"/>
    </row>
    <row r="9" spans="1:18" s="11" customFormat="1" x14ac:dyDescent="0.3">
      <c r="A9" s="13"/>
      <c r="B9" s="49">
        <v>1</v>
      </c>
      <c r="C9" s="52">
        <v>43570</v>
      </c>
      <c r="D9" s="50">
        <v>-150000</v>
      </c>
      <c r="E9" s="50">
        <v>150000</v>
      </c>
      <c r="F9" s="50">
        <v>-22000</v>
      </c>
      <c r="G9" s="50">
        <v>22000</v>
      </c>
      <c r="H9" s="51" t="s">
        <v>261</v>
      </c>
      <c r="I9" s="10"/>
      <c r="J9" s="10"/>
      <c r="K9" s="10"/>
      <c r="L9" s="10"/>
      <c r="N9"/>
      <c r="O9"/>
      <c r="P9"/>
      <c r="Q9"/>
      <c r="R9"/>
    </row>
    <row r="10" spans="1:18" s="11" customFormat="1" x14ac:dyDescent="0.3">
      <c r="A10" s="13"/>
      <c r="B10" s="49">
        <v>1</v>
      </c>
      <c r="C10" s="52">
        <v>44027</v>
      </c>
      <c r="D10" s="50">
        <v>-625000</v>
      </c>
      <c r="E10" s="50">
        <v>597000</v>
      </c>
      <c r="F10" s="50">
        <v>-23000</v>
      </c>
      <c r="G10" s="50">
        <v>24000</v>
      </c>
      <c r="H10" s="51" t="s">
        <v>65</v>
      </c>
      <c r="I10" s="10"/>
      <c r="J10" s="10"/>
      <c r="K10" s="10"/>
      <c r="L10" s="10"/>
      <c r="N10"/>
      <c r="O10"/>
      <c r="P10"/>
      <c r="Q10"/>
      <c r="R10"/>
    </row>
    <row r="11" spans="1:18" s="11" customFormat="1" x14ac:dyDescent="0.3">
      <c r="A11" s="13"/>
      <c r="B11" s="49">
        <v>2</v>
      </c>
      <c r="C11" s="52">
        <v>43174</v>
      </c>
      <c r="D11" s="50">
        <v>90000</v>
      </c>
      <c r="E11" s="50">
        <v>0</v>
      </c>
      <c r="F11" s="50">
        <v>10000</v>
      </c>
      <c r="G11" s="50">
        <v>0</v>
      </c>
      <c r="H11" s="51" t="s">
        <v>64</v>
      </c>
      <c r="I11" s="10"/>
      <c r="J11" s="10"/>
      <c r="K11" s="10"/>
      <c r="L11" s="10"/>
      <c r="N11"/>
      <c r="O11"/>
      <c r="P11"/>
      <c r="Q11"/>
      <c r="R11"/>
    </row>
    <row r="12" spans="1:18" s="11" customFormat="1" x14ac:dyDescent="0.3">
      <c r="A12" s="13"/>
      <c r="B12" s="49">
        <v>2</v>
      </c>
      <c r="C12" s="52">
        <v>43600</v>
      </c>
      <c r="D12" s="50">
        <v>-90000</v>
      </c>
      <c r="E12" s="50">
        <v>110000</v>
      </c>
      <c r="F12" s="50">
        <v>-10000</v>
      </c>
      <c r="G12" s="50">
        <v>15000</v>
      </c>
      <c r="H12" s="51" t="s">
        <v>65</v>
      </c>
      <c r="I12" s="10"/>
      <c r="J12" s="10"/>
      <c r="K12" s="10"/>
      <c r="L12" s="10"/>
      <c r="N12"/>
      <c r="O12"/>
      <c r="P12"/>
      <c r="Q12"/>
      <c r="R12"/>
    </row>
    <row r="13" spans="1:18" s="11" customFormat="1" x14ac:dyDescent="0.3">
      <c r="A13" s="13"/>
      <c r="B13" s="49">
        <v>3</v>
      </c>
      <c r="C13" s="52">
        <v>43054</v>
      </c>
      <c r="D13" s="50">
        <v>400000</v>
      </c>
      <c r="E13" s="50">
        <v>0</v>
      </c>
      <c r="F13" s="50">
        <v>60000</v>
      </c>
      <c r="G13" s="50">
        <v>0</v>
      </c>
      <c r="H13" s="51" t="s">
        <v>64</v>
      </c>
      <c r="I13" s="10"/>
      <c r="J13" s="10"/>
      <c r="K13" s="10"/>
      <c r="L13" s="10"/>
      <c r="N13"/>
      <c r="O13"/>
      <c r="P13"/>
      <c r="Q13"/>
      <c r="R13"/>
    </row>
    <row r="14" spans="1:18" s="11" customFormat="1" x14ac:dyDescent="0.3">
      <c r="A14" s="13"/>
      <c r="B14" s="49">
        <v>3</v>
      </c>
      <c r="C14" s="52">
        <v>43327</v>
      </c>
      <c r="D14" s="50">
        <v>-75000</v>
      </c>
      <c r="E14" s="51">
        <v>0</v>
      </c>
      <c r="F14" s="50">
        <v>-10000</v>
      </c>
      <c r="G14" s="50">
        <v>35000</v>
      </c>
      <c r="H14" s="51" t="s">
        <v>261</v>
      </c>
      <c r="I14" s="10"/>
      <c r="J14" s="10"/>
      <c r="K14" s="10"/>
      <c r="L14" s="10"/>
      <c r="N14"/>
      <c r="O14"/>
      <c r="P14"/>
      <c r="Q14"/>
      <c r="R14"/>
    </row>
    <row r="15" spans="1:18" s="11" customFormat="1" x14ac:dyDescent="0.3">
      <c r="A15" s="13"/>
      <c r="B15" s="49">
        <v>3</v>
      </c>
      <c r="C15" s="52">
        <v>43753</v>
      </c>
      <c r="D15" s="50">
        <v>-325000</v>
      </c>
      <c r="E15" s="50">
        <v>300000</v>
      </c>
      <c r="F15" s="50">
        <v>-50000</v>
      </c>
      <c r="G15" s="50">
        <v>35000</v>
      </c>
      <c r="H15" s="51" t="s">
        <v>65</v>
      </c>
      <c r="I15" s="10"/>
      <c r="J15" s="10"/>
      <c r="K15" s="10"/>
      <c r="L15" s="10"/>
      <c r="N15"/>
      <c r="O15"/>
      <c r="P15"/>
      <c r="Q15"/>
      <c r="R15"/>
    </row>
    <row r="16" spans="1:18" s="11" customFormat="1" x14ac:dyDescent="0.3">
      <c r="A16" s="13"/>
      <c r="B16" s="49">
        <v>4</v>
      </c>
      <c r="C16" s="52">
        <v>43174</v>
      </c>
      <c r="D16" s="50">
        <v>600000</v>
      </c>
      <c r="E16" s="50">
        <v>0</v>
      </c>
      <c r="F16" s="50">
        <v>30000</v>
      </c>
      <c r="G16" s="50">
        <v>0</v>
      </c>
      <c r="H16" s="51" t="s">
        <v>64</v>
      </c>
      <c r="I16" s="10"/>
      <c r="J16" s="10"/>
      <c r="K16" s="10"/>
      <c r="L16" s="10"/>
      <c r="N16"/>
      <c r="O16"/>
      <c r="P16"/>
      <c r="Q16"/>
      <c r="R16"/>
    </row>
    <row r="17" spans="1:18" s="11" customFormat="1" x14ac:dyDescent="0.3">
      <c r="A17" s="12"/>
      <c r="B17" s="49">
        <v>4</v>
      </c>
      <c r="C17" s="52">
        <v>43876</v>
      </c>
      <c r="D17" s="50">
        <v>100000</v>
      </c>
      <c r="E17" s="50">
        <v>0</v>
      </c>
      <c r="F17" s="50">
        <v>12000</v>
      </c>
      <c r="G17" s="50">
        <v>19000</v>
      </c>
      <c r="H17" s="51" t="s">
        <v>261</v>
      </c>
      <c r="I17" s="10"/>
      <c r="J17" s="10"/>
      <c r="K17" s="10"/>
      <c r="L17" s="10"/>
      <c r="N17"/>
      <c r="O17"/>
      <c r="P17"/>
      <c r="Q17"/>
      <c r="R17"/>
    </row>
    <row r="18" spans="1:18" s="11" customFormat="1" x14ac:dyDescent="0.3">
      <c r="A18" s="12"/>
      <c r="B18" s="12"/>
      <c r="C18" s="12"/>
      <c r="D18" s="12"/>
      <c r="E18" s="12"/>
      <c r="F18" s="12"/>
      <c r="G18" s="12"/>
      <c r="H18" s="10"/>
      <c r="I18" s="10"/>
      <c r="J18" s="10"/>
      <c r="K18" s="10"/>
      <c r="L18" s="10"/>
    </row>
    <row r="19" spans="1:18" s="11" customFormat="1" x14ac:dyDescent="0.3">
      <c r="A19" s="13"/>
      <c r="B19" s="13" t="s">
        <v>73</v>
      </c>
      <c r="C19" s="12"/>
      <c r="D19" s="12"/>
      <c r="E19" s="12"/>
      <c r="F19" s="12"/>
      <c r="G19" s="12"/>
      <c r="H19" s="10"/>
      <c r="I19" s="10"/>
      <c r="J19" s="10"/>
      <c r="K19" s="10"/>
      <c r="L19" s="10"/>
    </row>
    <row r="20" spans="1:18" s="11" customFormat="1" x14ac:dyDescent="0.3">
      <c r="A20" s="12"/>
      <c r="B20" s="13" t="s">
        <v>74</v>
      </c>
      <c r="C20" s="12"/>
      <c r="D20" s="12"/>
      <c r="E20" s="12"/>
      <c r="F20" s="12"/>
      <c r="G20" s="12"/>
      <c r="H20" s="10"/>
      <c r="I20" s="10"/>
      <c r="J20" s="10"/>
      <c r="K20" s="10"/>
      <c r="L20" s="10"/>
    </row>
    <row r="21" spans="1:18" s="11" customFormat="1" x14ac:dyDescent="0.3">
      <c r="A21" s="12"/>
      <c r="B21" s="13" t="s">
        <v>75</v>
      </c>
      <c r="C21" s="12"/>
      <c r="D21" s="12"/>
      <c r="E21" s="12"/>
      <c r="F21" s="12"/>
      <c r="G21" s="12"/>
      <c r="H21" s="10"/>
      <c r="I21" s="10"/>
      <c r="J21" s="10"/>
      <c r="K21" s="10"/>
      <c r="L21" s="10"/>
    </row>
    <row r="22" spans="1:18" x14ac:dyDescent="0.3">
      <c r="A22" s="12"/>
      <c r="B22" s="12"/>
      <c r="C22" s="12"/>
      <c r="D22" s="12"/>
      <c r="E22" s="12"/>
      <c r="F22" s="12"/>
      <c r="G22" s="12"/>
      <c r="H22" s="9"/>
      <c r="I22" s="9"/>
      <c r="J22" s="9"/>
      <c r="K22" s="9"/>
      <c r="L22" s="9"/>
    </row>
    <row r="23" spans="1:18" x14ac:dyDescent="0.3">
      <c r="A23" s="369" t="s">
        <v>257</v>
      </c>
      <c r="B23" s="369"/>
      <c r="C23" s="369"/>
      <c r="D23" s="369"/>
      <c r="E23" s="369"/>
      <c r="F23" s="369"/>
      <c r="G23" s="369"/>
      <c r="H23" s="369"/>
      <c r="I23" s="369"/>
      <c r="J23" s="369"/>
      <c r="K23" s="369"/>
      <c r="L23" s="9"/>
    </row>
    <row r="24" spans="1:18" x14ac:dyDescent="0.3">
      <c r="A24" s="369"/>
      <c r="B24" s="369"/>
      <c r="C24" s="369"/>
      <c r="D24" s="369"/>
      <c r="E24" s="369"/>
      <c r="F24" s="369"/>
      <c r="G24" s="369"/>
      <c r="H24" s="369"/>
      <c r="I24" s="369"/>
      <c r="J24" s="369"/>
      <c r="K24" s="369"/>
      <c r="L24" s="9"/>
    </row>
    <row r="25" spans="1:18" x14ac:dyDescent="0.3">
      <c r="A25" s="9"/>
      <c r="B25" s="9"/>
      <c r="C25" s="9"/>
      <c r="D25" s="9"/>
      <c r="E25" s="9"/>
      <c r="F25" s="9"/>
      <c r="G25" s="9"/>
      <c r="H25" s="9"/>
      <c r="I25" s="9"/>
      <c r="J25" s="9"/>
      <c r="K25" s="9"/>
      <c r="L25" s="9"/>
    </row>
    <row r="26" spans="1:18" x14ac:dyDescent="0.3">
      <c r="A26" s="9"/>
      <c r="B26" s="9" t="s">
        <v>76</v>
      </c>
      <c r="C26" s="9" t="s">
        <v>70</v>
      </c>
      <c r="D26" s="9"/>
      <c r="E26" s="9"/>
      <c r="F26" s="9"/>
      <c r="G26" s="9"/>
      <c r="H26" s="9"/>
      <c r="I26" s="9"/>
      <c r="J26" s="9"/>
      <c r="K26" s="9"/>
      <c r="L26" s="9"/>
    </row>
    <row r="27" spans="1:18" x14ac:dyDescent="0.3">
      <c r="A27" s="9"/>
      <c r="B27" s="9"/>
      <c r="C27" s="9"/>
      <c r="D27" s="9"/>
      <c r="E27" s="9"/>
      <c r="F27" s="9"/>
      <c r="G27" s="9"/>
      <c r="H27" s="9"/>
      <c r="I27" s="9"/>
      <c r="J27" s="9"/>
      <c r="K27" s="9"/>
      <c r="L27" s="9"/>
    </row>
    <row r="28" spans="1:18" x14ac:dyDescent="0.3">
      <c r="A28" s="9"/>
      <c r="B28" s="9" t="s">
        <v>77</v>
      </c>
      <c r="C28" s="9" t="s">
        <v>71</v>
      </c>
      <c r="D28" s="9"/>
      <c r="E28" s="9"/>
      <c r="F28" s="9"/>
      <c r="G28" s="9"/>
      <c r="H28" s="9"/>
      <c r="I28" s="9"/>
      <c r="J28" s="9"/>
      <c r="K28" s="9"/>
      <c r="L28" s="9"/>
    </row>
    <row r="29" spans="1:18" x14ac:dyDescent="0.3">
      <c r="A29" s="9"/>
      <c r="B29" s="9"/>
      <c r="C29" s="9"/>
      <c r="D29" s="9"/>
      <c r="E29" s="9"/>
      <c r="F29" s="9"/>
      <c r="G29" s="9"/>
      <c r="H29" s="9"/>
      <c r="I29" s="9"/>
      <c r="J29" s="9"/>
      <c r="K29" s="9"/>
      <c r="L29" s="9"/>
    </row>
    <row r="30" spans="1:18" x14ac:dyDescent="0.3">
      <c r="A30" s="9"/>
      <c r="B30" s="9" t="s">
        <v>78</v>
      </c>
      <c r="C30" s="9" t="s">
        <v>72</v>
      </c>
      <c r="D30" s="9"/>
      <c r="E30" s="9"/>
      <c r="F30" s="9"/>
      <c r="G30" s="9"/>
      <c r="H30" s="9"/>
      <c r="I30" s="9"/>
      <c r="J30" s="9"/>
      <c r="K30" s="9"/>
      <c r="L30" s="9"/>
    </row>
    <row r="31" spans="1:18" x14ac:dyDescent="0.3">
      <c r="A31" s="7"/>
      <c r="B31" s="7"/>
      <c r="C31" s="7"/>
      <c r="D31" s="7"/>
      <c r="E31" s="7"/>
      <c r="F31" s="7"/>
      <c r="G31" s="7"/>
      <c r="H31" s="7"/>
    </row>
    <row r="32" spans="1:18" x14ac:dyDescent="0.3">
      <c r="A32" s="7" t="s">
        <v>2</v>
      </c>
      <c r="B32" s="7"/>
      <c r="C32" s="7"/>
      <c r="D32" s="7"/>
      <c r="E32" s="7"/>
      <c r="F32" s="7"/>
      <c r="G32" s="7"/>
      <c r="H32" s="7"/>
    </row>
    <row r="33" spans="1:8" x14ac:dyDescent="0.3">
      <c r="A33" s="102"/>
      <c r="B33" s="383" t="s">
        <v>319</v>
      </c>
      <c r="C33" s="384"/>
      <c r="D33" s="172">
        <v>200000</v>
      </c>
      <c r="E33" s="102"/>
      <c r="F33" s="102"/>
      <c r="G33" s="102"/>
      <c r="H33" s="102"/>
    </row>
    <row r="34" spans="1:8" x14ac:dyDescent="0.3">
      <c r="A34" s="102"/>
      <c r="B34" s="383" t="s">
        <v>320</v>
      </c>
      <c r="C34" s="384"/>
      <c r="D34" s="172">
        <v>600000</v>
      </c>
      <c r="E34" s="102"/>
      <c r="F34" s="102"/>
      <c r="G34" s="102"/>
      <c r="H34" s="102"/>
    </row>
    <row r="35" spans="1:8" x14ac:dyDescent="0.3">
      <c r="A35" s="102"/>
      <c r="B35" s="383" t="s">
        <v>321</v>
      </c>
      <c r="C35" s="384"/>
      <c r="D35" s="173">
        <v>2017</v>
      </c>
      <c r="E35" s="102"/>
      <c r="F35" s="102"/>
      <c r="G35" s="102"/>
      <c r="H35" s="102"/>
    </row>
    <row r="36" spans="1:8" x14ac:dyDescent="0.3">
      <c r="A36" s="102"/>
      <c r="B36" s="174"/>
      <c r="C36" s="175" t="s">
        <v>322</v>
      </c>
      <c r="D36" s="174"/>
      <c r="E36" s="102"/>
      <c r="F36" s="102"/>
      <c r="G36" s="102"/>
      <c r="H36" s="102"/>
    </row>
    <row r="37" spans="1:8" x14ac:dyDescent="0.3">
      <c r="A37" s="102"/>
      <c r="B37" s="383" t="s">
        <v>323</v>
      </c>
      <c r="C37" s="384"/>
      <c r="D37" s="173">
        <v>2017</v>
      </c>
      <c r="E37" s="102"/>
      <c r="F37" s="102"/>
      <c r="G37" s="102"/>
      <c r="H37" s="102"/>
    </row>
    <row r="38" spans="1:8" x14ac:dyDescent="0.3">
      <c r="A38" s="102"/>
      <c r="B38" s="102"/>
      <c r="C38" s="102"/>
      <c r="D38" s="102"/>
      <c r="E38" s="102"/>
      <c r="F38" s="102"/>
      <c r="G38" s="102"/>
      <c r="H38" s="102"/>
    </row>
    <row r="39" spans="1:8" ht="31.2" x14ac:dyDescent="0.3">
      <c r="A39" s="102"/>
      <c r="B39" s="168" t="s">
        <v>48</v>
      </c>
      <c r="C39" s="168" t="s">
        <v>315</v>
      </c>
      <c r="D39" s="168" t="s">
        <v>67</v>
      </c>
      <c r="E39" s="168" t="s">
        <v>68</v>
      </c>
      <c r="F39" s="168" t="s">
        <v>316</v>
      </c>
      <c r="G39" s="102"/>
      <c r="H39" s="102"/>
    </row>
    <row r="40" spans="1:8" x14ac:dyDescent="0.3">
      <c r="A40" s="102"/>
      <c r="B40" s="169">
        <f t="shared" ref="B40:B50" si="0">YEAR(C7)</f>
        <v>2018</v>
      </c>
      <c r="C40" s="170">
        <f t="shared" ref="C40:C50" si="1">(1+B40-$D$37)*12</f>
        <v>24</v>
      </c>
      <c r="D40" s="171">
        <f t="shared" ref="D40:D50" si="2">D7+E7</f>
        <v>600000</v>
      </c>
      <c r="E40" s="171">
        <f t="shared" ref="E40:E50" si="3">SUM(F7:G7)</f>
        <v>30000</v>
      </c>
      <c r="F40" s="169" t="s">
        <v>317</v>
      </c>
      <c r="G40" s="102"/>
      <c r="H40" s="102"/>
    </row>
    <row r="41" spans="1:8" x14ac:dyDescent="0.3">
      <c r="A41" s="102"/>
      <c r="B41" s="169">
        <f t="shared" si="0"/>
        <v>2018</v>
      </c>
      <c r="C41" s="170">
        <f t="shared" si="1"/>
        <v>24</v>
      </c>
      <c r="D41" s="171">
        <f t="shared" si="2"/>
        <v>175000</v>
      </c>
      <c r="E41" s="171">
        <f t="shared" si="3"/>
        <v>20000</v>
      </c>
      <c r="F41" s="169" t="s">
        <v>317</v>
      </c>
      <c r="G41" s="102"/>
      <c r="H41" s="102"/>
    </row>
    <row r="42" spans="1:8" x14ac:dyDescent="0.3">
      <c r="A42" s="102"/>
      <c r="B42" s="169">
        <f t="shared" si="0"/>
        <v>2019</v>
      </c>
      <c r="C42" s="170">
        <f t="shared" si="1"/>
        <v>36</v>
      </c>
      <c r="D42" s="171">
        <f t="shared" si="2"/>
        <v>0</v>
      </c>
      <c r="E42" s="171">
        <f t="shared" si="3"/>
        <v>0</v>
      </c>
      <c r="F42" s="169" t="s">
        <v>317</v>
      </c>
      <c r="G42" s="102"/>
      <c r="H42" s="102"/>
    </row>
    <row r="43" spans="1:8" x14ac:dyDescent="0.3">
      <c r="A43" s="102"/>
      <c r="B43" s="169">
        <f t="shared" si="0"/>
        <v>2020</v>
      </c>
      <c r="C43" s="170">
        <f t="shared" si="1"/>
        <v>48</v>
      </c>
      <c r="D43" s="171">
        <f t="shared" si="2"/>
        <v>-28000</v>
      </c>
      <c r="E43" s="171">
        <f t="shared" si="3"/>
        <v>1000</v>
      </c>
      <c r="F43" s="169" t="s">
        <v>317</v>
      </c>
      <c r="G43" s="102"/>
      <c r="H43" s="102"/>
    </row>
    <row r="44" spans="1:8" x14ac:dyDescent="0.3">
      <c r="A44" s="102"/>
      <c r="B44" s="169">
        <f t="shared" si="0"/>
        <v>2018</v>
      </c>
      <c r="C44" s="170">
        <f t="shared" si="1"/>
        <v>24</v>
      </c>
      <c r="D44" s="171">
        <f t="shared" si="2"/>
        <v>90000</v>
      </c>
      <c r="E44" s="171">
        <f t="shared" si="3"/>
        <v>10000</v>
      </c>
      <c r="F44" s="169" t="s">
        <v>317</v>
      </c>
      <c r="G44" s="102"/>
      <c r="H44" s="102"/>
    </row>
    <row r="45" spans="1:8" x14ac:dyDescent="0.3">
      <c r="A45" s="102"/>
      <c r="B45" s="169">
        <f t="shared" si="0"/>
        <v>2019</v>
      </c>
      <c r="C45" s="170">
        <f t="shared" si="1"/>
        <v>36</v>
      </c>
      <c r="D45" s="171">
        <f t="shared" si="2"/>
        <v>20000</v>
      </c>
      <c r="E45" s="171">
        <f t="shared" si="3"/>
        <v>5000</v>
      </c>
      <c r="F45" s="169" t="s">
        <v>317</v>
      </c>
      <c r="G45" s="102"/>
      <c r="H45" s="102"/>
    </row>
    <row r="46" spans="1:8" x14ac:dyDescent="0.3">
      <c r="A46" s="102"/>
      <c r="B46" s="169">
        <f t="shared" si="0"/>
        <v>2017</v>
      </c>
      <c r="C46" s="170">
        <f t="shared" si="1"/>
        <v>12</v>
      </c>
      <c r="D46" s="171">
        <f t="shared" si="2"/>
        <v>400000</v>
      </c>
      <c r="E46" s="171">
        <f t="shared" si="3"/>
        <v>60000</v>
      </c>
      <c r="F46" s="169" t="s">
        <v>265</v>
      </c>
      <c r="G46" s="102"/>
      <c r="H46" s="102"/>
    </row>
    <row r="47" spans="1:8" x14ac:dyDescent="0.3">
      <c r="A47" s="102"/>
      <c r="B47" s="169">
        <f t="shared" si="0"/>
        <v>2018</v>
      </c>
      <c r="C47" s="170">
        <f t="shared" si="1"/>
        <v>24</v>
      </c>
      <c r="D47" s="171">
        <f t="shared" si="2"/>
        <v>-75000</v>
      </c>
      <c r="E47" s="171">
        <f t="shared" si="3"/>
        <v>25000</v>
      </c>
      <c r="F47" s="169" t="s">
        <v>265</v>
      </c>
      <c r="G47" s="102"/>
      <c r="H47" s="102"/>
    </row>
    <row r="48" spans="1:8" x14ac:dyDescent="0.3">
      <c r="A48" s="102"/>
      <c r="B48" s="169">
        <f t="shared" si="0"/>
        <v>2019</v>
      </c>
      <c r="C48" s="170">
        <f t="shared" si="1"/>
        <v>36</v>
      </c>
      <c r="D48" s="171">
        <f t="shared" si="2"/>
        <v>-25000</v>
      </c>
      <c r="E48" s="171">
        <f t="shared" si="3"/>
        <v>-15000</v>
      </c>
      <c r="F48" s="169" t="s">
        <v>265</v>
      </c>
      <c r="G48" s="102"/>
      <c r="H48" s="102"/>
    </row>
    <row r="49" spans="1:14" x14ac:dyDescent="0.3">
      <c r="A49" s="102"/>
      <c r="B49" s="169">
        <f t="shared" si="0"/>
        <v>2018</v>
      </c>
      <c r="C49" s="170">
        <f t="shared" si="1"/>
        <v>24</v>
      </c>
      <c r="D49" s="171">
        <f t="shared" si="2"/>
        <v>600000</v>
      </c>
      <c r="E49" s="171">
        <f t="shared" si="3"/>
        <v>30000</v>
      </c>
      <c r="F49" s="169" t="s">
        <v>318</v>
      </c>
      <c r="G49" s="102"/>
      <c r="H49" s="102"/>
    </row>
    <row r="50" spans="1:14" x14ac:dyDescent="0.3">
      <c r="A50" s="102"/>
      <c r="B50" s="169">
        <f t="shared" si="0"/>
        <v>2020</v>
      </c>
      <c r="C50" s="170">
        <f t="shared" si="1"/>
        <v>48</v>
      </c>
      <c r="D50" s="171">
        <f t="shared" si="2"/>
        <v>100000</v>
      </c>
      <c r="E50" s="171">
        <f t="shared" si="3"/>
        <v>31000</v>
      </c>
      <c r="F50" s="169" t="s">
        <v>318</v>
      </c>
      <c r="G50" s="102"/>
      <c r="H50" s="102"/>
    </row>
    <row r="51" spans="1:14" x14ac:dyDescent="0.3">
      <c r="A51" s="102"/>
      <c r="B51" s="102"/>
      <c r="C51" s="102"/>
      <c r="D51" s="102"/>
      <c r="E51" s="102"/>
      <c r="F51" s="102"/>
      <c r="G51" s="102"/>
      <c r="H51" s="102"/>
    </row>
    <row r="52" spans="1:14" x14ac:dyDescent="0.3">
      <c r="A52" s="102"/>
      <c r="B52" s="1" t="s">
        <v>76</v>
      </c>
      <c r="H52" s="102"/>
    </row>
    <row r="53" spans="1:14" x14ac:dyDescent="0.3">
      <c r="A53" s="102"/>
      <c r="B53" s="177" t="s">
        <v>316</v>
      </c>
      <c r="C53" s="176"/>
      <c r="D53" s="176">
        <v>12</v>
      </c>
      <c r="E53" s="176">
        <v>24</v>
      </c>
      <c r="F53" s="176">
        <v>36</v>
      </c>
      <c r="G53" s="176">
        <v>48</v>
      </c>
      <c r="H53" s="102"/>
    </row>
    <row r="54" spans="1:14" x14ac:dyDescent="0.3">
      <c r="A54" s="102"/>
      <c r="B54" s="177" t="s">
        <v>317</v>
      </c>
      <c r="C54" s="177" t="s">
        <v>67</v>
      </c>
      <c r="D54" s="178">
        <f>SUMIF($C$40:$C$45,"&lt;="&amp;D$53,$D$40:$D$45)</f>
        <v>0</v>
      </c>
      <c r="E54" s="178">
        <f>SUMIF($C$40:$C$45,"&lt;="&amp;E$53,$D$40:$D$45)</f>
        <v>865000</v>
      </c>
      <c r="F54" s="178">
        <f>SUMIF($C$40:$C$45,"&lt;="&amp;F$53,$D$40:$D$45)</f>
        <v>885000</v>
      </c>
      <c r="G54" s="178">
        <f>SUMIF($C$40:$C$45,"&lt;="&amp;G$53,$D$40:$D$45)</f>
        <v>857000</v>
      </c>
      <c r="H54" s="102"/>
    </row>
    <row r="55" spans="1:14" x14ac:dyDescent="0.3">
      <c r="A55" s="102"/>
      <c r="B55" s="177" t="s">
        <v>317</v>
      </c>
      <c r="C55" s="177" t="s">
        <v>68</v>
      </c>
      <c r="D55" s="178">
        <f>SUMIF($C$40:$C$45,"&lt;="&amp;D$53,$E$40:$E$45)</f>
        <v>0</v>
      </c>
      <c r="E55" s="178">
        <f>SUMIF($C$40:$C$45,"&lt;="&amp;E$53,$E$40:$E$45)</f>
        <v>60000</v>
      </c>
      <c r="F55" s="178">
        <f>SUMIF($C$40:$C$45,"&lt;="&amp;F$53,$E$40:$E$45)</f>
        <v>65000</v>
      </c>
      <c r="G55" s="178">
        <f>SUMIF($C$40:$C$45,"&lt;="&amp;G$53,$E$40:$E$45)</f>
        <v>66000</v>
      </c>
      <c r="H55" s="102"/>
    </row>
    <row r="56" spans="1:14" x14ac:dyDescent="0.3">
      <c r="A56" s="102"/>
      <c r="B56" s="177" t="s">
        <v>265</v>
      </c>
      <c r="C56" s="177" t="s">
        <v>67</v>
      </c>
      <c r="D56" s="178">
        <f>SUMIF($C$46:$C$48,"&lt;="&amp;D$53,$D$46:$D$48)</f>
        <v>400000</v>
      </c>
      <c r="E56" s="178">
        <f>SUMIF($C$46:$C$48,"&lt;="&amp;E$53,$D$46:$D$48)</f>
        <v>325000</v>
      </c>
      <c r="F56" s="178">
        <f>SUMIF($C$46:$C$48,"&lt;="&amp;F$53,$D$46:$D$48)</f>
        <v>300000</v>
      </c>
      <c r="G56" s="178">
        <f>SUMIF($C$46:$C$48,"&lt;="&amp;G$53,$D$46:$D$48)</f>
        <v>300000</v>
      </c>
      <c r="H56" s="102"/>
    </row>
    <row r="57" spans="1:14" x14ac:dyDescent="0.3">
      <c r="A57" s="102"/>
      <c r="B57" s="177" t="s">
        <v>265</v>
      </c>
      <c r="C57" s="177" t="s">
        <v>68</v>
      </c>
      <c r="D57" s="178">
        <f>SUMIF($C$46:$C$48,"&lt;="&amp;D$53,$E$46:$E$48)</f>
        <v>60000</v>
      </c>
      <c r="E57" s="178">
        <f>SUMIF($C$46:$C$48,"&lt;="&amp;E$53,$E$46:$E$48)</f>
        <v>85000</v>
      </c>
      <c r="F57" s="178">
        <f>SUMIF($C$46:$C$48,"&lt;="&amp;F$53,$E$46:$E$48)</f>
        <v>70000</v>
      </c>
      <c r="G57" s="178">
        <f>SUMIF($C$46:$C$48,"&lt;="&amp;G$53,$E$46:$E$48)</f>
        <v>70000</v>
      </c>
      <c r="H57" s="102"/>
    </row>
    <row r="58" spans="1:14" x14ac:dyDescent="0.3">
      <c r="A58" s="102"/>
      <c r="B58" s="177" t="s">
        <v>318</v>
      </c>
      <c r="C58" s="177" t="s">
        <v>67</v>
      </c>
      <c r="D58" s="178">
        <f>SUMIF($C$49:$C$50,"&lt;="&amp;D$53,$D$49:$D$50)</f>
        <v>0</v>
      </c>
      <c r="E58" s="178">
        <f>SUMIF($C$49:$C$50,"&lt;="&amp;E$53,$D$49:$D$50)</f>
        <v>600000</v>
      </c>
      <c r="F58" s="178">
        <f>SUMIF($C$49:$C$50,"&lt;="&amp;F$53,$D$49:$D$50)</f>
        <v>600000</v>
      </c>
      <c r="G58" s="178">
        <f>SUMIF($C$49:$C$50,"&lt;="&amp;G$53,$D$49:$D$50)</f>
        <v>700000</v>
      </c>
      <c r="H58" s="102"/>
    </row>
    <row r="59" spans="1:14" x14ac:dyDescent="0.3">
      <c r="A59" s="102"/>
      <c r="B59" s="177" t="s">
        <v>318</v>
      </c>
      <c r="C59" s="177" t="s">
        <v>68</v>
      </c>
      <c r="D59" s="178">
        <f>SUMIF($C$49:$C$50,"&lt;="&amp;D$53,$E$49:$E$50)</f>
        <v>0</v>
      </c>
      <c r="E59" s="178">
        <f>SUMIF($C$49:$C$50,"&lt;="&amp;E$53,$E$49:$E$50)</f>
        <v>30000</v>
      </c>
      <c r="F59" s="178">
        <f>SUMIF($C$49:$C$50,"&lt;="&amp;F$53,$E$49:$E$50)</f>
        <v>30000</v>
      </c>
      <c r="G59" s="178">
        <f>SUMIF($C$49:$C$50,"&lt;="&amp;G$53,$E$49:$E$50)</f>
        <v>61000</v>
      </c>
      <c r="H59" s="102"/>
      <c r="I59" s="7"/>
      <c r="J59" s="7"/>
      <c r="K59" s="7"/>
      <c r="L59" s="7"/>
      <c r="M59" s="7"/>
      <c r="N59" s="8"/>
    </row>
    <row r="60" spans="1:14" x14ac:dyDescent="0.3">
      <c r="A60" s="102"/>
      <c r="B60" s="177" t="s">
        <v>44</v>
      </c>
      <c r="C60" s="176"/>
      <c r="D60" s="178">
        <f>SUM(D54:D59)</f>
        <v>460000</v>
      </c>
      <c r="E60" s="178">
        <f>SUM(E54:E59)</f>
        <v>1965000</v>
      </c>
      <c r="F60" s="178">
        <f>SUM(F54:F59)</f>
        <v>1950000</v>
      </c>
      <c r="G60" s="178">
        <f>SUM(G54:G59)</f>
        <v>2054000</v>
      </c>
      <c r="H60" s="102"/>
      <c r="I60" s="7"/>
      <c r="J60" s="7"/>
      <c r="K60" s="7"/>
      <c r="L60" s="7"/>
      <c r="M60" s="7"/>
      <c r="N60" s="8"/>
    </row>
    <row r="61" spans="1:14" x14ac:dyDescent="0.3">
      <c r="A61" s="102"/>
      <c r="D61" s="179"/>
      <c r="E61" s="179"/>
      <c r="F61" s="179"/>
      <c r="G61" s="179"/>
      <c r="H61" s="102"/>
      <c r="I61" s="7"/>
      <c r="J61" s="7"/>
      <c r="K61" s="7"/>
      <c r="L61" s="7"/>
      <c r="M61" s="7"/>
      <c r="N61" s="8"/>
    </row>
    <row r="62" spans="1:14" x14ac:dyDescent="0.3">
      <c r="A62" s="102"/>
      <c r="B62" s="1" t="s">
        <v>325</v>
      </c>
      <c r="H62" s="102"/>
      <c r="I62" s="7"/>
      <c r="J62" s="7"/>
      <c r="K62" s="7"/>
      <c r="L62" s="7"/>
      <c r="M62" s="7"/>
      <c r="N62" s="8"/>
    </row>
    <row r="63" spans="1:14" x14ac:dyDescent="0.3">
      <c r="A63" s="102"/>
      <c r="B63" s="177" t="s">
        <v>316</v>
      </c>
      <c r="C63" s="177"/>
      <c r="D63" s="177">
        <v>12</v>
      </c>
      <c r="E63" s="177">
        <v>24</v>
      </c>
      <c r="F63" s="177">
        <v>36</v>
      </c>
      <c r="G63" s="177">
        <v>48</v>
      </c>
      <c r="H63" s="102"/>
      <c r="I63" s="7"/>
      <c r="J63" s="7"/>
      <c r="K63" s="7"/>
      <c r="L63" s="7"/>
      <c r="M63" s="7"/>
      <c r="N63" s="8"/>
    </row>
    <row r="64" spans="1:14" x14ac:dyDescent="0.3">
      <c r="A64" s="102"/>
      <c r="B64" s="177" t="s">
        <v>317</v>
      </c>
      <c r="C64" s="177" t="s">
        <v>67</v>
      </c>
      <c r="D64" s="178">
        <f>MIN(MAX(0,D54-$D$33),$D$34)</f>
        <v>0</v>
      </c>
      <c r="E64" s="178">
        <f>MIN(MAX(0,E54-$D$33),$D$34)</f>
        <v>600000</v>
      </c>
      <c r="F64" s="178">
        <f>MIN(MAX(0,F54-$D$33),$D$34)</f>
        <v>600000</v>
      </c>
      <c r="G64" s="178">
        <f>MIN(MAX(0,G54-$D$33),$D$34)</f>
        <v>600000</v>
      </c>
      <c r="H64" s="102"/>
      <c r="I64" s="7"/>
      <c r="J64" s="7"/>
      <c r="K64" s="7"/>
      <c r="L64" s="7"/>
      <c r="M64" s="7"/>
      <c r="N64" s="8"/>
    </row>
    <row r="65" spans="1:14" x14ac:dyDescent="0.3">
      <c r="A65" s="102"/>
      <c r="B65" s="177" t="s">
        <v>317</v>
      </c>
      <c r="C65" s="177" t="s">
        <v>68</v>
      </c>
      <c r="D65" s="178">
        <f>IF(D54&gt;0,D55*D64/D54,0)</f>
        <v>0</v>
      </c>
      <c r="E65" s="178">
        <f>IF(E54&gt;0,E55*E64/E54,0)</f>
        <v>41618.497109826589</v>
      </c>
      <c r="F65" s="178">
        <f>IF(F54&gt;0,F55*F64/F54,0)</f>
        <v>44067.796610169491</v>
      </c>
      <c r="G65" s="178">
        <f>IF(G54&gt;0,G55*G64/G54,0)</f>
        <v>46207.701283547256</v>
      </c>
      <c r="H65" s="102"/>
      <c r="I65" s="7"/>
      <c r="J65" s="7"/>
      <c r="K65" s="7"/>
      <c r="L65" s="7"/>
      <c r="M65" s="7"/>
      <c r="N65" s="8"/>
    </row>
    <row r="66" spans="1:14" x14ac:dyDescent="0.3">
      <c r="A66" s="102"/>
      <c r="B66" s="177" t="s">
        <v>265</v>
      </c>
      <c r="C66" s="177" t="s">
        <v>67</v>
      </c>
      <c r="D66" s="178">
        <f>MIN(MAX(0,D56-$D$33),$D$34)</f>
        <v>200000</v>
      </c>
      <c r="E66" s="178">
        <f>MIN(MAX(0,E56-$D$33),$D$34)</f>
        <v>125000</v>
      </c>
      <c r="F66" s="178">
        <f>MIN(MAX(0,F56-$D$33),$D$34)</f>
        <v>100000</v>
      </c>
      <c r="G66" s="178">
        <f>MIN(MAX(0,G56-$D$33),$D$34)</f>
        <v>100000</v>
      </c>
      <c r="H66" s="102"/>
      <c r="I66" s="7"/>
      <c r="J66" s="7"/>
      <c r="K66" s="7"/>
      <c r="L66" s="7"/>
      <c r="M66" s="7"/>
      <c r="N66" s="8"/>
    </row>
    <row r="67" spans="1:14" x14ac:dyDescent="0.3">
      <c r="A67" s="102"/>
      <c r="B67" s="177" t="s">
        <v>265</v>
      </c>
      <c r="C67" s="177" t="s">
        <v>68</v>
      </c>
      <c r="D67" s="178">
        <f>IF(D56&gt;0,D57*D66/D56,0)</f>
        <v>30000</v>
      </c>
      <c r="E67" s="178">
        <f>IF(E56&gt;0,E57*E66/E56,0)</f>
        <v>32692.307692307691</v>
      </c>
      <c r="F67" s="178">
        <f t="shared" ref="F67:G67" si="4">IF(F56&gt;0,F57*F66/F56,0)</f>
        <v>23333.333333333332</v>
      </c>
      <c r="G67" s="178">
        <f t="shared" si="4"/>
        <v>23333.333333333332</v>
      </c>
      <c r="H67" s="102"/>
      <c r="I67" s="7"/>
      <c r="J67" s="7"/>
      <c r="K67" s="7"/>
      <c r="L67" s="7"/>
      <c r="M67" s="7"/>
      <c r="N67" s="8"/>
    </row>
    <row r="68" spans="1:14" x14ac:dyDescent="0.3">
      <c r="A68" s="102"/>
      <c r="B68" s="177" t="s">
        <v>318</v>
      </c>
      <c r="C68" s="177" t="s">
        <v>67</v>
      </c>
      <c r="D68" s="178">
        <f>MIN(MAX(0,D58-$D$33),$D$34)</f>
        <v>0</v>
      </c>
      <c r="E68" s="178">
        <f>MIN(MAX(0,E58-$D$33),$D$34)</f>
        <v>400000</v>
      </c>
      <c r="F68" s="178">
        <f>MIN(MAX(0,F58-$D$33),$D$34)</f>
        <v>400000</v>
      </c>
      <c r="G68" s="178">
        <f>MIN(MAX(0,G58-$D$33),$D$34)</f>
        <v>500000</v>
      </c>
      <c r="H68" s="102"/>
      <c r="I68" s="7"/>
      <c r="J68" s="7"/>
      <c r="K68" s="7"/>
      <c r="L68" s="7"/>
      <c r="M68" s="7"/>
      <c r="N68" s="8"/>
    </row>
    <row r="69" spans="1:14" x14ac:dyDescent="0.3">
      <c r="A69" s="102"/>
      <c r="B69" s="177" t="s">
        <v>318</v>
      </c>
      <c r="C69" s="177" t="s">
        <v>68</v>
      </c>
      <c r="D69" s="178">
        <f>IF(D58&gt;0,D59*D68/D58,0)</f>
        <v>0</v>
      </c>
      <c r="E69" s="178">
        <f>IF(E58&gt;0,E59*E68/E58,0)</f>
        <v>20000</v>
      </c>
      <c r="F69" s="178">
        <f t="shared" ref="F69:G69" si="5">IF(F58&gt;0,F59*F68/F58,0)</f>
        <v>20000</v>
      </c>
      <c r="G69" s="178">
        <f t="shared" si="5"/>
        <v>43571.428571428572</v>
      </c>
      <c r="H69" s="102"/>
      <c r="I69" s="7"/>
      <c r="J69" s="7"/>
      <c r="K69" s="7"/>
      <c r="L69" s="7"/>
      <c r="M69" s="7"/>
      <c r="N69" s="8"/>
    </row>
    <row r="70" spans="1:14" x14ac:dyDescent="0.3">
      <c r="A70" s="102"/>
      <c r="B70" s="177" t="s">
        <v>44</v>
      </c>
      <c r="C70" s="177"/>
      <c r="D70" s="178">
        <f>SUM(D64:D69)</f>
        <v>230000</v>
      </c>
      <c r="E70" s="178">
        <f>SUM(E64:E69)</f>
        <v>1219310.8048021342</v>
      </c>
      <c r="F70" s="178">
        <f>SUM(F64:F69)</f>
        <v>1187401.1299435028</v>
      </c>
      <c r="G70" s="178">
        <f>SUM(G64:G69)</f>
        <v>1313112.4631883092</v>
      </c>
      <c r="H70" s="102"/>
      <c r="I70" s="7"/>
      <c r="J70" s="7"/>
      <c r="K70" s="7"/>
      <c r="L70" s="7"/>
      <c r="M70" s="7"/>
      <c r="N70" s="8"/>
    </row>
    <row r="71" spans="1:14" x14ac:dyDescent="0.3">
      <c r="A71" s="102"/>
      <c r="B71" s="125"/>
      <c r="C71" s="125"/>
      <c r="D71" s="179"/>
      <c r="E71" s="179"/>
      <c r="F71" s="179"/>
      <c r="G71" s="179"/>
      <c r="H71" s="102"/>
      <c r="I71" s="7"/>
      <c r="J71" s="7"/>
      <c r="K71" s="7"/>
      <c r="L71" s="7"/>
      <c r="M71" s="7"/>
      <c r="N71" s="8"/>
    </row>
    <row r="72" spans="1:14" x14ac:dyDescent="0.3">
      <c r="A72" s="102"/>
      <c r="B72" s="1" t="s">
        <v>326</v>
      </c>
      <c r="H72" s="102"/>
      <c r="I72" s="7"/>
      <c r="J72" s="7"/>
      <c r="K72" s="7"/>
      <c r="L72" s="7"/>
      <c r="M72" s="7"/>
      <c r="N72" s="8"/>
    </row>
    <row r="73" spans="1:14" x14ac:dyDescent="0.3">
      <c r="A73" s="102"/>
      <c r="B73" s="177" t="s">
        <v>316</v>
      </c>
      <c r="C73" s="177"/>
      <c r="D73" s="177">
        <v>12</v>
      </c>
      <c r="E73" s="177">
        <v>24</v>
      </c>
      <c r="F73" s="177">
        <v>36</v>
      </c>
      <c r="G73" s="177">
        <v>48</v>
      </c>
      <c r="H73" s="102"/>
      <c r="I73" s="7"/>
      <c r="J73" s="7"/>
      <c r="K73" s="7"/>
      <c r="L73" s="7"/>
      <c r="M73" s="7"/>
      <c r="N73" s="8"/>
    </row>
    <row r="74" spans="1:14" x14ac:dyDescent="0.3">
      <c r="A74" s="102"/>
      <c r="B74" s="177" t="s">
        <v>317</v>
      </c>
      <c r="C74" s="176" t="s">
        <v>324</v>
      </c>
      <c r="D74" s="178">
        <f>MIN(MAX(0,SUM(D54:D55)-$D$33),$D$34)</f>
        <v>0</v>
      </c>
      <c r="E74" s="178">
        <f>MIN(MAX(0,SUM(E54:E55)-$D$33),$D$34)</f>
        <v>600000</v>
      </c>
      <c r="F74" s="178">
        <f>MIN(MAX(0,SUM(F54:F55)-$D$33),$D$34)</f>
        <v>600000</v>
      </c>
      <c r="G74" s="178">
        <f>MIN(MAX(0,SUM(G54:G55)-$D$33),$D$34)</f>
        <v>600000</v>
      </c>
      <c r="H74" s="102"/>
      <c r="I74" s="7"/>
      <c r="J74" s="7"/>
      <c r="K74" s="7"/>
      <c r="L74" s="7"/>
      <c r="M74" s="7"/>
      <c r="N74" s="8"/>
    </row>
    <row r="75" spans="1:14" x14ac:dyDescent="0.3">
      <c r="A75" s="102"/>
      <c r="B75" s="177" t="s">
        <v>265</v>
      </c>
      <c r="C75" s="176" t="s">
        <v>324</v>
      </c>
      <c r="D75" s="178">
        <f>MIN(MAX(0,SUM(D56:D57)-$D$33),$D$34)</f>
        <v>260000</v>
      </c>
      <c r="E75" s="178">
        <f>MIN(MAX(0,SUM(E56:E57)-$D$33),$D$34)</f>
        <v>210000</v>
      </c>
      <c r="F75" s="178">
        <f>MIN(MAX(0,SUM(F56:F57)-$D$33),$D$34)</f>
        <v>170000</v>
      </c>
      <c r="G75" s="178">
        <f>MIN(MAX(0,SUM(G56:G57)-$D$33),$D$34)</f>
        <v>170000</v>
      </c>
      <c r="H75" s="102"/>
      <c r="I75" s="7"/>
      <c r="J75" s="7"/>
      <c r="K75" s="7"/>
      <c r="L75" s="7"/>
      <c r="M75" s="7"/>
      <c r="N75" s="8"/>
    </row>
    <row r="76" spans="1:14" x14ac:dyDescent="0.3">
      <c r="A76" s="102"/>
      <c r="B76" s="177" t="s">
        <v>318</v>
      </c>
      <c r="C76" s="176" t="s">
        <v>324</v>
      </c>
      <c r="D76" s="178">
        <f>MIN(MAX(0,SUM(D58:D59)-$D$33),$D$34)</f>
        <v>0</v>
      </c>
      <c r="E76" s="178">
        <f>MIN(MAX(0,SUM(E58:E59)-$D$33),$D$34)</f>
        <v>430000</v>
      </c>
      <c r="F76" s="178">
        <f>MIN(MAX(0,SUM(F58:F59)-$D$33),$D$34)</f>
        <v>430000</v>
      </c>
      <c r="G76" s="178">
        <f>MIN(MAX(0,SUM(G58:G59)-$D$33),$D$34)</f>
        <v>561000</v>
      </c>
      <c r="H76" s="102"/>
      <c r="I76" s="7"/>
      <c r="J76" s="7"/>
      <c r="K76" s="7"/>
      <c r="L76" s="7"/>
      <c r="M76" s="7"/>
      <c r="N76" s="8"/>
    </row>
    <row r="77" spans="1:14" x14ac:dyDescent="0.3">
      <c r="A77" s="102"/>
      <c r="B77" s="177" t="s">
        <v>44</v>
      </c>
      <c r="C77" s="181"/>
      <c r="D77" s="182">
        <f>SUM(D74:D76)</f>
        <v>260000</v>
      </c>
      <c r="E77" s="182">
        <f>SUM(E74:E76)</f>
        <v>1240000</v>
      </c>
      <c r="F77" s="182">
        <f>SUM(F74:F76)</f>
        <v>1200000</v>
      </c>
      <c r="G77" s="182">
        <f>SUM(G74:G76)</f>
        <v>1331000</v>
      </c>
      <c r="H77" s="102"/>
      <c r="I77" s="7"/>
      <c r="J77" s="7"/>
      <c r="K77" s="7"/>
      <c r="L77" s="7"/>
      <c r="M77" s="7"/>
      <c r="N77" s="8"/>
    </row>
    <row r="78" spans="1:14" ht="16.2" thickBot="1" x14ac:dyDescent="0.35">
      <c r="A78" s="102"/>
      <c r="B78" s="102"/>
      <c r="C78" s="102"/>
      <c r="D78" s="102"/>
      <c r="E78" s="102"/>
      <c r="F78" s="102"/>
      <c r="G78" s="102"/>
      <c r="H78" s="102"/>
      <c r="I78" s="7"/>
      <c r="J78" s="7"/>
      <c r="K78" s="7"/>
      <c r="L78" s="7"/>
      <c r="M78" s="7"/>
      <c r="N78" s="8"/>
    </row>
    <row r="79" spans="1:14" ht="16.2" thickBot="1" x14ac:dyDescent="0.35">
      <c r="A79"/>
      <c r="B79" s="380" t="s">
        <v>262</v>
      </c>
      <c r="C79" s="381"/>
      <c r="D79" s="381"/>
      <c r="E79" s="381"/>
      <c r="F79" s="382"/>
      <c r="G79"/>
      <c r="H79"/>
      <c r="I79" s="7"/>
      <c r="J79" s="7"/>
      <c r="K79" s="7"/>
      <c r="L79" s="7"/>
      <c r="M79" s="7"/>
      <c r="N79" s="8"/>
    </row>
    <row r="80" spans="1:14" ht="16.2" thickBot="1" x14ac:dyDescent="0.35">
      <c r="A80"/>
      <c r="B80" s="103"/>
      <c r="C80" s="104">
        <v>12</v>
      </c>
      <c r="D80" s="104">
        <v>24</v>
      </c>
      <c r="E80" s="104">
        <v>36</v>
      </c>
      <c r="F80" s="104">
        <v>48</v>
      </c>
      <c r="G80"/>
      <c r="H80"/>
      <c r="M80" s="8"/>
      <c r="N80" s="8"/>
    </row>
    <row r="81" spans="1:14" ht="16.2" thickBot="1" x14ac:dyDescent="0.35">
      <c r="A81"/>
      <c r="B81" s="103" t="s">
        <v>76</v>
      </c>
      <c r="C81" s="183">
        <f>D60</f>
        <v>460000</v>
      </c>
      <c r="D81" s="183">
        <f>E60</f>
        <v>1965000</v>
      </c>
      <c r="E81" s="183">
        <f>F60</f>
        <v>1950000</v>
      </c>
      <c r="F81" s="183">
        <f>G60</f>
        <v>2054000</v>
      </c>
      <c r="G81"/>
      <c r="H81"/>
      <c r="M81" s="8"/>
      <c r="N81" s="8"/>
    </row>
    <row r="82" spans="1:14" ht="16.2" thickBot="1" x14ac:dyDescent="0.35">
      <c r="A82"/>
      <c r="B82" s="103" t="s">
        <v>77</v>
      </c>
      <c r="C82" s="183">
        <f>C81-D70</f>
        <v>230000</v>
      </c>
      <c r="D82" s="183">
        <f>D81-E70</f>
        <v>745689.19519786583</v>
      </c>
      <c r="E82" s="183">
        <f>E81-F70</f>
        <v>762598.87005649717</v>
      </c>
      <c r="F82" s="183">
        <f>F81-G70</f>
        <v>740887.53681169078</v>
      </c>
      <c r="G82"/>
      <c r="H82"/>
      <c r="M82" s="8"/>
      <c r="N82" s="8"/>
    </row>
    <row r="83" spans="1:14" ht="16.2" thickBot="1" x14ac:dyDescent="0.35">
      <c r="B83" s="103" t="s">
        <v>78</v>
      </c>
      <c r="C83" s="183">
        <f>C81-D77</f>
        <v>200000</v>
      </c>
      <c r="D83" s="183">
        <f>D81-E77</f>
        <v>725000</v>
      </c>
      <c r="E83" s="183">
        <f>E81-F77</f>
        <v>750000</v>
      </c>
      <c r="F83" s="183">
        <f>F81-G77</f>
        <v>723000</v>
      </c>
      <c r="M83" s="8"/>
      <c r="N83" s="8"/>
    </row>
    <row r="84" spans="1:14" x14ac:dyDescent="0.3">
      <c r="M84" s="8"/>
      <c r="N84" s="8"/>
    </row>
    <row r="85" spans="1:14" x14ac:dyDescent="0.3">
      <c r="M85" s="8"/>
      <c r="N85" s="8"/>
    </row>
    <row r="86" spans="1:14" x14ac:dyDescent="0.3">
      <c r="C86"/>
      <c r="D86"/>
      <c r="E86"/>
      <c r="F86"/>
      <c r="M86" s="8"/>
      <c r="N86" s="8"/>
    </row>
    <row r="87" spans="1:14" x14ac:dyDescent="0.3">
      <c r="C87"/>
      <c r="D87"/>
      <c r="E87"/>
      <c r="F87"/>
      <c r="M87" s="8"/>
      <c r="N87" s="8"/>
    </row>
    <row r="88" spans="1:14" x14ac:dyDescent="0.3">
      <c r="C88"/>
      <c r="D88"/>
      <c r="E88"/>
      <c r="F88"/>
    </row>
  </sheetData>
  <mergeCells count="9">
    <mergeCell ref="F5:G5"/>
    <mergeCell ref="C5:C6"/>
    <mergeCell ref="A23:K24"/>
    <mergeCell ref="B79:F79"/>
    <mergeCell ref="B33:C33"/>
    <mergeCell ref="B34:C34"/>
    <mergeCell ref="B35:C35"/>
    <mergeCell ref="B37:C37"/>
    <mergeCell ref="D5:E5"/>
  </mergeCells>
  <pageMargins left="0.7" right="0.7" top="0.75" bottom="0.75" header="0.3" footer="0.3"/>
  <pageSetup scale="72"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1C77-EADF-4A3C-99BB-C6697513C5E6}">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79</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145</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6BE5-FE05-46D7-BA08-F8590B47A301}">
  <dimension ref="A1:R102"/>
  <sheetViews>
    <sheetView zoomScaleNormal="100" workbookViewId="0"/>
  </sheetViews>
  <sheetFormatPr defaultRowHeight="15.6" x14ac:dyDescent="0.3"/>
  <cols>
    <col min="1" max="1" width="8.88671875" style="1" customWidth="1"/>
    <col min="2" max="7" width="11.77734375" style="1" customWidth="1"/>
    <col min="8" max="9" width="10.77734375" style="1" customWidth="1"/>
    <col min="10" max="16384" width="8.88671875" style="1"/>
  </cols>
  <sheetData>
    <row r="1" spans="1:12" ht="17.399999999999999" x14ac:dyDescent="0.3">
      <c r="A1" s="2" t="s">
        <v>80</v>
      </c>
      <c r="B1" s="4"/>
      <c r="C1" s="9" t="s">
        <v>59</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242</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t="s">
        <v>81</v>
      </c>
      <c r="B5" s="12"/>
      <c r="C5" s="12"/>
      <c r="D5" s="12"/>
      <c r="E5" s="12"/>
      <c r="F5" s="12"/>
      <c r="G5" s="12"/>
      <c r="H5" s="10"/>
      <c r="I5" s="10"/>
      <c r="J5" s="10"/>
      <c r="K5" s="10"/>
      <c r="L5" s="10"/>
    </row>
    <row r="6" spans="1:12" s="11" customFormat="1" x14ac:dyDescent="0.3">
      <c r="A6" s="13"/>
      <c r="B6" s="12"/>
      <c r="C6" s="12"/>
      <c r="D6" s="12"/>
      <c r="E6" s="12"/>
      <c r="F6" s="12"/>
      <c r="G6" s="12"/>
      <c r="H6" s="10"/>
      <c r="I6" s="10"/>
      <c r="J6" s="10"/>
      <c r="K6" s="10"/>
      <c r="L6" s="10"/>
    </row>
    <row r="7" spans="1:12" s="11" customFormat="1" x14ac:dyDescent="0.3">
      <c r="A7" s="13"/>
      <c r="B7" s="58"/>
      <c r="C7" s="389" t="s">
        <v>82</v>
      </c>
      <c r="D7" s="389"/>
      <c r="E7" s="389" t="s">
        <v>83</v>
      </c>
      <c r="F7" s="389"/>
      <c r="G7" s="12"/>
      <c r="H7" s="10"/>
      <c r="I7" s="10"/>
      <c r="J7" s="10"/>
      <c r="K7" s="10"/>
      <c r="L7" s="10"/>
    </row>
    <row r="8" spans="1:12" s="11" customFormat="1" x14ac:dyDescent="0.3">
      <c r="A8" s="13"/>
      <c r="B8" s="58"/>
      <c r="C8" s="59" t="s">
        <v>84</v>
      </c>
      <c r="D8" s="59" t="s">
        <v>85</v>
      </c>
      <c r="E8" s="59" t="s">
        <v>84</v>
      </c>
      <c r="F8" s="59" t="s">
        <v>85</v>
      </c>
      <c r="G8" s="12"/>
      <c r="H8" s="10"/>
      <c r="I8" s="10"/>
      <c r="J8" s="10"/>
      <c r="K8" s="10"/>
      <c r="L8" s="10"/>
    </row>
    <row r="9" spans="1:12" s="11" customFormat="1" x14ac:dyDescent="0.3">
      <c r="A9" s="13"/>
      <c r="B9" s="386" t="s">
        <v>259</v>
      </c>
      <c r="C9" s="386"/>
      <c r="D9" s="386"/>
      <c r="E9" s="386"/>
      <c r="F9" s="386"/>
      <c r="G9" s="12"/>
      <c r="H9" s="10"/>
      <c r="I9" s="10"/>
      <c r="J9" s="10"/>
      <c r="K9" s="10"/>
      <c r="L9" s="10"/>
    </row>
    <row r="10" spans="1:12" s="11" customFormat="1" x14ac:dyDescent="0.3">
      <c r="A10" s="13"/>
      <c r="B10" s="60">
        <v>2017</v>
      </c>
      <c r="C10" s="61">
        <v>1000</v>
      </c>
      <c r="D10" s="60">
        <v>740</v>
      </c>
      <c r="E10" s="61">
        <v>2000</v>
      </c>
      <c r="F10" s="61">
        <v>1820</v>
      </c>
      <c r="G10" s="12"/>
      <c r="H10" s="10"/>
      <c r="I10" s="10"/>
      <c r="J10" s="10"/>
      <c r="K10" s="10"/>
      <c r="L10" s="10"/>
    </row>
    <row r="11" spans="1:12" s="11" customFormat="1" x14ac:dyDescent="0.3">
      <c r="A11" s="13"/>
      <c r="B11" s="60">
        <v>2018</v>
      </c>
      <c r="C11" s="61">
        <v>1100</v>
      </c>
      <c r="D11" s="60">
        <v>814</v>
      </c>
      <c r="E11" s="61">
        <v>3100</v>
      </c>
      <c r="F11" s="61">
        <v>2728</v>
      </c>
      <c r="G11" s="12"/>
      <c r="H11" s="10"/>
      <c r="I11" s="10"/>
      <c r="J11" s="10"/>
      <c r="K11" s="10"/>
      <c r="L11" s="10"/>
    </row>
    <row r="12" spans="1:12" s="11" customFormat="1" x14ac:dyDescent="0.3">
      <c r="A12" s="13"/>
      <c r="B12" s="60">
        <v>2019</v>
      </c>
      <c r="C12" s="61">
        <v>1200</v>
      </c>
      <c r="D12" s="60">
        <v>888</v>
      </c>
      <c r="E12" s="61">
        <v>4900</v>
      </c>
      <c r="F12" s="61">
        <v>4165</v>
      </c>
      <c r="G12" s="12"/>
      <c r="H12" s="10"/>
      <c r="I12" s="10"/>
      <c r="J12" s="10"/>
      <c r="K12" s="10"/>
      <c r="L12" s="10"/>
    </row>
    <row r="13" spans="1:12" s="11" customFormat="1" x14ac:dyDescent="0.3">
      <c r="A13" s="13"/>
      <c r="B13" s="60">
        <v>2020</v>
      </c>
      <c r="C13" s="61">
        <v>1300</v>
      </c>
      <c r="D13" s="60">
        <v>962</v>
      </c>
      <c r="E13" s="61">
        <v>6000</v>
      </c>
      <c r="F13" s="61">
        <v>4920</v>
      </c>
      <c r="G13" s="12"/>
      <c r="H13" s="10"/>
      <c r="I13" s="10"/>
      <c r="J13" s="10"/>
      <c r="K13" s="10"/>
      <c r="L13" s="10"/>
    </row>
    <row r="14" spans="1:12" s="11" customFormat="1" x14ac:dyDescent="0.3">
      <c r="A14" s="13"/>
      <c r="B14" s="58"/>
      <c r="C14" s="58"/>
      <c r="D14" s="58"/>
      <c r="E14" s="58"/>
      <c r="F14" s="58"/>
      <c r="G14" s="12"/>
      <c r="H14" s="10"/>
      <c r="I14" s="10"/>
      <c r="J14" s="10"/>
      <c r="K14" s="10"/>
      <c r="L14" s="10"/>
    </row>
    <row r="15" spans="1:12" s="11" customFormat="1" x14ac:dyDescent="0.3">
      <c r="A15" s="13"/>
      <c r="B15" s="386" t="s">
        <v>258</v>
      </c>
      <c r="C15" s="386"/>
      <c r="D15" s="386"/>
      <c r="E15" s="386"/>
      <c r="F15" s="386"/>
      <c r="G15" s="12"/>
      <c r="H15" s="10"/>
      <c r="I15" s="10"/>
      <c r="J15" s="10"/>
      <c r="K15" s="10"/>
      <c r="L15" s="10"/>
    </row>
    <row r="16" spans="1:12" s="11" customFormat="1" x14ac:dyDescent="0.3">
      <c r="A16" s="13"/>
      <c r="B16" s="60">
        <v>2016</v>
      </c>
      <c r="C16" s="60">
        <v>525</v>
      </c>
      <c r="D16" s="60">
        <v>415</v>
      </c>
      <c r="E16" s="60">
        <v>950</v>
      </c>
      <c r="F16" s="60">
        <v>893</v>
      </c>
      <c r="G16" s="12"/>
      <c r="H16" s="10"/>
      <c r="I16" s="10"/>
      <c r="J16" s="10"/>
      <c r="K16" s="10"/>
      <c r="L16" s="10"/>
    </row>
    <row r="17" spans="1:12" s="11" customFormat="1" x14ac:dyDescent="0.3">
      <c r="A17" s="13"/>
      <c r="B17" s="60">
        <v>2017</v>
      </c>
      <c r="C17" s="60">
        <v>500</v>
      </c>
      <c r="D17" s="60">
        <v>395</v>
      </c>
      <c r="E17" s="61">
        <v>1000</v>
      </c>
      <c r="F17" s="60">
        <v>910</v>
      </c>
      <c r="G17" s="12"/>
      <c r="H17" s="10"/>
      <c r="I17" s="10"/>
      <c r="J17" s="10"/>
      <c r="K17" s="10"/>
      <c r="L17" s="10"/>
    </row>
    <row r="18" spans="1:12" s="11" customFormat="1" x14ac:dyDescent="0.3">
      <c r="A18" s="13"/>
      <c r="B18" s="60">
        <v>2018</v>
      </c>
      <c r="C18" s="60">
        <v>550</v>
      </c>
      <c r="D18" s="60">
        <v>435</v>
      </c>
      <c r="E18" s="61">
        <v>1550</v>
      </c>
      <c r="F18" s="61">
        <v>1364</v>
      </c>
      <c r="G18" s="12"/>
      <c r="H18" s="10"/>
      <c r="I18" s="10"/>
      <c r="J18" s="10"/>
      <c r="K18" s="10"/>
      <c r="L18" s="10"/>
    </row>
    <row r="19" spans="1:12" s="11" customFormat="1" x14ac:dyDescent="0.3">
      <c r="A19" s="13"/>
      <c r="B19" s="60">
        <v>2019</v>
      </c>
      <c r="C19" s="60">
        <v>600</v>
      </c>
      <c r="D19" s="60">
        <v>474</v>
      </c>
      <c r="E19" s="61">
        <v>2450</v>
      </c>
      <c r="F19" s="61">
        <v>2083</v>
      </c>
      <c r="G19" s="12"/>
      <c r="H19" s="10"/>
      <c r="I19" s="10"/>
      <c r="J19" s="10"/>
      <c r="K19" s="10"/>
      <c r="L19" s="10"/>
    </row>
    <row r="20" spans="1:12" s="11" customFormat="1" x14ac:dyDescent="0.3">
      <c r="A20" s="13"/>
      <c r="B20" s="60">
        <v>2020</v>
      </c>
      <c r="C20" s="60">
        <v>650</v>
      </c>
      <c r="D20" s="60">
        <v>514</v>
      </c>
      <c r="E20" s="61">
        <v>3000</v>
      </c>
      <c r="F20" s="61">
        <v>2460</v>
      </c>
      <c r="G20" s="12"/>
      <c r="H20" s="10"/>
      <c r="I20" s="10"/>
      <c r="J20" s="10"/>
      <c r="K20" s="10"/>
      <c r="L20" s="10"/>
    </row>
    <row r="21" spans="1:12" s="11" customFormat="1" x14ac:dyDescent="0.3">
      <c r="A21" s="13"/>
      <c r="B21" s="58"/>
      <c r="C21" s="58"/>
      <c r="D21" s="58"/>
      <c r="E21" s="58"/>
      <c r="F21" s="58"/>
      <c r="G21" s="12"/>
      <c r="H21" s="10"/>
      <c r="I21" s="10"/>
      <c r="J21" s="10"/>
      <c r="K21" s="10"/>
      <c r="L21" s="10"/>
    </row>
    <row r="22" spans="1:12" s="11" customFormat="1" x14ac:dyDescent="0.3">
      <c r="A22" s="13"/>
      <c r="B22" s="390" t="s">
        <v>260</v>
      </c>
      <c r="C22" s="390"/>
      <c r="D22" s="390"/>
      <c r="E22" s="390"/>
      <c r="F22" s="390"/>
      <c r="G22" s="12"/>
      <c r="H22" s="10"/>
      <c r="I22" s="10"/>
      <c r="J22" s="10"/>
      <c r="K22" s="10"/>
      <c r="L22" s="10"/>
    </row>
    <row r="23" spans="1:12" s="11" customFormat="1" x14ac:dyDescent="0.3">
      <c r="A23" s="13"/>
      <c r="B23" s="60">
        <v>2017</v>
      </c>
      <c r="C23" s="60">
        <v>460</v>
      </c>
      <c r="D23" s="60">
        <v>300</v>
      </c>
      <c r="E23" s="61">
        <v>1070</v>
      </c>
      <c r="F23" s="60">
        <v>830</v>
      </c>
      <c r="G23" s="12"/>
      <c r="H23" s="10"/>
      <c r="I23" s="10"/>
      <c r="J23" s="10"/>
      <c r="K23" s="10"/>
      <c r="L23" s="10"/>
    </row>
    <row r="24" spans="1:12" s="11" customFormat="1" x14ac:dyDescent="0.3">
      <c r="A24" s="13"/>
      <c r="B24" s="60">
        <v>2018</v>
      </c>
      <c r="C24" s="60">
        <v>480</v>
      </c>
      <c r="D24" s="60">
        <v>310</v>
      </c>
      <c r="E24" s="61">
        <v>1530</v>
      </c>
      <c r="F24" s="61">
        <v>1190</v>
      </c>
      <c r="G24" s="12"/>
      <c r="H24" s="10"/>
      <c r="I24" s="10"/>
      <c r="J24" s="10"/>
      <c r="K24" s="10"/>
      <c r="L24" s="10"/>
    </row>
    <row r="25" spans="1:12" s="11" customFormat="1" x14ac:dyDescent="0.3">
      <c r="A25" s="13"/>
      <c r="B25" s="60">
        <v>2019</v>
      </c>
      <c r="C25" s="60">
        <v>510</v>
      </c>
      <c r="D25" s="60">
        <v>330</v>
      </c>
      <c r="E25" s="61">
        <v>2600</v>
      </c>
      <c r="F25" s="61">
        <v>2030</v>
      </c>
      <c r="G25" s="12"/>
      <c r="H25" s="10"/>
      <c r="I25" s="10"/>
      <c r="J25" s="10"/>
      <c r="K25" s="10"/>
      <c r="L25" s="10"/>
    </row>
    <row r="26" spans="1:12" s="11" customFormat="1" x14ac:dyDescent="0.3">
      <c r="A26" s="12"/>
      <c r="B26" s="60">
        <v>2020</v>
      </c>
      <c r="C26" s="60">
        <v>590</v>
      </c>
      <c r="D26" s="60">
        <v>380</v>
      </c>
      <c r="E26" s="61">
        <v>3820</v>
      </c>
      <c r="F26" s="61">
        <v>2980</v>
      </c>
      <c r="G26" s="12"/>
      <c r="H26" s="10"/>
      <c r="I26" s="10"/>
      <c r="J26" s="10"/>
      <c r="K26" s="10"/>
      <c r="L26" s="10"/>
    </row>
    <row r="27" spans="1:12" s="11" customFormat="1" x14ac:dyDescent="0.3">
      <c r="A27" s="12"/>
      <c r="B27" s="62"/>
      <c r="C27" s="60"/>
      <c r="D27" s="60"/>
      <c r="E27" s="60"/>
      <c r="F27" s="60"/>
      <c r="G27" s="12"/>
      <c r="H27" s="10"/>
      <c r="I27" s="10"/>
      <c r="J27" s="10"/>
      <c r="K27" s="10"/>
      <c r="L27" s="10"/>
    </row>
    <row r="28" spans="1:12" s="11" customFormat="1" x14ac:dyDescent="0.3">
      <c r="A28" s="13"/>
      <c r="B28" s="386" t="s">
        <v>86</v>
      </c>
      <c r="C28" s="386"/>
      <c r="D28" s="386"/>
      <c r="E28" s="386"/>
      <c r="F28" s="386"/>
      <c r="G28" s="12"/>
      <c r="H28" s="10"/>
      <c r="I28" s="10"/>
      <c r="J28" s="10"/>
      <c r="K28" s="10"/>
      <c r="L28" s="10"/>
    </row>
    <row r="29" spans="1:12" s="11" customFormat="1" x14ac:dyDescent="0.3">
      <c r="A29" s="12"/>
      <c r="B29" s="60">
        <v>2017</v>
      </c>
      <c r="C29" s="63">
        <v>0.45</v>
      </c>
      <c r="D29" s="63">
        <v>0.39</v>
      </c>
      <c r="E29" s="63">
        <v>0.55000000000000004</v>
      </c>
      <c r="F29" s="63">
        <v>0.46</v>
      </c>
      <c r="G29" s="12"/>
      <c r="H29" s="10"/>
      <c r="I29" s="10"/>
      <c r="J29" s="10"/>
      <c r="K29" s="10"/>
      <c r="L29" s="10"/>
    </row>
    <row r="30" spans="1:12" s="11" customFormat="1" x14ac:dyDescent="0.3">
      <c r="A30" s="12"/>
      <c r="B30" s="60">
        <v>2018</v>
      </c>
      <c r="C30" s="63">
        <v>0.46</v>
      </c>
      <c r="D30" s="63">
        <v>0.4</v>
      </c>
      <c r="E30" s="63">
        <v>0.6</v>
      </c>
      <c r="F30" s="63">
        <v>0.52</v>
      </c>
      <c r="G30" s="12"/>
      <c r="H30" s="10"/>
      <c r="I30" s="10"/>
      <c r="J30" s="10"/>
      <c r="K30" s="10"/>
      <c r="L30" s="10"/>
    </row>
    <row r="31" spans="1:12" x14ac:dyDescent="0.3">
      <c r="A31" s="12"/>
      <c r="B31" s="60">
        <v>2019</v>
      </c>
      <c r="C31" s="63">
        <v>0.44</v>
      </c>
      <c r="D31" s="63">
        <v>0.39</v>
      </c>
      <c r="E31" s="63">
        <v>0.65</v>
      </c>
      <c r="F31" s="63">
        <v>0.59</v>
      </c>
      <c r="G31" s="12"/>
      <c r="H31" s="9"/>
      <c r="I31" s="9"/>
      <c r="J31" s="9"/>
      <c r="K31" s="9"/>
      <c r="L31" s="9"/>
    </row>
    <row r="32" spans="1:12" x14ac:dyDescent="0.3">
      <c r="A32" s="12"/>
      <c r="B32" s="60">
        <v>2020</v>
      </c>
      <c r="C32" s="63">
        <v>0.47</v>
      </c>
      <c r="D32" s="63">
        <v>0.41</v>
      </c>
      <c r="E32" s="63">
        <v>0.7</v>
      </c>
      <c r="F32" s="63">
        <v>0.66</v>
      </c>
      <c r="G32" s="12"/>
      <c r="H32" s="9"/>
      <c r="I32" s="9"/>
      <c r="J32" s="9"/>
      <c r="K32" s="9"/>
      <c r="L32" s="9"/>
    </row>
    <row r="33" spans="1:18" x14ac:dyDescent="0.3">
      <c r="A33" s="9"/>
      <c r="B33" s="9"/>
      <c r="C33" s="9"/>
      <c r="D33" s="9"/>
      <c r="E33" s="9"/>
      <c r="F33" s="9"/>
      <c r="G33" s="9"/>
      <c r="H33" s="9"/>
      <c r="I33" s="9"/>
      <c r="J33" s="9"/>
      <c r="K33" s="9"/>
      <c r="L33" s="9"/>
    </row>
    <row r="35" spans="1:18" x14ac:dyDescent="0.3">
      <c r="A35" s="6" t="s">
        <v>5</v>
      </c>
      <c r="B35" s="9" t="s">
        <v>243</v>
      </c>
      <c r="C35" s="4"/>
      <c r="D35" s="4"/>
      <c r="E35" s="4"/>
      <c r="F35" s="4"/>
      <c r="G35" s="4"/>
      <c r="H35" s="4"/>
      <c r="I35" s="4"/>
      <c r="J35" s="4"/>
      <c r="K35" s="4"/>
      <c r="L35" s="4"/>
      <c r="M35" s="8"/>
      <c r="N35" s="8"/>
      <c r="O35" s="8"/>
      <c r="P35" s="8"/>
      <c r="Q35" s="8"/>
      <c r="R35" s="8"/>
    </row>
    <row r="36" spans="1:18" x14ac:dyDescent="0.3">
      <c r="A36" s="7"/>
      <c r="B36" s="7"/>
      <c r="C36" s="7"/>
      <c r="D36" s="7"/>
      <c r="E36" s="7"/>
      <c r="F36" s="7"/>
      <c r="G36" s="7"/>
      <c r="H36" s="7"/>
      <c r="I36" s="7"/>
      <c r="J36" s="7"/>
      <c r="K36" s="7"/>
      <c r="L36" s="7"/>
      <c r="M36" s="7"/>
    </row>
    <row r="37" spans="1:18" x14ac:dyDescent="0.3">
      <c r="A37" s="7" t="s">
        <v>2</v>
      </c>
      <c r="G37" s="7"/>
      <c r="H37" s="7"/>
      <c r="N37" s="8"/>
    </row>
    <row r="38" spans="1:18" x14ac:dyDescent="0.3">
      <c r="A38" s="7"/>
      <c r="B38" s="387" t="s">
        <v>177</v>
      </c>
      <c r="C38" s="387"/>
      <c r="D38" s="387"/>
      <c r="E38" s="387"/>
      <c r="F38" s="387"/>
      <c r="G38" s="7"/>
      <c r="H38" s="7"/>
      <c r="N38" s="8"/>
    </row>
    <row r="39" spans="1:18" x14ac:dyDescent="0.3">
      <c r="A39" s="7"/>
      <c r="B39" s="125"/>
      <c r="C39" s="388" t="s">
        <v>82</v>
      </c>
      <c r="D39" s="388"/>
      <c r="E39" s="388" t="s">
        <v>83</v>
      </c>
      <c r="F39" s="388"/>
      <c r="G39" s="7"/>
      <c r="H39" s="7"/>
      <c r="N39" s="8"/>
    </row>
    <row r="40" spans="1:18" x14ac:dyDescent="0.3">
      <c r="A40" s="7"/>
      <c r="B40" s="142" t="s">
        <v>48</v>
      </c>
      <c r="C40" s="184" t="s">
        <v>84</v>
      </c>
      <c r="D40" s="184" t="s">
        <v>85</v>
      </c>
      <c r="E40" s="184" t="s">
        <v>84</v>
      </c>
      <c r="F40" s="184" t="s">
        <v>85</v>
      </c>
      <c r="G40" s="7"/>
      <c r="H40" s="7"/>
      <c r="N40" s="8"/>
    </row>
    <row r="41" spans="1:18" x14ac:dyDescent="0.3">
      <c r="A41" s="7"/>
      <c r="B41" s="125">
        <v>2017</v>
      </c>
      <c r="C41" s="136">
        <f t="shared" ref="C41:F44" si="0">C16+C10-C17</f>
        <v>1025</v>
      </c>
      <c r="D41" s="136">
        <f t="shared" si="0"/>
        <v>760</v>
      </c>
      <c r="E41" s="136">
        <f t="shared" si="0"/>
        <v>1950</v>
      </c>
      <c r="F41" s="136">
        <f t="shared" si="0"/>
        <v>1803</v>
      </c>
      <c r="G41" s="7"/>
      <c r="H41" s="7"/>
      <c r="N41" s="8"/>
    </row>
    <row r="42" spans="1:18" x14ac:dyDescent="0.3">
      <c r="A42" s="7"/>
      <c r="B42" s="125">
        <f>B41+1</f>
        <v>2018</v>
      </c>
      <c r="C42" s="136">
        <f t="shared" si="0"/>
        <v>1050</v>
      </c>
      <c r="D42" s="136">
        <f t="shared" si="0"/>
        <v>774</v>
      </c>
      <c r="E42" s="136">
        <f t="shared" si="0"/>
        <v>2550</v>
      </c>
      <c r="F42" s="136">
        <f t="shared" si="0"/>
        <v>2274</v>
      </c>
      <c r="G42" s="7"/>
      <c r="H42" s="7"/>
      <c r="N42" s="8"/>
    </row>
    <row r="43" spans="1:18" x14ac:dyDescent="0.3">
      <c r="A43" s="7"/>
      <c r="B43" s="125">
        <f>B42+1</f>
        <v>2019</v>
      </c>
      <c r="C43" s="136">
        <f t="shared" si="0"/>
        <v>1150</v>
      </c>
      <c r="D43" s="136">
        <f t="shared" si="0"/>
        <v>849</v>
      </c>
      <c r="E43" s="136">
        <f t="shared" si="0"/>
        <v>4000</v>
      </c>
      <c r="F43" s="136">
        <f t="shared" si="0"/>
        <v>3446</v>
      </c>
      <c r="G43" s="7"/>
      <c r="H43" s="7"/>
      <c r="N43" s="8"/>
    </row>
    <row r="44" spans="1:18" x14ac:dyDescent="0.3">
      <c r="A44"/>
      <c r="B44" s="125">
        <f>B43+1</f>
        <v>2020</v>
      </c>
      <c r="C44" s="136">
        <f t="shared" si="0"/>
        <v>1250</v>
      </c>
      <c r="D44" s="136">
        <f t="shared" si="0"/>
        <v>922</v>
      </c>
      <c r="E44" s="136">
        <f t="shared" si="0"/>
        <v>5450</v>
      </c>
      <c r="F44" s="136">
        <f t="shared" si="0"/>
        <v>4543</v>
      </c>
      <c r="G44"/>
      <c r="H44"/>
      <c r="I44" s="7"/>
      <c r="J44" s="7"/>
      <c r="K44" s="7"/>
      <c r="L44" s="7"/>
      <c r="M44" s="7"/>
      <c r="N44" s="8"/>
    </row>
    <row r="45" spans="1:18" x14ac:dyDescent="0.3">
      <c r="A45"/>
      <c r="B45"/>
      <c r="C45"/>
      <c r="D45"/>
      <c r="E45"/>
      <c r="F45"/>
      <c r="G45"/>
      <c r="H45"/>
      <c r="I45" s="7"/>
      <c r="J45" s="7"/>
      <c r="K45" s="7"/>
      <c r="L45" s="7"/>
      <c r="M45" s="7"/>
      <c r="N45" s="8"/>
    </row>
    <row r="46" spans="1:18" x14ac:dyDescent="0.3">
      <c r="A46" s="7"/>
      <c r="B46" s="387" t="s">
        <v>327</v>
      </c>
      <c r="C46" s="387"/>
      <c r="D46" s="387"/>
      <c r="E46" s="387"/>
      <c r="F46" s="387"/>
      <c r="G46" s="7"/>
      <c r="H46" s="7"/>
      <c r="I46" s="7"/>
      <c r="J46" s="7"/>
      <c r="K46" s="7"/>
      <c r="L46" s="7"/>
      <c r="M46" s="7"/>
      <c r="N46" s="8"/>
    </row>
    <row r="47" spans="1:18" x14ac:dyDescent="0.3">
      <c r="A47" s="7"/>
      <c r="B47" s="125"/>
      <c r="C47" s="385" t="s">
        <v>82</v>
      </c>
      <c r="D47" s="385"/>
      <c r="E47" s="385" t="s">
        <v>83</v>
      </c>
      <c r="F47" s="385"/>
      <c r="G47" s="7"/>
      <c r="H47" s="7"/>
      <c r="I47" s="7"/>
      <c r="J47" s="7"/>
      <c r="K47" s="7"/>
      <c r="L47" s="7"/>
      <c r="M47" s="7"/>
      <c r="N47" s="8"/>
    </row>
    <row r="48" spans="1:18" x14ac:dyDescent="0.3">
      <c r="A48" s="7"/>
      <c r="B48" s="125" t="s">
        <v>39</v>
      </c>
      <c r="C48" s="185" t="s">
        <v>84</v>
      </c>
      <c r="D48" s="185" t="s">
        <v>85</v>
      </c>
      <c r="E48" s="185" t="s">
        <v>84</v>
      </c>
      <c r="F48" s="185" t="s">
        <v>85</v>
      </c>
      <c r="G48" s="7"/>
      <c r="H48" s="7"/>
      <c r="I48" s="7"/>
      <c r="J48" s="7"/>
      <c r="K48" s="7"/>
      <c r="L48" s="7"/>
      <c r="M48" s="7"/>
      <c r="N48" s="8"/>
    </row>
    <row r="49" spans="1:14" x14ac:dyDescent="0.3">
      <c r="A49" s="7"/>
      <c r="B49" s="185">
        <v>2017</v>
      </c>
      <c r="C49" s="186">
        <f t="shared" ref="C49:F52" si="1">C23/C41</f>
        <v>0.44878048780487806</v>
      </c>
      <c r="D49" s="186">
        <f t="shared" si="1"/>
        <v>0.39473684210526316</v>
      </c>
      <c r="E49" s="186">
        <f t="shared" si="1"/>
        <v>0.54871794871794877</v>
      </c>
      <c r="F49" s="186">
        <f t="shared" si="1"/>
        <v>0.46034387132556848</v>
      </c>
      <c r="G49" s="7"/>
      <c r="H49" s="7"/>
      <c r="I49" s="7"/>
      <c r="J49" s="7"/>
      <c r="K49" s="7"/>
      <c r="L49" s="7"/>
      <c r="M49" s="7"/>
      <c r="N49" s="8"/>
    </row>
    <row r="50" spans="1:14" x14ac:dyDescent="0.3">
      <c r="A50" s="7"/>
      <c r="B50" s="185">
        <v>2018</v>
      </c>
      <c r="C50" s="186">
        <f t="shared" si="1"/>
        <v>0.45714285714285713</v>
      </c>
      <c r="D50" s="186">
        <f t="shared" si="1"/>
        <v>0.4005167958656331</v>
      </c>
      <c r="E50" s="186">
        <f t="shared" si="1"/>
        <v>0.6</v>
      </c>
      <c r="F50" s="186">
        <f t="shared" si="1"/>
        <v>0.52330694810905898</v>
      </c>
      <c r="G50" s="7"/>
      <c r="H50" s="7"/>
      <c r="I50" s="7"/>
      <c r="J50" s="7"/>
      <c r="K50" s="7"/>
      <c r="L50" s="7"/>
      <c r="M50" s="7"/>
      <c r="N50" s="8"/>
    </row>
    <row r="51" spans="1:14" x14ac:dyDescent="0.3">
      <c r="A51" s="7"/>
      <c r="B51" s="185">
        <v>2019</v>
      </c>
      <c r="C51" s="186">
        <f t="shared" si="1"/>
        <v>0.44347826086956521</v>
      </c>
      <c r="D51" s="186">
        <f t="shared" si="1"/>
        <v>0.38869257950530034</v>
      </c>
      <c r="E51" s="186">
        <f t="shared" si="1"/>
        <v>0.65</v>
      </c>
      <c r="F51" s="186">
        <f t="shared" si="1"/>
        <v>0.58908879860708063</v>
      </c>
      <c r="G51" s="7"/>
      <c r="H51" s="7"/>
      <c r="I51" s="7"/>
      <c r="J51" s="7"/>
      <c r="K51" s="7"/>
      <c r="L51" s="7"/>
      <c r="M51" s="7"/>
      <c r="N51" s="8"/>
    </row>
    <row r="52" spans="1:14" x14ac:dyDescent="0.3">
      <c r="B52" s="185">
        <v>2020</v>
      </c>
      <c r="C52" s="186">
        <f t="shared" si="1"/>
        <v>0.47199999999999998</v>
      </c>
      <c r="D52" s="186">
        <f t="shared" si="1"/>
        <v>0.4121475054229935</v>
      </c>
      <c r="E52" s="186">
        <f t="shared" si="1"/>
        <v>0.70091743119266059</v>
      </c>
      <c r="F52" s="186">
        <f t="shared" si="1"/>
        <v>0.6559542152762492</v>
      </c>
      <c r="M52" s="8"/>
      <c r="N52" s="8"/>
    </row>
    <row r="54" spans="1:14" x14ac:dyDescent="0.3">
      <c r="A54" s="6" t="s">
        <v>6</v>
      </c>
      <c r="B54" s="360" t="s">
        <v>87</v>
      </c>
      <c r="C54" s="361"/>
      <c r="D54" s="361"/>
      <c r="E54" s="361"/>
      <c r="F54" s="361"/>
      <c r="G54" s="361"/>
      <c r="H54" s="361"/>
      <c r="I54" s="361"/>
      <c r="J54" s="361"/>
      <c r="K54" s="361"/>
      <c r="L54" s="361"/>
    </row>
    <row r="55" spans="1:14" x14ac:dyDescent="0.3">
      <c r="A55" s="3"/>
      <c r="B55" s="361"/>
      <c r="C55" s="361"/>
      <c r="D55" s="361"/>
      <c r="E55" s="361"/>
      <c r="F55" s="361"/>
      <c r="G55" s="361"/>
      <c r="H55" s="361"/>
      <c r="I55" s="361"/>
      <c r="J55" s="361"/>
      <c r="K55" s="361"/>
      <c r="L55" s="361"/>
    </row>
    <row r="56" spans="1:14" x14ac:dyDescent="0.3">
      <c r="A56" s="7"/>
      <c r="B56" s="7"/>
      <c r="C56" s="7"/>
      <c r="D56" s="7"/>
      <c r="E56" s="7"/>
      <c r="F56" s="7"/>
      <c r="G56" s="7"/>
      <c r="H56" s="7"/>
      <c r="I56" s="7"/>
      <c r="J56" s="7"/>
      <c r="K56" s="7"/>
      <c r="L56" s="7"/>
    </row>
    <row r="57" spans="1:14" x14ac:dyDescent="0.3">
      <c r="A57" s="7" t="s">
        <v>2</v>
      </c>
      <c r="B57" s="7"/>
      <c r="C57" s="7"/>
      <c r="D57" s="7"/>
      <c r="E57" s="7"/>
      <c r="F57" s="7"/>
      <c r="G57" s="7"/>
      <c r="H57" s="7"/>
      <c r="I57" s="7"/>
      <c r="J57" s="7"/>
      <c r="K57" s="7"/>
      <c r="L57" s="7"/>
    </row>
    <row r="58" spans="1:14" x14ac:dyDescent="0.3">
      <c r="A58" s="7"/>
      <c r="B58" s="7"/>
      <c r="C58" s="7"/>
      <c r="D58" s="7"/>
      <c r="E58" s="7"/>
      <c r="F58" s="7"/>
      <c r="G58" s="7"/>
      <c r="H58" s="7"/>
      <c r="I58" s="7"/>
      <c r="J58" s="7"/>
      <c r="K58" s="7"/>
      <c r="L58" s="7"/>
    </row>
    <row r="59" spans="1:14" x14ac:dyDescent="0.3">
      <c r="A59" s="7"/>
      <c r="B59" s="76"/>
      <c r="C59" s="77"/>
      <c r="D59" s="391" t="s">
        <v>82</v>
      </c>
      <c r="E59" s="392"/>
      <c r="F59" s="391" t="s">
        <v>83</v>
      </c>
      <c r="G59" s="392"/>
      <c r="H59" s="7"/>
    </row>
    <row r="60" spans="1:14" x14ac:dyDescent="0.3">
      <c r="B60" s="78"/>
      <c r="C60" s="79"/>
      <c r="D60" s="82" t="s">
        <v>84</v>
      </c>
      <c r="E60" s="82" t="s">
        <v>85</v>
      </c>
      <c r="F60" s="82" t="s">
        <v>84</v>
      </c>
      <c r="G60" s="82" t="s">
        <v>85</v>
      </c>
      <c r="M60" s="7"/>
    </row>
    <row r="61" spans="1:14" x14ac:dyDescent="0.3">
      <c r="B61" s="80" t="s">
        <v>121</v>
      </c>
      <c r="C61" s="81"/>
      <c r="D61" s="187">
        <f>AVERAGE(C49:C52)</f>
        <v>0.45535040145432509</v>
      </c>
      <c r="E61" s="187">
        <f>AVERAGE(D49:D52)</f>
        <v>0.39902343072479757</v>
      </c>
      <c r="F61" s="187">
        <f>E52</f>
        <v>0.70091743119266059</v>
      </c>
      <c r="G61" s="187">
        <f>F52</f>
        <v>0.6559542152762492</v>
      </c>
      <c r="M61" s="7"/>
    </row>
    <row r="62" spans="1:14" x14ac:dyDescent="0.3">
      <c r="M62" s="7"/>
    </row>
    <row r="63" spans="1:14" x14ac:dyDescent="0.3">
      <c r="B63" s="1" t="s">
        <v>290</v>
      </c>
    </row>
    <row r="64" spans="1:14" x14ac:dyDescent="0.3">
      <c r="B64" s="11" t="s">
        <v>328</v>
      </c>
    </row>
    <row r="65" spans="1:12" x14ac:dyDescent="0.3">
      <c r="B65" s="1" t="s">
        <v>329</v>
      </c>
    </row>
    <row r="67" spans="1:12" x14ac:dyDescent="0.3">
      <c r="A67" s="9"/>
      <c r="B67" s="9"/>
      <c r="C67" s="9"/>
      <c r="D67" s="9"/>
      <c r="E67" s="9"/>
      <c r="F67" s="9"/>
      <c r="G67" s="9"/>
      <c r="H67" s="9"/>
      <c r="I67" s="9"/>
      <c r="J67" s="9"/>
      <c r="K67" s="9"/>
      <c r="L67" s="9"/>
    </row>
    <row r="68" spans="1:12" x14ac:dyDescent="0.3">
      <c r="A68" s="9" t="s">
        <v>88</v>
      </c>
      <c r="B68" s="9"/>
      <c r="C68" s="9"/>
      <c r="D68" s="9"/>
      <c r="E68" s="9"/>
      <c r="F68" s="9"/>
      <c r="G68" s="9"/>
      <c r="H68" s="9"/>
      <c r="I68" s="9"/>
      <c r="J68" s="9"/>
      <c r="K68" s="9"/>
      <c r="L68" s="9"/>
    </row>
    <row r="69" spans="1:12" x14ac:dyDescent="0.3">
      <c r="A69" s="9"/>
      <c r="B69" s="9"/>
      <c r="C69" s="9"/>
      <c r="D69" s="9"/>
      <c r="E69" s="9"/>
      <c r="F69" s="9"/>
      <c r="G69" s="9"/>
      <c r="H69" s="9"/>
      <c r="I69" s="9"/>
      <c r="J69" s="9"/>
      <c r="K69" s="9"/>
      <c r="L69" s="9"/>
    </row>
    <row r="70" spans="1:12" x14ac:dyDescent="0.3">
      <c r="A70" s="9"/>
      <c r="B70" s="43" t="s">
        <v>89</v>
      </c>
      <c r="C70" s="9"/>
      <c r="D70" s="9"/>
      <c r="E70" s="9"/>
      <c r="F70" s="9"/>
      <c r="G70" s="9"/>
      <c r="H70" s="9"/>
      <c r="I70" s="9"/>
      <c r="J70" s="9"/>
      <c r="K70" s="9"/>
      <c r="L70" s="9"/>
    </row>
    <row r="71" spans="1:12" x14ac:dyDescent="0.3">
      <c r="A71" s="9"/>
      <c r="B71" s="43" t="s">
        <v>90</v>
      </c>
      <c r="C71" s="9"/>
      <c r="D71" s="9"/>
      <c r="E71" s="9"/>
      <c r="F71" s="9"/>
      <c r="G71" s="9"/>
      <c r="H71" s="9"/>
      <c r="I71" s="9"/>
      <c r="J71" s="9"/>
      <c r="K71" s="9"/>
      <c r="L71" s="9"/>
    </row>
    <row r="72" spans="1:12" x14ac:dyDescent="0.3">
      <c r="A72" s="9"/>
      <c r="B72" s="43" t="s">
        <v>91</v>
      </c>
      <c r="C72" s="9"/>
      <c r="D72" s="9"/>
      <c r="E72" s="9"/>
      <c r="F72" s="9"/>
      <c r="G72" s="9"/>
      <c r="H72" s="9"/>
      <c r="I72" s="9"/>
      <c r="J72" s="9"/>
      <c r="K72" s="9"/>
      <c r="L72" s="9"/>
    </row>
    <row r="73" spans="1:12" x14ac:dyDescent="0.3">
      <c r="A73" s="9"/>
      <c r="B73" s="43" t="s">
        <v>92</v>
      </c>
      <c r="C73" s="9"/>
      <c r="D73" s="9"/>
      <c r="E73" s="9"/>
      <c r="F73" s="9"/>
      <c r="G73" s="9"/>
      <c r="H73" s="9"/>
      <c r="I73" s="9"/>
      <c r="J73" s="9"/>
      <c r="K73" s="9"/>
      <c r="L73" s="9"/>
    </row>
    <row r="74" spans="1:12" x14ac:dyDescent="0.3">
      <c r="A74" s="9"/>
      <c r="B74" s="9"/>
      <c r="C74" s="9"/>
      <c r="D74" s="9"/>
      <c r="E74" s="9"/>
      <c r="F74" s="9"/>
      <c r="G74" s="9"/>
      <c r="H74" s="9"/>
      <c r="I74" s="9"/>
      <c r="J74" s="9"/>
      <c r="K74" s="9"/>
      <c r="L74" s="9"/>
    </row>
    <row r="76" spans="1:12" x14ac:dyDescent="0.3">
      <c r="A76" s="6" t="s">
        <v>1</v>
      </c>
      <c r="B76" s="9" t="s">
        <v>93</v>
      </c>
      <c r="C76" s="4"/>
      <c r="D76" s="4"/>
      <c r="E76" s="4"/>
      <c r="F76" s="4"/>
      <c r="G76" s="4"/>
      <c r="H76" s="4"/>
      <c r="I76" s="4"/>
      <c r="J76" s="4"/>
      <c r="K76" s="4"/>
      <c r="L76" s="4"/>
    </row>
    <row r="77" spans="1:12" x14ac:dyDescent="0.3">
      <c r="A77" s="7"/>
      <c r="B77" s="7"/>
      <c r="C77" s="7"/>
      <c r="D77" s="7"/>
      <c r="E77" s="7"/>
      <c r="F77" s="7"/>
      <c r="G77" s="7"/>
      <c r="H77" s="7"/>
      <c r="I77" s="7"/>
      <c r="J77" s="7"/>
      <c r="K77" s="7"/>
      <c r="L77" s="7"/>
    </row>
    <row r="78" spans="1:12" x14ac:dyDescent="0.3">
      <c r="A78" s="7" t="s">
        <v>2</v>
      </c>
      <c r="B78" s="7"/>
      <c r="C78" s="7"/>
      <c r="D78" s="7"/>
      <c r="E78" s="7"/>
      <c r="F78" s="7"/>
      <c r="G78" s="7"/>
      <c r="H78" s="7"/>
      <c r="I78" s="7"/>
      <c r="J78" s="7"/>
      <c r="K78" s="7"/>
      <c r="L78" s="7"/>
    </row>
    <row r="79" spans="1:12" x14ac:dyDescent="0.3">
      <c r="A79" s="7"/>
      <c r="B79" s="198">
        <v>0.1</v>
      </c>
      <c r="C79" s="122" t="s">
        <v>330</v>
      </c>
      <c r="D79" s="122"/>
      <c r="E79" s="122"/>
      <c r="F79" s="122"/>
      <c r="I79" s="7"/>
      <c r="J79" s="7"/>
      <c r="K79" s="7"/>
      <c r="L79" s="7"/>
    </row>
    <row r="80" spans="1:12" x14ac:dyDescent="0.3">
      <c r="A80" s="7"/>
      <c r="B80" s="198">
        <v>0.15</v>
      </c>
      <c r="C80" s="122" t="s">
        <v>331</v>
      </c>
      <c r="D80" s="122"/>
      <c r="E80" s="122"/>
      <c r="F80" s="122"/>
      <c r="I80" s="7"/>
      <c r="J80" s="7"/>
      <c r="K80" s="7"/>
      <c r="L80" s="7"/>
    </row>
    <row r="81" spans="1:12" x14ac:dyDescent="0.3">
      <c r="A81" s="7"/>
      <c r="B81" s="198">
        <v>0.25</v>
      </c>
      <c r="C81" s="122" t="s">
        <v>332</v>
      </c>
      <c r="D81" s="122"/>
      <c r="E81" s="122"/>
      <c r="F81" s="122"/>
      <c r="I81" s="7"/>
      <c r="J81" s="7"/>
      <c r="K81" s="7"/>
      <c r="L81" s="7"/>
    </row>
    <row r="82" spans="1:12" x14ac:dyDescent="0.3">
      <c r="A82" s="7"/>
      <c r="B82" s="198">
        <v>0.03</v>
      </c>
      <c r="C82" s="122" t="s">
        <v>333</v>
      </c>
      <c r="D82" s="122"/>
      <c r="E82" s="122"/>
      <c r="F82" s="122"/>
      <c r="I82" s="7"/>
      <c r="J82" s="7"/>
      <c r="K82" s="7"/>
      <c r="L82" s="7"/>
    </row>
    <row r="83" spans="1:12" x14ac:dyDescent="0.3">
      <c r="A83" s="7"/>
      <c r="B83" s="122"/>
      <c r="C83" s="122"/>
      <c r="D83" s="122"/>
      <c r="E83" s="122"/>
      <c r="F83" s="122"/>
      <c r="G83" s="122"/>
      <c r="H83" s="122"/>
      <c r="I83" s="7"/>
      <c r="J83" s="7"/>
      <c r="K83" s="7"/>
      <c r="L83" s="7"/>
    </row>
    <row r="84" spans="1:12" x14ac:dyDescent="0.3">
      <c r="A84" s="7"/>
      <c r="B84" s="188"/>
      <c r="D84" s="385" t="s">
        <v>82</v>
      </c>
      <c r="E84" s="385"/>
      <c r="F84" s="385" t="s">
        <v>83</v>
      </c>
      <c r="G84" s="385"/>
      <c r="H84" s="385" t="s">
        <v>44</v>
      </c>
      <c r="I84" s="385"/>
      <c r="J84" s="7"/>
      <c r="K84" s="7"/>
      <c r="L84" s="7"/>
    </row>
    <row r="85" spans="1:12" x14ac:dyDescent="0.3">
      <c r="A85" s="7"/>
      <c r="B85" s="189"/>
      <c r="C85" s="192"/>
      <c r="D85" s="184" t="s">
        <v>84</v>
      </c>
      <c r="E85" s="184" t="s">
        <v>85</v>
      </c>
      <c r="F85" s="184" t="s">
        <v>84</v>
      </c>
      <c r="G85" s="184" t="s">
        <v>85</v>
      </c>
      <c r="H85" s="184" t="s">
        <v>84</v>
      </c>
      <c r="I85" s="184" t="s">
        <v>85</v>
      </c>
      <c r="J85" s="7"/>
      <c r="K85" s="7"/>
    </row>
    <row r="86" spans="1:12" x14ac:dyDescent="0.3">
      <c r="B86" s="1" t="s">
        <v>334</v>
      </c>
      <c r="D86" s="190">
        <f>C20</f>
        <v>650</v>
      </c>
      <c r="E86" s="190">
        <f t="shared" ref="E86:G86" si="2">D20</f>
        <v>514</v>
      </c>
      <c r="F86" s="190">
        <f t="shared" si="2"/>
        <v>3000</v>
      </c>
      <c r="G86" s="190">
        <f t="shared" si="2"/>
        <v>2460</v>
      </c>
      <c r="H86" s="191">
        <f>D86+F86</f>
        <v>3650</v>
      </c>
      <c r="I86" s="191">
        <f>E86+G86</f>
        <v>2974</v>
      </c>
    </row>
    <row r="87" spans="1:12" x14ac:dyDescent="0.3">
      <c r="B87" s="192" t="s">
        <v>335</v>
      </c>
      <c r="C87" s="192"/>
      <c r="D87" s="196">
        <f>D61</f>
        <v>0.45535040145432509</v>
      </c>
      <c r="E87" s="196">
        <f t="shared" ref="E87:G87" si="3">E61</f>
        <v>0.39902343072479757</v>
      </c>
      <c r="F87" s="196">
        <f t="shared" si="3"/>
        <v>0.70091743119266059</v>
      </c>
      <c r="G87" s="196">
        <f t="shared" si="3"/>
        <v>0.6559542152762492</v>
      </c>
      <c r="H87" s="193"/>
      <c r="I87" s="193"/>
    </row>
    <row r="88" spans="1:12" x14ac:dyDescent="0.3">
      <c r="B88" s="1" t="s">
        <v>336</v>
      </c>
      <c r="D88" s="190">
        <f>D86*D87</f>
        <v>295.97776094531133</v>
      </c>
      <c r="E88" s="190">
        <f>E86*E87</f>
        <v>205.09804339254595</v>
      </c>
      <c r="F88" s="190">
        <f>F86*F87</f>
        <v>2102.7522935779816</v>
      </c>
      <c r="G88" s="190">
        <f>G86*G87</f>
        <v>1613.647369579573</v>
      </c>
      <c r="H88" s="191">
        <f>D88+F88</f>
        <v>2398.7300545232929</v>
      </c>
      <c r="I88" s="191">
        <f>E88+G88</f>
        <v>1818.7454129721191</v>
      </c>
    </row>
    <row r="89" spans="1:12" x14ac:dyDescent="0.3">
      <c r="B89" s="1" t="s">
        <v>337</v>
      </c>
      <c r="C89" s="190"/>
      <c r="D89" s="190"/>
      <c r="E89" s="190"/>
      <c r="F89" s="190"/>
      <c r="H89" s="190">
        <f>H88*B79</f>
        <v>239.87300545232929</v>
      </c>
      <c r="I89" s="190">
        <f>H89</f>
        <v>239.87300545232929</v>
      </c>
    </row>
    <row r="90" spans="1:12" x14ac:dyDescent="0.3">
      <c r="B90" s="1" t="s">
        <v>338</v>
      </c>
      <c r="C90" s="194"/>
      <c r="D90" s="190"/>
      <c r="E90" s="190"/>
      <c r="F90" s="190"/>
      <c r="H90" s="191">
        <f>H86*B80*B81</f>
        <v>136.875</v>
      </c>
      <c r="I90" s="190">
        <f>H90</f>
        <v>136.875</v>
      </c>
    </row>
    <row r="91" spans="1:12" x14ac:dyDescent="0.3">
      <c r="B91" s="192" t="s">
        <v>339</v>
      </c>
      <c r="C91" s="195"/>
      <c r="D91" s="195"/>
      <c r="E91" s="195"/>
      <c r="F91" s="195"/>
      <c r="G91" s="192"/>
      <c r="H91" s="195">
        <f>H86*B82</f>
        <v>109.5</v>
      </c>
      <c r="I91" s="195">
        <f>H91</f>
        <v>109.5</v>
      </c>
    </row>
    <row r="92" spans="1:12" x14ac:dyDescent="0.3">
      <c r="B92" s="1" t="s">
        <v>340</v>
      </c>
      <c r="C92" s="190"/>
      <c r="D92" s="190"/>
      <c r="E92" s="190"/>
      <c r="F92" s="190"/>
      <c r="H92" s="190">
        <f>SUM(H88:H91)</f>
        <v>2884.9780599756223</v>
      </c>
      <c r="I92" s="190">
        <f>SUM(I88:I91)</f>
        <v>2304.9934184244485</v>
      </c>
    </row>
    <row r="94" spans="1:12" x14ac:dyDescent="0.3">
      <c r="A94" s="6" t="s">
        <v>3</v>
      </c>
      <c r="B94" s="9" t="s">
        <v>94</v>
      </c>
      <c r="C94" s="4"/>
      <c r="D94" s="4"/>
      <c r="E94" s="4"/>
      <c r="F94" s="4"/>
      <c r="G94" s="4"/>
      <c r="H94" s="4"/>
      <c r="I94" s="4"/>
      <c r="J94" s="4"/>
      <c r="K94" s="4"/>
      <c r="L94" s="4"/>
    </row>
    <row r="95" spans="1:12" x14ac:dyDescent="0.3">
      <c r="A95" s="7"/>
      <c r="B95" s="7"/>
      <c r="C95" s="7"/>
      <c r="D95" s="7"/>
      <c r="E95" s="7"/>
      <c r="F95" s="7"/>
      <c r="G95" s="7"/>
      <c r="H95" s="7"/>
      <c r="I95" s="7"/>
      <c r="J95" s="7"/>
      <c r="K95" s="7"/>
      <c r="L95" s="7"/>
    </row>
    <row r="96" spans="1:12" x14ac:dyDescent="0.3">
      <c r="A96" s="7" t="s">
        <v>2</v>
      </c>
      <c r="B96" s="7"/>
      <c r="C96" s="7"/>
      <c r="D96" s="7"/>
      <c r="E96" s="7"/>
      <c r="F96" s="7"/>
      <c r="G96" s="7"/>
      <c r="H96" s="7"/>
      <c r="I96" s="7"/>
      <c r="J96" s="7"/>
      <c r="K96" s="7"/>
      <c r="L96" s="7"/>
    </row>
    <row r="97" spans="1:13" x14ac:dyDescent="0.3">
      <c r="A97" s="7"/>
      <c r="B97" s="7"/>
      <c r="C97" s="7"/>
      <c r="D97" s="7"/>
      <c r="E97" s="7"/>
      <c r="F97" s="7"/>
      <c r="G97" s="7"/>
      <c r="H97" s="7"/>
      <c r="I97" s="7"/>
      <c r="J97" s="7"/>
      <c r="K97" s="7"/>
      <c r="L97" s="7"/>
    </row>
    <row r="98" spans="1:13" x14ac:dyDescent="0.3">
      <c r="A98" s="7"/>
      <c r="B98" s="122" t="s">
        <v>341</v>
      </c>
      <c r="C98" s="122"/>
      <c r="D98" s="122"/>
      <c r="E98" s="122"/>
      <c r="F98" s="122"/>
      <c r="G98" s="122"/>
      <c r="H98" s="199"/>
      <c r="I98" s="200">
        <f>I86-I92</f>
        <v>669.00658157555154</v>
      </c>
      <c r="J98" s="122"/>
      <c r="K98" s="122"/>
      <c r="L98" s="7"/>
    </row>
    <row r="101" spans="1:13" x14ac:dyDescent="0.3">
      <c r="M101" s="7"/>
    </row>
    <row r="102" spans="1:13" x14ac:dyDescent="0.3">
      <c r="M102" s="7"/>
    </row>
  </sheetData>
  <mergeCells count="18">
    <mergeCell ref="D84:E84"/>
    <mergeCell ref="F84:G84"/>
    <mergeCell ref="H84:I84"/>
    <mergeCell ref="B54:L55"/>
    <mergeCell ref="D59:E59"/>
    <mergeCell ref="F59:G59"/>
    <mergeCell ref="C7:D7"/>
    <mergeCell ref="E7:F7"/>
    <mergeCell ref="B9:F9"/>
    <mergeCell ref="B15:F15"/>
    <mergeCell ref="B22:F22"/>
    <mergeCell ref="C47:D47"/>
    <mergeCell ref="E47:F47"/>
    <mergeCell ref="B28:F28"/>
    <mergeCell ref="B38:F38"/>
    <mergeCell ref="C39:D39"/>
    <mergeCell ref="E39:F39"/>
    <mergeCell ref="B46:F46"/>
  </mergeCells>
  <pageMargins left="0.7" right="0.7" top="0.75" bottom="0.75" header="0.3" footer="0.3"/>
  <pageSetup scale="7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4F16-452A-45EC-A069-69D6A511E2AB}">
  <dimension ref="A1:R41"/>
  <sheetViews>
    <sheetView zoomScaleNormal="100" workbookViewId="0"/>
  </sheetViews>
  <sheetFormatPr defaultRowHeight="15.6" x14ac:dyDescent="0.3"/>
  <cols>
    <col min="1" max="1" width="8.88671875" style="1" customWidth="1"/>
    <col min="2" max="2" width="14.44140625" style="1" customWidth="1"/>
    <col min="3" max="3" width="21.88671875" style="1" customWidth="1"/>
    <col min="4" max="4" width="22.33203125" style="1" customWidth="1"/>
    <col min="5" max="5" width="18.88671875" style="1" customWidth="1"/>
    <col min="6" max="6" width="8.88671875" style="1" customWidth="1"/>
    <col min="7" max="7" width="8.88671875" style="1"/>
    <col min="8" max="8" width="8.88671875" style="1" customWidth="1"/>
    <col min="9" max="16384" width="8.88671875" style="1"/>
  </cols>
  <sheetData>
    <row r="1" spans="1:12" ht="17.399999999999999" x14ac:dyDescent="0.3">
      <c r="A1" s="2" t="s">
        <v>95</v>
      </c>
      <c r="B1" s="4"/>
      <c r="C1" s="9" t="s">
        <v>59</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8</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5" t="s">
        <v>96</v>
      </c>
      <c r="B6" s="3"/>
      <c r="C6" s="3"/>
      <c r="D6" s="3"/>
      <c r="E6" s="3"/>
      <c r="F6" s="3"/>
      <c r="G6" s="3"/>
      <c r="H6" s="3"/>
      <c r="I6" s="3"/>
      <c r="J6" s="3"/>
      <c r="K6" s="3"/>
      <c r="L6" s="3"/>
    </row>
    <row r="7" spans="1:12" x14ac:dyDescent="0.3">
      <c r="A7" s="7"/>
      <c r="B7" s="7"/>
      <c r="C7" s="7"/>
      <c r="D7" s="7"/>
      <c r="E7" s="7"/>
      <c r="F7" s="7"/>
      <c r="G7" s="7"/>
      <c r="H7" s="7"/>
      <c r="I7" s="7"/>
      <c r="J7" s="7"/>
      <c r="K7" s="7"/>
      <c r="L7" s="7"/>
    </row>
    <row r="8" spans="1:12" x14ac:dyDescent="0.3">
      <c r="A8" s="9"/>
      <c r="B8" s="9"/>
      <c r="C8" s="9"/>
      <c r="D8" s="9"/>
      <c r="E8" s="9"/>
      <c r="F8" s="9"/>
      <c r="G8" s="9"/>
      <c r="H8" s="9"/>
      <c r="I8" s="9"/>
      <c r="J8" s="9"/>
      <c r="K8" s="9"/>
      <c r="L8" s="9"/>
    </row>
    <row r="9" spans="1:12" x14ac:dyDescent="0.3">
      <c r="A9" s="9" t="s">
        <v>0</v>
      </c>
      <c r="B9" s="9"/>
      <c r="C9" s="9"/>
      <c r="D9" s="9"/>
      <c r="E9" s="9"/>
      <c r="F9" s="9"/>
      <c r="G9" s="9"/>
      <c r="H9" s="9"/>
      <c r="I9" s="9"/>
      <c r="J9" s="9"/>
      <c r="K9" s="9"/>
      <c r="L9" s="9"/>
    </row>
    <row r="10" spans="1:12" x14ac:dyDescent="0.3">
      <c r="A10" s="9"/>
      <c r="B10" s="9"/>
      <c r="C10" s="9"/>
      <c r="D10" s="9"/>
      <c r="E10" s="9"/>
      <c r="F10" s="9"/>
      <c r="G10" s="9"/>
      <c r="H10" s="9"/>
      <c r="I10" s="9"/>
      <c r="J10" s="9"/>
      <c r="K10" s="9"/>
      <c r="L10" s="9"/>
    </row>
    <row r="11" spans="1:12" ht="51" customHeight="1" x14ac:dyDescent="0.3">
      <c r="A11" s="9"/>
      <c r="B11" s="67" t="s">
        <v>97</v>
      </c>
      <c r="C11" s="27" t="s">
        <v>98</v>
      </c>
      <c r="D11" s="27" t="s">
        <v>99</v>
      </c>
      <c r="E11" s="9"/>
      <c r="F11" s="9"/>
      <c r="G11" s="9"/>
      <c r="H11" s="9"/>
      <c r="I11" s="9"/>
      <c r="J11" s="9"/>
      <c r="K11" s="9"/>
      <c r="L11" s="9"/>
    </row>
    <row r="12" spans="1:12" x14ac:dyDescent="0.3">
      <c r="A12" s="9"/>
      <c r="B12" s="64" t="s">
        <v>100</v>
      </c>
      <c r="C12" s="106">
        <v>13.82</v>
      </c>
      <c r="D12" s="106">
        <v>27.65</v>
      </c>
      <c r="E12" s="9"/>
      <c r="F12" s="9"/>
      <c r="G12" s="9"/>
      <c r="H12" s="9"/>
      <c r="I12" s="9"/>
      <c r="J12" s="9"/>
      <c r="K12" s="9"/>
      <c r="L12" s="9"/>
    </row>
    <row r="13" spans="1:12" x14ac:dyDescent="0.3">
      <c r="A13" s="9"/>
      <c r="B13" s="64" t="s">
        <v>101</v>
      </c>
      <c r="C13" s="106">
        <v>5.54</v>
      </c>
      <c r="D13" s="106">
        <v>11.08</v>
      </c>
      <c r="E13" s="9"/>
      <c r="F13" s="9"/>
      <c r="G13" s="9"/>
      <c r="H13" s="9"/>
      <c r="I13" s="9"/>
      <c r="J13" s="9"/>
      <c r="K13" s="9"/>
      <c r="L13" s="9"/>
    </row>
    <row r="14" spans="1:12" x14ac:dyDescent="0.3">
      <c r="A14" s="9"/>
      <c r="B14" s="64" t="s">
        <v>102</v>
      </c>
      <c r="C14" s="106">
        <v>5.26</v>
      </c>
      <c r="D14" s="106">
        <v>10.51</v>
      </c>
      <c r="E14" s="9"/>
      <c r="F14" s="9"/>
      <c r="G14" s="9"/>
      <c r="H14" s="9"/>
      <c r="I14" s="9"/>
      <c r="J14" s="9"/>
      <c r="K14" s="9"/>
      <c r="L14" s="9"/>
    </row>
    <row r="15" spans="1:12" x14ac:dyDescent="0.3">
      <c r="A15" s="9"/>
      <c r="B15" s="64" t="s">
        <v>103</v>
      </c>
      <c r="C15" s="106">
        <v>7.6</v>
      </c>
      <c r="D15" s="106">
        <v>15.21</v>
      </c>
      <c r="E15" s="9"/>
      <c r="F15" s="9"/>
      <c r="G15" s="9"/>
      <c r="H15" s="9"/>
      <c r="I15" s="9"/>
      <c r="J15" s="9"/>
      <c r="K15" s="9"/>
      <c r="L15" s="9"/>
    </row>
    <row r="16" spans="1:12" x14ac:dyDescent="0.3">
      <c r="A16" s="9"/>
      <c r="B16" s="64" t="s">
        <v>104</v>
      </c>
      <c r="C16" s="106">
        <v>0.75</v>
      </c>
      <c r="D16" s="106">
        <v>1.51</v>
      </c>
      <c r="E16" s="9"/>
      <c r="F16" s="9"/>
      <c r="G16" s="9"/>
      <c r="H16" s="9"/>
      <c r="I16" s="9"/>
      <c r="J16" s="9"/>
      <c r="K16" s="9"/>
      <c r="L16" s="9"/>
    </row>
    <row r="17" spans="1:18" x14ac:dyDescent="0.3">
      <c r="A17" s="9"/>
      <c r="B17" s="64" t="s">
        <v>105</v>
      </c>
      <c r="C17" s="106">
        <v>0.36</v>
      </c>
      <c r="D17" s="106">
        <v>0.72</v>
      </c>
      <c r="E17" s="9"/>
      <c r="F17" s="9"/>
      <c r="G17" s="9"/>
      <c r="H17" s="9"/>
      <c r="I17" s="9"/>
      <c r="J17" s="9"/>
      <c r="K17" s="9"/>
      <c r="L17" s="9"/>
    </row>
    <row r="18" spans="1:18" x14ac:dyDescent="0.3">
      <c r="A18" s="9"/>
      <c r="B18" s="64" t="s">
        <v>106</v>
      </c>
      <c r="C18" s="106">
        <v>1.91</v>
      </c>
      <c r="D18" s="106">
        <v>3.81</v>
      </c>
      <c r="E18" s="9"/>
      <c r="F18" s="9"/>
      <c r="G18" s="9"/>
      <c r="H18" s="9"/>
      <c r="I18" s="9"/>
      <c r="J18" s="9"/>
      <c r="K18" s="9"/>
      <c r="L18" s="9"/>
    </row>
    <row r="19" spans="1:18" x14ac:dyDescent="0.3">
      <c r="A19" s="9"/>
      <c r="B19" s="64" t="s">
        <v>107</v>
      </c>
      <c r="C19" s="106">
        <v>0.25</v>
      </c>
      <c r="D19" s="106">
        <v>0.49</v>
      </c>
      <c r="E19" s="9"/>
      <c r="F19" s="9"/>
      <c r="G19" s="9"/>
      <c r="H19" s="9"/>
      <c r="I19" s="9"/>
      <c r="J19" s="9"/>
      <c r="K19" s="9"/>
      <c r="L19" s="9"/>
    </row>
    <row r="20" spans="1:18" x14ac:dyDescent="0.3">
      <c r="A20" s="9"/>
      <c r="B20" s="64" t="s">
        <v>108</v>
      </c>
      <c r="C20" s="106">
        <v>1.74</v>
      </c>
      <c r="D20" s="106">
        <v>3.48</v>
      </c>
      <c r="E20" s="9"/>
      <c r="F20" s="9"/>
      <c r="G20" s="9"/>
      <c r="H20" s="9"/>
      <c r="I20" s="9"/>
      <c r="J20" s="9"/>
      <c r="K20" s="9"/>
      <c r="L20" s="9"/>
    </row>
    <row r="21" spans="1:18" x14ac:dyDescent="0.3">
      <c r="A21" s="9"/>
      <c r="B21" s="9"/>
      <c r="C21" s="9"/>
      <c r="D21" s="9"/>
      <c r="E21" s="9"/>
      <c r="F21" s="9"/>
      <c r="G21" s="9"/>
      <c r="H21" s="9"/>
      <c r="I21" s="9"/>
      <c r="J21" s="9"/>
      <c r="K21" s="9"/>
      <c r="L21" s="9"/>
    </row>
    <row r="22" spans="1:18" x14ac:dyDescent="0.3">
      <c r="A22" s="9"/>
      <c r="B22" s="43" t="s">
        <v>109</v>
      </c>
      <c r="C22" s="9"/>
      <c r="D22" s="9"/>
      <c r="E22" s="9"/>
      <c r="F22" s="9"/>
      <c r="G22" s="9"/>
      <c r="H22" s="9"/>
      <c r="I22" s="9"/>
      <c r="J22" s="9"/>
      <c r="K22" s="9"/>
      <c r="L22" s="9"/>
    </row>
    <row r="23" spans="1:18" x14ac:dyDescent="0.3">
      <c r="A23" s="9"/>
      <c r="B23" s="43" t="s">
        <v>110</v>
      </c>
      <c r="C23" s="9"/>
      <c r="D23" s="9"/>
      <c r="E23" s="9"/>
      <c r="F23" s="9"/>
      <c r="G23" s="9"/>
      <c r="H23" s="9"/>
      <c r="I23" s="9"/>
      <c r="J23" s="9"/>
      <c r="K23" s="9"/>
      <c r="L23" s="9"/>
    </row>
    <row r="24" spans="1:18" x14ac:dyDescent="0.3">
      <c r="A24" s="9"/>
      <c r="B24" s="43" t="s">
        <v>111</v>
      </c>
      <c r="C24" s="9"/>
      <c r="D24" s="9"/>
      <c r="E24" s="9"/>
      <c r="F24" s="9"/>
      <c r="G24" s="9"/>
      <c r="H24" s="9"/>
      <c r="I24" s="9"/>
      <c r="J24" s="9"/>
      <c r="K24" s="9"/>
      <c r="L24" s="9"/>
    </row>
    <row r="25" spans="1:18" x14ac:dyDescent="0.3">
      <c r="A25" s="9"/>
      <c r="B25" s="9"/>
      <c r="C25" s="9"/>
      <c r="D25" s="9"/>
      <c r="E25" s="9"/>
      <c r="F25" s="9"/>
      <c r="G25" s="9"/>
      <c r="H25" s="9"/>
      <c r="I25" s="9"/>
      <c r="J25" s="9"/>
      <c r="K25" s="9"/>
      <c r="L25" s="9"/>
    </row>
    <row r="26" spans="1:18" x14ac:dyDescent="0.3">
      <c r="A26" s="7"/>
      <c r="B26" s="7"/>
      <c r="C26" s="7"/>
      <c r="D26" s="7"/>
      <c r="E26" s="7"/>
      <c r="F26" s="7"/>
      <c r="G26" s="7"/>
      <c r="H26" s="7"/>
      <c r="I26" s="7"/>
      <c r="J26" s="7"/>
      <c r="K26" s="7"/>
      <c r="L26" s="7"/>
    </row>
    <row r="27" spans="1:18" x14ac:dyDescent="0.3">
      <c r="A27" s="6" t="s">
        <v>1</v>
      </c>
      <c r="B27" s="9" t="s">
        <v>112</v>
      </c>
      <c r="C27" s="4"/>
      <c r="D27" s="4"/>
      <c r="E27" s="4"/>
      <c r="F27" s="4"/>
      <c r="G27" s="4"/>
      <c r="H27" s="4"/>
      <c r="I27" s="4"/>
      <c r="J27" s="4"/>
      <c r="K27" s="4"/>
      <c r="L27" s="4"/>
      <c r="M27" s="8"/>
      <c r="N27" s="8"/>
      <c r="O27" s="8"/>
      <c r="P27" s="8"/>
      <c r="Q27" s="8"/>
      <c r="R27" s="8"/>
    </row>
    <row r="28" spans="1:18" x14ac:dyDescent="0.3">
      <c r="A28" s="3"/>
      <c r="B28" s="3"/>
      <c r="C28" s="3"/>
      <c r="D28" s="3"/>
      <c r="E28" s="3"/>
      <c r="F28" s="3"/>
      <c r="G28" s="4"/>
      <c r="H28" s="4"/>
      <c r="I28" s="4"/>
      <c r="J28" s="4"/>
      <c r="K28" s="4"/>
      <c r="L28" s="4"/>
    </row>
    <row r="29" spans="1:18" x14ac:dyDescent="0.3">
      <c r="A29" s="7"/>
      <c r="B29" s="7"/>
      <c r="C29" s="7"/>
      <c r="D29" s="7"/>
      <c r="E29" s="7"/>
      <c r="F29" s="7"/>
      <c r="G29" s="7"/>
      <c r="H29" s="7"/>
      <c r="I29" s="7"/>
      <c r="J29" s="7"/>
      <c r="K29" s="7"/>
      <c r="L29" s="7"/>
      <c r="M29" s="7"/>
    </row>
    <row r="30" spans="1:18" x14ac:dyDescent="0.3">
      <c r="A30" s="7" t="s">
        <v>2</v>
      </c>
      <c r="B30" s="7"/>
      <c r="C30" s="7"/>
      <c r="D30" s="7"/>
      <c r="E30" s="7"/>
      <c r="F30" s="7"/>
      <c r="G30" s="7"/>
      <c r="H30" s="7"/>
      <c r="I30" s="7"/>
      <c r="J30" s="7"/>
      <c r="K30" s="7"/>
      <c r="L30" s="7"/>
      <c r="M30" s="7"/>
      <c r="N30" s="8"/>
    </row>
    <row r="31" spans="1:18" x14ac:dyDescent="0.3">
      <c r="A31" s="7"/>
      <c r="B31" s="7"/>
      <c r="C31" s="7"/>
      <c r="D31" s="7"/>
      <c r="E31" s="7"/>
      <c r="F31" s="7"/>
      <c r="G31" s="7"/>
      <c r="H31" s="7"/>
      <c r="I31" s="7"/>
      <c r="J31" s="7"/>
      <c r="K31" s="7"/>
      <c r="L31" s="7"/>
      <c r="M31" s="7"/>
      <c r="N31" s="8"/>
    </row>
    <row r="32" spans="1:18" ht="55.8" x14ac:dyDescent="0.3">
      <c r="A32" s="7"/>
      <c r="B32" s="201" t="s">
        <v>97</v>
      </c>
      <c r="C32" s="203" t="s">
        <v>342</v>
      </c>
      <c r="D32" s="204" t="s">
        <v>508</v>
      </c>
      <c r="E32" s="204" t="s">
        <v>509</v>
      </c>
      <c r="F32" s="7"/>
      <c r="G32" s="7"/>
      <c r="H32" s="7"/>
      <c r="I32" s="7"/>
      <c r="J32" s="7"/>
      <c r="K32" s="7"/>
      <c r="L32" s="7"/>
      <c r="M32" s="7"/>
      <c r="N32" s="8"/>
    </row>
    <row r="33" spans="2:14" x14ac:dyDescent="0.3">
      <c r="B33" s="202" t="s">
        <v>100</v>
      </c>
      <c r="C33" s="205">
        <f>(C12+D12)/(1-0.27)-(C12+D12)</f>
        <v>15.338219178082191</v>
      </c>
      <c r="D33" s="205">
        <f>C33+C12+D12</f>
        <v>56.80821917808219</v>
      </c>
      <c r="E33" s="206">
        <f>D33*207500/1000</f>
        <v>11787.705479452055</v>
      </c>
      <c r="M33" s="8"/>
      <c r="N33" s="8"/>
    </row>
    <row r="34" spans="2:14" x14ac:dyDescent="0.3">
      <c r="B34" s="202" t="s">
        <v>101</v>
      </c>
      <c r="C34" s="205">
        <f t="shared" ref="C34:C41" si="0">(C13+D13)/(1-0.27)-(C13+D13)</f>
        <v>6.1471232876712349</v>
      </c>
      <c r="D34" s="205">
        <f t="shared" ref="D34:D41" si="1">C34+C13+D13</f>
        <v>22.767123287671232</v>
      </c>
      <c r="E34" s="206">
        <f t="shared" ref="E34:E41" si="2">D34*207500/1000</f>
        <v>4724.178082191781</v>
      </c>
      <c r="M34" s="8"/>
      <c r="N34" s="8"/>
    </row>
    <row r="35" spans="2:14" x14ac:dyDescent="0.3">
      <c r="B35" s="202" t="s">
        <v>102</v>
      </c>
      <c r="C35" s="205">
        <f t="shared" si="0"/>
        <v>5.8327397260273983</v>
      </c>
      <c r="D35" s="205">
        <f t="shared" si="1"/>
        <v>21.602739726027398</v>
      </c>
      <c r="E35" s="206">
        <f t="shared" si="2"/>
        <v>4482.5684931506848</v>
      </c>
      <c r="M35" s="8"/>
      <c r="N35" s="8"/>
    </row>
    <row r="36" spans="2:14" x14ac:dyDescent="0.3">
      <c r="B36" s="202" t="s">
        <v>103</v>
      </c>
      <c r="C36" s="205">
        <f t="shared" si="0"/>
        <v>8.4365753424657548</v>
      </c>
      <c r="D36" s="205">
        <f t="shared" si="1"/>
        <v>31.246575342465754</v>
      </c>
      <c r="E36" s="206">
        <f t="shared" si="2"/>
        <v>6483.6643835616442</v>
      </c>
      <c r="M36" s="8"/>
      <c r="N36" s="8"/>
    </row>
    <row r="37" spans="2:14" x14ac:dyDescent="0.3">
      <c r="B37" s="202" t="s">
        <v>104</v>
      </c>
      <c r="C37" s="205">
        <f t="shared" si="0"/>
        <v>0.83589041095890426</v>
      </c>
      <c r="D37" s="205">
        <f t="shared" si="1"/>
        <v>3.095890410958904</v>
      </c>
      <c r="E37" s="206">
        <f t="shared" si="2"/>
        <v>642.39726027397262</v>
      </c>
      <c r="M37" s="8"/>
      <c r="N37" s="8"/>
    </row>
    <row r="38" spans="2:14" x14ac:dyDescent="0.3">
      <c r="B38" s="202" t="s">
        <v>105</v>
      </c>
      <c r="C38" s="205">
        <f t="shared" si="0"/>
        <v>0.39945205479452062</v>
      </c>
      <c r="D38" s="205">
        <f t="shared" si="1"/>
        <v>1.4794520547945207</v>
      </c>
      <c r="E38" s="206">
        <f t="shared" si="2"/>
        <v>306.98630136986304</v>
      </c>
      <c r="M38" s="8"/>
      <c r="N38" s="8"/>
    </row>
    <row r="39" spans="2:14" x14ac:dyDescent="0.3">
      <c r="B39" s="202" t="s">
        <v>106</v>
      </c>
      <c r="C39" s="205">
        <f t="shared" si="0"/>
        <v>2.1156164383561649</v>
      </c>
      <c r="D39" s="205">
        <f t="shared" si="1"/>
        <v>7.8356164383561655</v>
      </c>
      <c r="E39" s="206">
        <f t="shared" si="2"/>
        <v>1625.8904109589043</v>
      </c>
      <c r="M39" s="8"/>
      <c r="N39" s="8"/>
    </row>
    <row r="40" spans="2:14" x14ac:dyDescent="0.3">
      <c r="B40" s="202" t="s">
        <v>107</v>
      </c>
      <c r="C40" s="205">
        <f t="shared" si="0"/>
        <v>0.27369863013698637</v>
      </c>
      <c r="D40" s="205">
        <f t="shared" si="1"/>
        <v>1.0136986301369864</v>
      </c>
      <c r="E40" s="206">
        <f t="shared" si="2"/>
        <v>210.34246575342468</v>
      </c>
      <c r="M40" s="8"/>
      <c r="N40" s="8"/>
    </row>
    <row r="41" spans="2:14" x14ac:dyDescent="0.3">
      <c r="B41" s="202" t="s">
        <v>108</v>
      </c>
      <c r="C41" s="205">
        <f t="shared" si="0"/>
        <v>1.9306849315068497</v>
      </c>
      <c r="D41" s="205">
        <f t="shared" si="1"/>
        <v>7.1506849315068504</v>
      </c>
      <c r="E41" s="206">
        <f t="shared" si="2"/>
        <v>1483.7671232876714</v>
      </c>
      <c r="M41" s="8"/>
      <c r="N41" s="8"/>
    </row>
  </sheetData>
  <pageMargins left="0.7" right="0.7" top="0.75" bottom="0.75" header="0.3" footer="0.3"/>
  <pageSetup scale="95"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3639-3E94-4D37-82EE-5793607A2A02}">
  <dimension ref="A1:R131"/>
  <sheetViews>
    <sheetView zoomScaleNormal="100" workbookViewId="0"/>
  </sheetViews>
  <sheetFormatPr defaultRowHeight="15.6" x14ac:dyDescent="0.3"/>
  <cols>
    <col min="1" max="1" width="8.88671875" style="1" customWidth="1"/>
    <col min="2" max="2" width="16.5546875" style="1" customWidth="1"/>
    <col min="3" max="7" width="11.77734375" style="1" customWidth="1"/>
    <col min="8" max="8" width="8.88671875" style="1" customWidth="1"/>
    <col min="9" max="16384" width="8.88671875" style="1"/>
  </cols>
  <sheetData>
    <row r="1" spans="1:12" ht="17.399999999999999" x14ac:dyDescent="0.3">
      <c r="A1" s="2" t="s">
        <v>113</v>
      </c>
      <c r="B1" s="4"/>
      <c r="C1" s="9" t="s">
        <v>61</v>
      </c>
      <c r="D1" s="4"/>
      <c r="E1" s="4"/>
      <c r="F1" s="4"/>
      <c r="G1" s="4"/>
      <c r="H1" s="4"/>
      <c r="I1" s="4"/>
      <c r="J1" s="4"/>
      <c r="K1" s="4"/>
      <c r="L1" s="3"/>
    </row>
    <row r="2" spans="1:12" x14ac:dyDescent="0.3">
      <c r="A2" s="4"/>
      <c r="B2" s="4"/>
      <c r="C2" s="4"/>
      <c r="D2" s="4"/>
      <c r="E2" s="4"/>
      <c r="F2" s="4"/>
      <c r="G2" s="4"/>
      <c r="H2" s="4"/>
      <c r="I2" s="4"/>
      <c r="J2" s="4"/>
      <c r="K2" s="4"/>
      <c r="L2" s="3"/>
    </row>
    <row r="3" spans="1:12" x14ac:dyDescent="0.3">
      <c r="A3" s="360" t="s">
        <v>244</v>
      </c>
      <c r="B3" s="361"/>
      <c r="C3" s="361"/>
      <c r="D3" s="361"/>
      <c r="E3" s="361"/>
      <c r="F3" s="361"/>
      <c r="G3" s="361"/>
      <c r="H3" s="361"/>
      <c r="I3" s="361"/>
      <c r="J3" s="361"/>
      <c r="K3" s="361"/>
      <c r="L3" s="361"/>
    </row>
    <row r="4" spans="1:12" s="11" customFormat="1" x14ac:dyDescent="0.3">
      <c r="A4" s="361"/>
      <c r="B4" s="361"/>
      <c r="C4" s="361"/>
      <c r="D4" s="361"/>
      <c r="E4" s="361"/>
      <c r="F4" s="361"/>
      <c r="G4" s="361"/>
      <c r="H4" s="361"/>
      <c r="I4" s="361"/>
      <c r="J4" s="361"/>
      <c r="K4" s="361"/>
      <c r="L4" s="361"/>
    </row>
    <row r="5" spans="1:12" s="11" customFormat="1" x14ac:dyDescent="0.3">
      <c r="A5" s="13"/>
      <c r="B5" s="12"/>
      <c r="C5" s="12"/>
      <c r="D5" s="12"/>
      <c r="E5" s="12"/>
      <c r="F5" s="12"/>
      <c r="G5" s="12"/>
      <c r="H5" s="10"/>
      <c r="I5" s="10"/>
      <c r="J5" s="10"/>
      <c r="K5" s="10"/>
      <c r="L5" s="10"/>
    </row>
    <row r="6" spans="1:12" s="11" customFormat="1" x14ac:dyDescent="0.3">
      <c r="A6" s="13"/>
      <c r="B6" s="73" t="s">
        <v>23</v>
      </c>
      <c r="C6" s="394" t="s">
        <v>246</v>
      </c>
      <c r="D6" s="395"/>
      <c r="E6" s="395"/>
      <c r="F6" s="395"/>
      <c r="G6" s="395"/>
      <c r="H6" s="10"/>
      <c r="I6" s="10"/>
      <c r="J6" s="10"/>
      <c r="K6" s="10"/>
      <c r="L6" s="10"/>
    </row>
    <row r="7" spans="1:12" s="11" customFormat="1" x14ac:dyDescent="0.3">
      <c r="A7" s="13"/>
      <c r="B7" s="74" t="s">
        <v>25</v>
      </c>
      <c r="C7" s="71">
        <v>12</v>
      </c>
      <c r="D7" s="66">
        <v>24</v>
      </c>
      <c r="E7" s="66">
        <v>36</v>
      </c>
      <c r="F7" s="66">
        <v>48</v>
      </c>
      <c r="G7" s="66">
        <v>60</v>
      </c>
      <c r="H7" s="10"/>
      <c r="I7" s="10"/>
      <c r="J7" s="10"/>
      <c r="K7" s="10"/>
      <c r="L7" s="10"/>
    </row>
    <row r="8" spans="1:12" s="11" customFormat="1" x14ac:dyDescent="0.3">
      <c r="A8" s="13"/>
      <c r="B8" s="72">
        <v>2016</v>
      </c>
      <c r="C8" s="70">
        <v>32000</v>
      </c>
      <c r="D8" s="70">
        <v>54000</v>
      </c>
      <c r="E8" s="70">
        <v>61400</v>
      </c>
      <c r="F8" s="70">
        <v>70240</v>
      </c>
      <c r="G8" s="70">
        <v>76000</v>
      </c>
      <c r="H8" s="10"/>
      <c r="I8" s="10"/>
      <c r="J8" s="10"/>
      <c r="K8" s="10"/>
      <c r="L8" s="10"/>
    </row>
    <row r="9" spans="1:12" s="11" customFormat="1" x14ac:dyDescent="0.3">
      <c r="A9" s="13"/>
      <c r="B9" s="69">
        <v>2017</v>
      </c>
      <c r="C9" s="70">
        <v>34827</v>
      </c>
      <c r="D9" s="70">
        <v>58270</v>
      </c>
      <c r="E9" s="70">
        <v>65388</v>
      </c>
      <c r="F9" s="70">
        <v>74040</v>
      </c>
      <c r="G9" s="69"/>
      <c r="H9" s="10"/>
      <c r="I9" s="10"/>
      <c r="J9" s="10"/>
      <c r="K9" s="10"/>
      <c r="L9" s="10"/>
    </row>
    <row r="10" spans="1:12" s="11" customFormat="1" x14ac:dyDescent="0.3">
      <c r="A10" s="13"/>
      <c r="B10" s="69">
        <v>2018</v>
      </c>
      <c r="C10" s="70">
        <v>35998</v>
      </c>
      <c r="D10" s="70">
        <v>61348</v>
      </c>
      <c r="E10" s="70">
        <v>72363</v>
      </c>
      <c r="F10" s="69"/>
      <c r="G10" s="69"/>
      <c r="H10" s="10"/>
      <c r="I10" s="10"/>
      <c r="J10" s="10"/>
      <c r="K10" s="10"/>
      <c r="L10" s="10"/>
    </row>
    <row r="11" spans="1:12" s="11" customFormat="1" x14ac:dyDescent="0.3">
      <c r="A11" s="13"/>
      <c r="B11" s="69">
        <v>2019</v>
      </c>
      <c r="C11" s="70">
        <v>37820</v>
      </c>
      <c r="D11" s="70">
        <v>67306</v>
      </c>
      <c r="E11" s="69"/>
      <c r="F11" s="69"/>
      <c r="G11" s="69"/>
      <c r="H11" s="10"/>
      <c r="I11" s="10"/>
      <c r="J11" s="10"/>
      <c r="K11" s="10"/>
      <c r="L11" s="10"/>
    </row>
    <row r="12" spans="1:12" s="11" customFormat="1" x14ac:dyDescent="0.3">
      <c r="A12" s="13"/>
      <c r="B12" s="69">
        <v>2020</v>
      </c>
      <c r="C12" s="70">
        <v>44192</v>
      </c>
      <c r="D12" s="69"/>
      <c r="E12" s="69"/>
      <c r="F12" s="69"/>
      <c r="G12" s="69"/>
      <c r="H12" s="10"/>
      <c r="I12" s="10"/>
      <c r="J12" s="10"/>
      <c r="K12" s="10"/>
      <c r="L12" s="10"/>
    </row>
    <row r="13" spans="1:12" s="11" customFormat="1" x14ac:dyDescent="0.3">
      <c r="A13" s="13"/>
      <c r="B13" s="68"/>
      <c r="C13" s="9"/>
      <c r="D13" s="9"/>
      <c r="E13" s="9"/>
      <c r="F13" s="9"/>
      <c r="G13" s="9"/>
      <c r="H13" s="10"/>
      <c r="I13" s="10"/>
      <c r="J13" s="10"/>
      <c r="K13" s="10"/>
      <c r="L13" s="10"/>
    </row>
    <row r="14" spans="1:12" s="11" customFormat="1" ht="16.2" customHeight="1" x14ac:dyDescent="0.3">
      <c r="A14" s="13"/>
      <c r="B14" s="73" t="s">
        <v>23</v>
      </c>
      <c r="C14" s="394" t="s">
        <v>247</v>
      </c>
      <c r="D14" s="395"/>
      <c r="E14" s="395"/>
      <c r="F14" s="395"/>
      <c r="G14" s="395"/>
      <c r="H14" s="10"/>
      <c r="I14" s="10"/>
      <c r="J14" s="10"/>
      <c r="K14" s="10"/>
      <c r="L14" s="10"/>
    </row>
    <row r="15" spans="1:12" s="11" customFormat="1" x14ac:dyDescent="0.3">
      <c r="A15" s="13"/>
      <c r="B15" s="74" t="s">
        <v>25</v>
      </c>
      <c r="C15" s="71">
        <v>12</v>
      </c>
      <c r="D15" s="66">
        <v>24</v>
      </c>
      <c r="E15" s="66">
        <v>36</v>
      </c>
      <c r="F15" s="66">
        <v>48</v>
      </c>
      <c r="G15" s="66">
        <v>60</v>
      </c>
      <c r="H15" s="10"/>
      <c r="I15" s="10"/>
      <c r="J15" s="10"/>
      <c r="K15" s="10"/>
      <c r="L15" s="10"/>
    </row>
    <row r="16" spans="1:12" s="11" customFormat="1" x14ac:dyDescent="0.3">
      <c r="A16" s="13"/>
      <c r="B16" s="72">
        <v>2016</v>
      </c>
      <c r="C16" s="70">
        <v>24400</v>
      </c>
      <c r="D16" s="70">
        <v>42800</v>
      </c>
      <c r="E16" s="70">
        <v>57600</v>
      </c>
      <c r="F16" s="70">
        <v>65000</v>
      </c>
      <c r="G16" s="70">
        <v>72400</v>
      </c>
      <c r="H16" s="10"/>
      <c r="I16" s="10"/>
      <c r="J16" s="10"/>
      <c r="K16" s="10"/>
      <c r="L16" s="10"/>
    </row>
    <row r="17" spans="1:12" s="11" customFormat="1" x14ac:dyDescent="0.3">
      <c r="A17" s="13"/>
      <c r="B17" s="69">
        <v>2017</v>
      </c>
      <c r="C17" s="70">
        <v>25965</v>
      </c>
      <c r="D17" s="70">
        <v>45571</v>
      </c>
      <c r="E17" s="70">
        <v>61341</v>
      </c>
      <c r="F17" s="70">
        <v>69225</v>
      </c>
      <c r="G17" s="69"/>
      <c r="H17" s="10"/>
      <c r="I17" s="10"/>
      <c r="J17" s="10"/>
      <c r="K17" s="10"/>
      <c r="L17" s="10"/>
    </row>
    <row r="18" spans="1:12" s="11" customFormat="1" x14ac:dyDescent="0.3">
      <c r="A18" s="13"/>
      <c r="B18" s="69">
        <v>2018</v>
      </c>
      <c r="C18" s="70">
        <v>28075</v>
      </c>
      <c r="D18" s="70">
        <v>49276</v>
      </c>
      <c r="E18" s="70">
        <v>66327</v>
      </c>
      <c r="F18" s="69"/>
      <c r="G18" s="69"/>
      <c r="H18" s="10"/>
      <c r="I18" s="10"/>
      <c r="J18" s="10"/>
      <c r="K18" s="10"/>
      <c r="L18" s="10"/>
    </row>
    <row r="19" spans="1:12" s="11" customFormat="1" x14ac:dyDescent="0.3">
      <c r="A19" s="13"/>
      <c r="B19" s="69">
        <v>2019</v>
      </c>
      <c r="C19" s="70">
        <v>28824</v>
      </c>
      <c r="D19" s="70">
        <v>50626</v>
      </c>
      <c r="E19" s="69"/>
      <c r="F19" s="69"/>
      <c r="G19" s="69"/>
      <c r="H19" s="10"/>
      <c r="I19" s="10"/>
      <c r="J19" s="10"/>
      <c r="K19" s="10"/>
      <c r="L19" s="10"/>
    </row>
    <row r="20" spans="1:12" s="11" customFormat="1" x14ac:dyDescent="0.3">
      <c r="A20" s="13"/>
      <c r="B20" s="69">
        <v>2020</v>
      </c>
      <c r="C20" s="70">
        <v>30891</v>
      </c>
      <c r="D20" s="69"/>
      <c r="E20" s="69"/>
      <c r="F20" s="69"/>
      <c r="G20" s="69"/>
      <c r="H20" s="10"/>
      <c r="I20" s="10"/>
      <c r="J20" s="10"/>
      <c r="K20" s="10"/>
      <c r="L20" s="10"/>
    </row>
    <row r="21" spans="1:12" s="11" customFormat="1" x14ac:dyDescent="0.3">
      <c r="A21" s="13"/>
      <c r="B21" s="68"/>
      <c r="C21" s="9"/>
      <c r="D21" s="9"/>
      <c r="E21" s="9"/>
      <c r="F21" s="9"/>
      <c r="G21" s="9"/>
      <c r="H21" s="10"/>
      <c r="I21" s="10"/>
      <c r="J21" s="10"/>
      <c r="K21" s="10"/>
      <c r="L21" s="10"/>
    </row>
    <row r="22" spans="1:12" s="11" customFormat="1" ht="16.2" customHeight="1" x14ac:dyDescent="0.3">
      <c r="A22" s="12"/>
      <c r="B22" s="73" t="s">
        <v>23</v>
      </c>
      <c r="C22" s="394" t="s">
        <v>114</v>
      </c>
      <c r="D22" s="395"/>
      <c r="E22" s="395"/>
      <c r="F22" s="395"/>
      <c r="G22" s="395"/>
      <c r="H22" s="10"/>
      <c r="I22" s="10"/>
      <c r="J22" s="10"/>
      <c r="K22" s="10"/>
      <c r="L22" s="10"/>
    </row>
    <row r="23" spans="1:12" s="11" customFormat="1" x14ac:dyDescent="0.3">
      <c r="A23" s="12"/>
      <c r="B23" s="74" t="s">
        <v>25</v>
      </c>
      <c r="C23" s="71">
        <v>12</v>
      </c>
      <c r="D23" s="66">
        <v>24</v>
      </c>
      <c r="E23" s="66">
        <v>36</v>
      </c>
      <c r="F23" s="66">
        <v>48</v>
      </c>
      <c r="G23" s="66">
        <v>60</v>
      </c>
      <c r="H23" s="10"/>
      <c r="I23" s="10"/>
      <c r="J23" s="10"/>
      <c r="K23" s="10"/>
      <c r="L23" s="10"/>
    </row>
    <row r="24" spans="1:12" s="11" customFormat="1" x14ac:dyDescent="0.3">
      <c r="A24" s="13"/>
      <c r="B24" s="72">
        <v>2016</v>
      </c>
      <c r="C24" s="70">
        <v>1040</v>
      </c>
      <c r="D24" s="70">
        <v>1320</v>
      </c>
      <c r="E24" s="70">
        <v>1480</v>
      </c>
      <c r="F24" s="70">
        <v>1540</v>
      </c>
      <c r="G24" s="70">
        <v>1600</v>
      </c>
      <c r="H24" s="10"/>
      <c r="I24" s="10"/>
      <c r="J24" s="10"/>
      <c r="K24" s="10"/>
      <c r="L24" s="10"/>
    </row>
    <row r="25" spans="1:12" s="11" customFormat="1" x14ac:dyDescent="0.3">
      <c r="A25" s="12"/>
      <c r="B25" s="69">
        <v>2017</v>
      </c>
      <c r="C25" s="70">
        <v>1061</v>
      </c>
      <c r="D25" s="70">
        <v>1346</v>
      </c>
      <c r="E25" s="70">
        <v>1510</v>
      </c>
      <c r="F25" s="70">
        <v>1571</v>
      </c>
      <c r="G25" s="69"/>
      <c r="H25" s="10"/>
      <c r="I25" s="10"/>
      <c r="J25" s="10"/>
      <c r="K25" s="10"/>
      <c r="L25" s="10"/>
    </row>
    <row r="26" spans="1:12" s="11" customFormat="1" x14ac:dyDescent="0.3">
      <c r="A26" s="12"/>
      <c r="B26" s="69">
        <v>2018</v>
      </c>
      <c r="C26" s="70">
        <v>1113</v>
      </c>
      <c r="D26" s="70">
        <v>1413</v>
      </c>
      <c r="E26" s="70">
        <v>1585</v>
      </c>
      <c r="F26" s="69"/>
      <c r="G26" s="69"/>
      <c r="H26" s="10"/>
      <c r="I26" s="10"/>
      <c r="J26" s="10"/>
      <c r="K26" s="10"/>
      <c r="L26" s="10"/>
    </row>
    <row r="27" spans="1:12" x14ac:dyDescent="0.3">
      <c r="A27" s="12"/>
      <c r="B27" s="69">
        <v>2019</v>
      </c>
      <c r="C27" s="70">
        <v>1091</v>
      </c>
      <c r="D27" s="70">
        <v>1385</v>
      </c>
      <c r="E27" s="69"/>
      <c r="F27" s="69"/>
      <c r="G27" s="69"/>
      <c r="H27" s="9"/>
      <c r="I27" s="9"/>
      <c r="J27" s="9"/>
      <c r="K27" s="9"/>
      <c r="L27" s="9"/>
    </row>
    <row r="28" spans="1:12" x14ac:dyDescent="0.3">
      <c r="A28" s="12"/>
      <c r="B28" s="69">
        <v>2020</v>
      </c>
      <c r="C28" s="70">
        <v>1136</v>
      </c>
      <c r="D28" s="69"/>
      <c r="E28" s="69"/>
      <c r="F28" s="69"/>
      <c r="G28" s="69"/>
      <c r="H28" s="9"/>
      <c r="I28" s="9"/>
      <c r="J28" s="9"/>
      <c r="K28" s="9"/>
      <c r="L28" s="9"/>
    </row>
    <row r="29" spans="1:12" x14ac:dyDescent="0.3">
      <c r="A29" s="9"/>
      <c r="B29" s="68"/>
      <c r="C29" s="9"/>
      <c r="D29" s="9"/>
      <c r="E29" s="9"/>
      <c r="F29" s="9"/>
      <c r="G29" s="9"/>
      <c r="H29" s="9"/>
      <c r="I29" s="9"/>
      <c r="J29" s="9"/>
      <c r="K29" s="9"/>
      <c r="L29" s="9"/>
    </row>
    <row r="30" spans="1:12" ht="16.2" customHeight="1" x14ac:dyDescent="0.3">
      <c r="A30" s="9"/>
      <c r="B30" s="73" t="s">
        <v>23</v>
      </c>
      <c r="C30" s="394" t="s">
        <v>115</v>
      </c>
      <c r="D30" s="395"/>
      <c r="E30" s="395"/>
      <c r="F30" s="395"/>
      <c r="G30" s="395"/>
      <c r="H30" s="9"/>
      <c r="I30" s="9"/>
      <c r="J30" s="9"/>
      <c r="K30" s="9"/>
      <c r="L30" s="9"/>
    </row>
    <row r="31" spans="1:12" x14ac:dyDescent="0.3">
      <c r="A31" s="9"/>
      <c r="B31" s="74" t="s">
        <v>25</v>
      </c>
      <c r="C31" s="71">
        <v>12</v>
      </c>
      <c r="D31" s="66">
        <v>24</v>
      </c>
      <c r="E31" s="66">
        <v>36</v>
      </c>
      <c r="F31" s="66">
        <v>48</v>
      </c>
      <c r="G31" s="66">
        <v>60</v>
      </c>
      <c r="H31" s="9"/>
      <c r="I31" s="9"/>
      <c r="J31" s="9"/>
      <c r="K31" s="9"/>
      <c r="L31" s="9"/>
    </row>
    <row r="32" spans="1:12" x14ac:dyDescent="0.3">
      <c r="A32" s="9"/>
      <c r="B32" s="72">
        <v>2016</v>
      </c>
      <c r="C32" s="70">
        <v>792</v>
      </c>
      <c r="D32" s="70">
        <v>1092</v>
      </c>
      <c r="E32" s="70">
        <v>1284</v>
      </c>
      <c r="F32" s="70">
        <v>1392</v>
      </c>
      <c r="G32" s="70">
        <v>1540</v>
      </c>
      <c r="H32" s="9"/>
      <c r="I32" s="9"/>
      <c r="J32" s="9"/>
      <c r="K32" s="9"/>
      <c r="L32" s="9"/>
    </row>
    <row r="33" spans="1:18" x14ac:dyDescent="0.3">
      <c r="A33" s="9"/>
      <c r="B33" s="69">
        <v>2017</v>
      </c>
      <c r="C33" s="70">
        <v>808</v>
      </c>
      <c r="D33" s="70">
        <v>1114</v>
      </c>
      <c r="E33" s="70">
        <v>1310</v>
      </c>
      <c r="F33" s="70">
        <v>1420</v>
      </c>
      <c r="G33" s="69"/>
      <c r="H33" s="9"/>
      <c r="I33" s="9"/>
      <c r="J33" s="9"/>
      <c r="K33" s="9"/>
      <c r="L33" s="9"/>
    </row>
    <row r="34" spans="1:18" x14ac:dyDescent="0.3">
      <c r="A34" s="9"/>
      <c r="B34" s="69">
        <v>2018</v>
      </c>
      <c r="C34" s="70">
        <v>848</v>
      </c>
      <c r="D34" s="70">
        <v>1169</v>
      </c>
      <c r="E34" s="70">
        <v>1375</v>
      </c>
      <c r="F34" s="69"/>
      <c r="G34" s="69"/>
      <c r="H34" s="9"/>
      <c r="I34" s="9"/>
      <c r="J34" s="9"/>
      <c r="K34" s="9"/>
      <c r="L34" s="9"/>
    </row>
    <row r="35" spans="1:18" x14ac:dyDescent="0.3">
      <c r="A35" s="9"/>
      <c r="B35" s="69">
        <v>2019</v>
      </c>
      <c r="C35" s="70">
        <v>831</v>
      </c>
      <c r="D35" s="70">
        <v>1146</v>
      </c>
      <c r="E35" s="69"/>
      <c r="F35" s="69"/>
      <c r="G35" s="69"/>
      <c r="H35" s="9"/>
      <c r="I35" s="9"/>
      <c r="J35" s="9"/>
      <c r="K35" s="9"/>
      <c r="L35" s="9"/>
    </row>
    <row r="36" spans="1:18" x14ac:dyDescent="0.3">
      <c r="A36" s="9"/>
      <c r="B36" s="69">
        <v>2020</v>
      </c>
      <c r="C36" s="70">
        <v>865</v>
      </c>
      <c r="D36" s="69"/>
      <c r="E36" s="69"/>
      <c r="F36" s="69"/>
      <c r="G36" s="69"/>
      <c r="H36" s="9"/>
      <c r="I36" s="9"/>
      <c r="J36" s="9"/>
      <c r="K36" s="9"/>
      <c r="L36" s="9"/>
    </row>
    <row r="37" spans="1:18" x14ac:dyDescent="0.3">
      <c r="A37" s="9"/>
      <c r="B37" s="9"/>
      <c r="C37" s="9"/>
      <c r="D37" s="9"/>
      <c r="E37" s="9"/>
      <c r="F37" s="9"/>
      <c r="G37" s="9"/>
      <c r="H37" s="9"/>
      <c r="I37" s="9"/>
      <c r="J37" s="9"/>
      <c r="K37" s="9"/>
      <c r="L37" s="9"/>
    </row>
    <row r="38" spans="1:18" x14ac:dyDescent="0.3">
      <c r="A38" s="9"/>
      <c r="B38" s="75" t="s">
        <v>116</v>
      </c>
      <c r="C38" s="9"/>
      <c r="D38" s="9"/>
      <c r="E38" s="9"/>
      <c r="F38" s="9"/>
      <c r="G38" s="9"/>
      <c r="H38" s="9"/>
      <c r="I38" s="9"/>
      <c r="J38" s="9"/>
      <c r="K38" s="9"/>
      <c r="L38" s="9"/>
    </row>
    <row r="39" spans="1:18" x14ac:dyDescent="0.3">
      <c r="A39" s="9"/>
      <c r="B39" s="75" t="s">
        <v>117</v>
      </c>
      <c r="C39" s="9"/>
      <c r="D39" s="9"/>
      <c r="E39" s="9"/>
      <c r="F39" s="9"/>
      <c r="G39" s="9"/>
      <c r="H39" s="9"/>
      <c r="I39" s="9"/>
      <c r="J39" s="9"/>
      <c r="K39" s="9"/>
      <c r="L39" s="9"/>
    </row>
    <row r="40" spans="1:18" x14ac:dyDescent="0.3">
      <c r="A40" s="9"/>
      <c r="B40" s="68"/>
      <c r="C40" s="9"/>
      <c r="D40" s="9"/>
      <c r="E40" s="9"/>
      <c r="F40" s="9"/>
      <c r="G40" s="9"/>
      <c r="H40" s="9"/>
      <c r="I40" s="9"/>
      <c r="J40" s="9"/>
      <c r="K40" s="9"/>
      <c r="L40" s="9"/>
    </row>
    <row r="42" spans="1:18" x14ac:dyDescent="0.3">
      <c r="A42" s="6" t="s">
        <v>5</v>
      </c>
      <c r="B42" s="9" t="s">
        <v>118</v>
      </c>
      <c r="C42" s="4"/>
      <c r="D42" s="4"/>
      <c r="E42" s="4"/>
      <c r="F42" s="4"/>
      <c r="G42" s="4"/>
      <c r="H42" s="4"/>
      <c r="I42" s="4"/>
      <c r="J42" s="4"/>
      <c r="K42" s="4"/>
      <c r="L42" s="4"/>
      <c r="M42" s="8"/>
      <c r="N42" s="8"/>
      <c r="O42" s="8"/>
      <c r="P42" s="8"/>
      <c r="Q42" s="8"/>
      <c r="R42" s="8"/>
    </row>
    <row r="43" spans="1:18" x14ac:dyDescent="0.3">
      <c r="A43" s="7"/>
      <c r="B43" s="7"/>
      <c r="C43" s="7"/>
      <c r="D43" s="7"/>
      <c r="E43" s="7"/>
      <c r="F43" s="7"/>
      <c r="G43" s="7"/>
      <c r="H43" s="7"/>
      <c r="I43" s="7"/>
      <c r="J43" s="7"/>
      <c r="K43" s="7"/>
      <c r="L43" s="7"/>
      <c r="M43" s="7"/>
    </row>
    <row r="44" spans="1:18" x14ac:dyDescent="0.3">
      <c r="A44" s="7" t="s">
        <v>2</v>
      </c>
      <c r="B44" s="7"/>
      <c r="C44" s="7"/>
      <c r="D44" s="7"/>
      <c r="E44" s="7"/>
      <c r="F44" s="7"/>
      <c r="G44" s="7"/>
      <c r="H44" s="7"/>
      <c r="I44" s="7"/>
      <c r="J44" s="7"/>
      <c r="K44" s="7"/>
      <c r="L44" s="7"/>
      <c r="M44" s="7"/>
      <c r="N44" s="8"/>
    </row>
    <row r="45" spans="1:18" x14ac:dyDescent="0.3">
      <c r="A45" s="7"/>
      <c r="B45" s="355" t="s">
        <v>23</v>
      </c>
      <c r="C45" s="393" t="s">
        <v>343</v>
      </c>
      <c r="D45" s="393"/>
      <c r="E45" s="393"/>
      <c r="F45" s="393"/>
      <c r="G45" s="393"/>
      <c r="H45" s="7"/>
      <c r="I45" s="7"/>
      <c r="J45" s="7"/>
      <c r="K45" s="7"/>
      <c r="L45" s="7"/>
      <c r="M45" s="7"/>
      <c r="N45" s="8"/>
    </row>
    <row r="46" spans="1:18" x14ac:dyDescent="0.3">
      <c r="A46" s="7"/>
      <c r="B46" s="167" t="s">
        <v>25</v>
      </c>
      <c r="C46" s="214">
        <v>12</v>
      </c>
      <c r="D46" s="214">
        <v>24</v>
      </c>
      <c r="E46" s="214">
        <v>36</v>
      </c>
      <c r="F46" s="214">
        <v>48</v>
      </c>
      <c r="G46" s="214">
        <v>60</v>
      </c>
      <c r="H46" s="7"/>
      <c r="I46" s="7"/>
      <c r="J46" s="7"/>
      <c r="K46" s="7"/>
      <c r="L46" s="7"/>
      <c r="M46" s="7"/>
      <c r="N46" s="8"/>
    </row>
    <row r="47" spans="1:18" x14ac:dyDescent="0.3">
      <c r="B47" s="158">
        <v>2016</v>
      </c>
      <c r="C47" s="210">
        <f>C8-C16</f>
        <v>7600</v>
      </c>
      <c r="D47" s="210">
        <f t="shared" ref="D47:G47" si="0">D8-D16</f>
        <v>11200</v>
      </c>
      <c r="E47" s="210">
        <f t="shared" si="0"/>
        <v>3800</v>
      </c>
      <c r="F47" s="210">
        <f t="shared" si="0"/>
        <v>5240</v>
      </c>
      <c r="G47" s="210">
        <f t="shared" si="0"/>
        <v>3600</v>
      </c>
      <c r="M47" s="8"/>
      <c r="N47" s="8"/>
    </row>
    <row r="48" spans="1:18" x14ac:dyDescent="0.3">
      <c r="B48" s="158">
        <v>2017</v>
      </c>
      <c r="C48" s="210">
        <f t="shared" ref="C48:F48" si="1">C9-C17</f>
        <v>8862</v>
      </c>
      <c r="D48" s="210">
        <f t="shared" si="1"/>
        <v>12699</v>
      </c>
      <c r="E48" s="210">
        <f t="shared" si="1"/>
        <v>4047</v>
      </c>
      <c r="F48" s="210">
        <f t="shared" si="1"/>
        <v>4815</v>
      </c>
      <c r="G48" s="210"/>
      <c r="M48" s="8"/>
      <c r="N48" s="8"/>
    </row>
    <row r="49" spans="2:14" x14ac:dyDescent="0.3">
      <c r="B49" s="158">
        <v>2018</v>
      </c>
      <c r="C49" s="210">
        <f t="shared" ref="C49:E49" si="2">C10-C18</f>
        <v>7923</v>
      </c>
      <c r="D49" s="210">
        <f t="shared" si="2"/>
        <v>12072</v>
      </c>
      <c r="E49" s="210">
        <f t="shared" si="2"/>
        <v>6036</v>
      </c>
      <c r="F49" s="210"/>
      <c r="G49" s="210"/>
      <c r="M49" s="8"/>
      <c r="N49" s="8"/>
    </row>
    <row r="50" spans="2:14" x14ac:dyDescent="0.3">
      <c r="B50" s="158">
        <v>2019</v>
      </c>
      <c r="C50" s="210">
        <f t="shared" ref="C50:D50" si="3">C11-C19</f>
        <v>8996</v>
      </c>
      <c r="D50" s="210">
        <f t="shared" si="3"/>
        <v>16680</v>
      </c>
      <c r="E50" s="210"/>
      <c r="F50" s="210"/>
      <c r="G50" s="210"/>
      <c r="M50" s="8"/>
      <c r="N50" s="8"/>
    </row>
    <row r="51" spans="2:14" x14ac:dyDescent="0.3">
      <c r="B51" s="158">
        <v>2020</v>
      </c>
      <c r="C51" s="210">
        <f t="shared" ref="C51" si="4">C12-C20</f>
        <v>13301</v>
      </c>
      <c r="D51" s="210"/>
      <c r="E51" s="210"/>
      <c r="F51" s="210"/>
      <c r="G51" s="210"/>
      <c r="M51" s="8"/>
      <c r="N51" s="8"/>
    </row>
    <row r="52" spans="2:14" x14ac:dyDescent="0.3">
      <c r="M52" s="8"/>
      <c r="N52" s="8"/>
    </row>
    <row r="53" spans="2:14" ht="15.6" customHeight="1" x14ac:dyDescent="0.3">
      <c r="B53" s="355" t="s">
        <v>23</v>
      </c>
      <c r="C53" s="393" t="s">
        <v>344</v>
      </c>
      <c r="D53" s="393"/>
      <c r="E53" s="393"/>
      <c r="F53" s="393"/>
      <c r="G53" s="393"/>
      <c r="M53" s="8"/>
      <c r="N53" s="8"/>
    </row>
    <row r="54" spans="2:14" x14ac:dyDescent="0.3">
      <c r="B54" s="167" t="s">
        <v>25</v>
      </c>
      <c r="C54" s="214">
        <v>12</v>
      </c>
      <c r="D54" s="214">
        <v>24</v>
      </c>
      <c r="E54" s="214">
        <v>36</v>
      </c>
      <c r="F54" s="214">
        <v>48</v>
      </c>
      <c r="G54" s="214">
        <v>60</v>
      </c>
      <c r="M54" s="8"/>
      <c r="N54" s="8"/>
    </row>
    <row r="55" spans="2:14" x14ac:dyDescent="0.3">
      <c r="B55" s="158">
        <v>2016</v>
      </c>
      <c r="C55" s="210">
        <f>C24-C32</f>
        <v>248</v>
      </c>
      <c r="D55" s="210">
        <f t="shared" ref="D55:G55" si="5">D24-D32</f>
        <v>228</v>
      </c>
      <c r="E55" s="210">
        <f t="shared" si="5"/>
        <v>196</v>
      </c>
      <c r="F55" s="210">
        <f t="shared" si="5"/>
        <v>148</v>
      </c>
      <c r="G55" s="210">
        <f t="shared" si="5"/>
        <v>60</v>
      </c>
      <c r="M55" s="8"/>
      <c r="N55" s="8"/>
    </row>
    <row r="56" spans="2:14" x14ac:dyDescent="0.3">
      <c r="B56" s="158">
        <v>2017</v>
      </c>
      <c r="C56" s="210">
        <f t="shared" ref="C56:F56" si="6">C25-C33</f>
        <v>253</v>
      </c>
      <c r="D56" s="210">
        <f t="shared" si="6"/>
        <v>232</v>
      </c>
      <c r="E56" s="210">
        <f t="shared" si="6"/>
        <v>200</v>
      </c>
      <c r="F56" s="210">
        <f t="shared" si="6"/>
        <v>151</v>
      </c>
      <c r="G56" s="210"/>
      <c r="M56" s="8"/>
      <c r="N56" s="8"/>
    </row>
    <row r="57" spans="2:14" x14ac:dyDescent="0.3">
      <c r="B57" s="158">
        <v>2018</v>
      </c>
      <c r="C57" s="210">
        <f t="shared" ref="C57:E57" si="7">C26-C34</f>
        <v>265</v>
      </c>
      <c r="D57" s="210">
        <f t="shared" si="7"/>
        <v>244</v>
      </c>
      <c r="E57" s="210">
        <f t="shared" si="7"/>
        <v>210</v>
      </c>
      <c r="F57" s="210"/>
      <c r="G57" s="210"/>
      <c r="M57" s="8"/>
      <c r="N57" s="8"/>
    </row>
    <row r="58" spans="2:14" x14ac:dyDescent="0.3">
      <c r="B58" s="158">
        <v>2019</v>
      </c>
      <c r="C58" s="210">
        <f t="shared" ref="C58:D58" si="8">C27-C35</f>
        <v>260</v>
      </c>
      <c r="D58" s="210">
        <f t="shared" si="8"/>
        <v>239</v>
      </c>
      <c r="E58" s="210"/>
      <c r="F58" s="210"/>
      <c r="G58" s="210"/>
      <c r="M58" s="8"/>
      <c r="N58" s="8"/>
    </row>
    <row r="59" spans="2:14" x14ac:dyDescent="0.3">
      <c r="B59" s="158">
        <v>2020</v>
      </c>
      <c r="C59" s="210">
        <f t="shared" ref="C59" si="9">C28-C36</f>
        <v>271</v>
      </c>
      <c r="D59" s="210"/>
      <c r="E59" s="210"/>
      <c r="F59" s="210"/>
      <c r="G59" s="210"/>
      <c r="M59" s="8"/>
      <c r="N59" s="8"/>
    </row>
    <row r="60" spans="2:14" x14ac:dyDescent="0.3">
      <c r="B60" s="207"/>
      <c r="C60" s="208"/>
      <c r="D60" s="208"/>
      <c r="E60" s="208"/>
      <c r="F60" s="208"/>
      <c r="G60" s="208"/>
      <c r="M60" s="8"/>
      <c r="N60" s="8"/>
    </row>
    <row r="61" spans="2:14" ht="15.6" customHeight="1" x14ac:dyDescent="0.3">
      <c r="B61" s="355" t="s">
        <v>23</v>
      </c>
      <c r="C61" s="393" t="s">
        <v>345</v>
      </c>
      <c r="D61" s="393"/>
      <c r="E61" s="393"/>
      <c r="F61" s="393"/>
      <c r="G61" s="393"/>
      <c r="M61" s="8"/>
      <c r="N61" s="8"/>
    </row>
    <row r="62" spans="2:14" x14ac:dyDescent="0.3">
      <c r="B62" s="167" t="s">
        <v>25</v>
      </c>
      <c r="C62" s="214">
        <v>12</v>
      </c>
      <c r="D62" s="214">
        <v>24</v>
      </c>
      <c r="E62" s="214">
        <v>36</v>
      </c>
      <c r="F62" s="214">
        <v>48</v>
      </c>
      <c r="G62" s="214">
        <v>60</v>
      </c>
      <c r="M62" s="8"/>
      <c r="N62" s="8"/>
    </row>
    <row r="63" spans="2:14" x14ac:dyDescent="0.3">
      <c r="B63" s="158">
        <v>2016</v>
      </c>
      <c r="C63" s="210">
        <f>IF(C55=0,0,C47/C55)</f>
        <v>30.64516129032258</v>
      </c>
      <c r="D63" s="210">
        <f>IF(D55=0,0,D47/D55)</f>
        <v>49.122807017543863</v>
      </c>
      <c r="E63" s="210">
        <f>IF(E55=0,0,E47/E55)</f>
        <v>19.387755102040817</v>
      </c>
      <c r="F63" s="210">
        <f>IF(F55=0,0,F47/F55)</f>
        <v>35.405405405405403</v>
      </c>
      <c r="G63" s="210">
        <f>IF(G55=0,0,G47/G55)</f>
        <v>60</v>
      </c>
      <c r="M63" s="8"/>
      <c r="N63" s="8"/>
    </row>
    <row r="64" spans="2:14" x14ac:dyDescent="0.3">
      <c r="B64" s="158">
        <v>2017</v>
      </c>
      <c r="C64" s="210">
        <f>IF(C56=0,0,C48/C56)</f>
        <v>35.027667984189726</v>
      </c>
      <c r="D64" s="210">
        <f>IF(D56=0,0,D48/D56)</f>
        <v>54.737068965517238</v>
      </c>
      <c r="E64" s="210">
        <f>IF(E56=0,0,E48/E56)</f>
        <v>20.234999999999999</v>
      </c>
      <c r="F64" s="210">
        <f>IF(F56=0,0,F48/F56)</f>
        <v>31.887417218543046</v>
      </c>
      <c r="G64" s="210"/>
      <c r="M64" s="8"/>
      <c r="N64" s="8"/>
    </row>
    <row r="65" spans="1:14" x14ac:dyDescent="0.3">
      <c r="B65" s="158">
        <v>2018</v>
      </c>
      <c r="C65" s="210">
        <f>IF(C57=0,0,C49/C57)</f>
        <v>29.898113207547169</v>
      </c>
      <c r="D65" s="210">
        <f>IF(D57=0,0,D49/D57)</f>
        <v>49.475409836065573</v>
      </c>
      <c r="E65" s="210">
        <f>IF(E57=0,0,E49/E57)</f>
        <v>28.742857142857144</v>
      </c>
      <c r="F65" s="210"/>
      <c r="G65" s="210"/>
      <c r="M65" s="8"/>
      <c r="N65" s="8"/>
    </row>
    <row r="66" spans="1:14" x14ac:dyDescent="0.3">
      <c r="B66" s="158">
        <v>2019</v>
      </c>
      <c r="C66" s="210">
        <f>IF(C58=0,0,C50/C58)</f>
        <v>34.6</v>
      </c>
      <c r="D66" s="210">
        <f>IF(D58=0,0,D50/D58)</f>
        <v>69.790794979079493</v>
      </c>
      <c r="E66" s="210"/>
      <c r="F66" s="210"/>
      <c r="G66" s="210"/>
      <c r="M66" s="8"/>
      <c r="N66" s="8"/>
    </row>
    <row r="67" spans="1:14" x14ac:dyDescent="0.3">
      <c r="B67" s="158">
        <v>2020</v>
      </c>
      <c r="C67" s="210">
        <f>IF(C59=0,0,C51/C59)</f>
        <v>49.081180811808117</v>
      </c>
      <c r="D67" s="210"/>
      <c r="E67" s="210"/>
      <c r="F67" s="210"/>
      <c r="G67" s="210"/>
      <c r="M67" s="8"/>
      <c r="N67" s="8"/>
    </row>
    <row r="69" spans="1:14" x14ac:dyDescent="0.3">
      <c r="A69" s="6" t="s">
        <v>6</v>
      </c>
      <c r="B69" s="9" t="s">
        <v>245</v>
      </c>
      <c r="C69" s="4"/>
      <c r="D69" s="4"/>
      <c r="E69" s="4"/>
      <c r="F69" s="4"/>
      <c r="G69" s="4"/>
      <c r="H69" s="4"/>
      <c r="I69" s="4"/>
      <c r="J69" s="4"/>
      <c r="K69" s="4"/>
      <c r="L69" s="4"/>
    </row>
    <row r="70" spans="1:14" x14ac:dyDescent="0.3">
      <c r="A70" s="3"/>
      <c r="B70" s="3"/>
      <c r="C70" s="3"/>
      <c r="D70" s="3"/>
      <c r="E70" s="3"/>
      <c r="F70" s="3"/>
      <c r="G70" s="4"/>
      <c r="H70" s="4"/>
      <c r="I70" s="4"/>
      <c r="J70" s="4"/>
      <c r="K70" s="4"/>
      <c r="L70" s="4"/>
    </row>
    <row r="71" spans="1:14" x14ac:dyDescent="0.3">
      <c r="A71" s="7"/>
      <c r="B71" s="7"/>
      <c r="C71" s="7"/>
      <c r="D71" s="7"/>
      <c r="E71" s="7"/>
      <c r="F71" s="7"/>
      <c r="G71" s="7"/>
      <c r="H71" s="7"/>
      <c r="I71" s="7"/>
      <c r="J71" s="7"/>
      <c r="K71" s="7"/>
      <c r="L71" s="7"/>
    </row>
    <row r="72" spans="1:14" x14ac:dyDescent="0.3">
      <c r="A72" s="7" t="s">
        <v>2</v>
      </c>
      <c r="B72" s="7"/>
      <c r="C72" s="7"/>
      <c r="D72" s="7"/>
      <c r="E72" s="7"/>
      <c r="F72" s="7"/>
      <c r="G72" s="7"/>
      <c r="H72" s="7"/>
      <c r="I72" s="7"/>
      <c r="J72" s="7"/>
      <c r="K72" s="7"/>
      <c r="L72" s="7"/>
    </row>
    <row r="73" spans="1:14" ht="46.8" x14ac:dyDescent="0.3">
      <c r="A73" s="7"/>
      <c r="B73" s="357" t="s">
        <v>346</v>
      </c>
      <c r="C73" s="357">
        <v>12</v>
      </c>
      <c r="D73" s="357">
        <v>24</v>
      </c>
      <c r="E73" s="357">
        <v>36</v>
      </c>
      <c r="F73" s="357">
        <v>48</v>
      </c>
      <c r="G73" s="7"/>
      <c r="H73" s="7"/>
      <c r="I73" s="7"/>
      <c r="J73" s="7"/>
      <c r="K73" s="7"/>
      <c r="L73" s="7"/>
    </row>
    <row r="74" spans="1:14" x14ac:dyDescent="0.3">
      <c r="A74" s="7"/>
      <c r="B74" s="355" t="str">
        <f>B63&amp;"-"&amp;B64</f>
        <v>2016-2017</v>
      </c>
      <c r="C74" s="356">
        <f>IF(C63=0,"",C64/C63-1)</f>
        <v>0.14300811316829631</v>
      </c>
      <c r="D74" s="356">
        <f>IF(D63=0,"",D64/D63-1)</f>
        <v>0.11429033251231524</v>
      </c>
      <c r="E74" s="356">
        <f>IF(E63=0,"",E64/E63-1)</f>
        <v>4.369999999999985E-2</v>
      </c>
      <c r="F74" s="356">
        <f>IF(F63=0,"",F64/F63-1)</f>
        <v>-9.9363025125120075E-2</v>
      </c>
      <c r="G74" s="7"/>
      <c r="H74" s="7"/>
      <c r="I74" s="7"/>
      <c r="J74" s="7"/>
      <c r="K74" s="7"/>
      <c r="L74" s="7"/>
    </row>
    <row r="75" spans="1:14" x14ac:dyDescent="0.3">
      <c r="B75" s="355" t="str">
        <f t="shared" ref="B75:B77" si="10">B64&amp;"-"&amp;B65</f>
        <v>2017-2018</v>
      </c>
      <c r="C75" s="356">
        <f>IF(C64=0,"",C65/C64-1)</f>
        <v>-0.14644294273195291</v>
      </c>
      <c r="D75" s="356">
        <f>IF(D64=0,"",D65/D64-1)</f>
        <v>-9.6126066464507942E-2</v>
      </c>
      <c r="E75" s="356">
        <f>IF(E64=0,"",E65/E64-1)</f>
        <v>0.42045253980020481</v>
      </c>
      <c r="F75" s="356"/>
      <c r="M75" s="7"/>
    </row>
    <row r="76" spans="1:14" x14ac:dyDescent="0.3">
      <c r="B76" s="355" t="str">
        <f t="shared" si="10"/>
        <v>2018-2019</v>
      </c>
      <c r="C76" s="356">
        <f>IF(C65=0,"",C66/C65-1)</f>
        <v>0.15726366275400738</v>
      </c>
      <c r="D76" s="356">
        <f>IF(D65=0,"",D66/D65-1)</f>
        <v>0.41061580308941314</v>
      </c>
      <c r="E76" s="356"/>
      <c r="F76" s="356" t="str">
        <f>IF(F65=0,"",F66/F65-1)</f>
        <v/>
      </c>
      <c r="M76" s="7"/>
    </row>
    <row r="77" spans="1:14" x14ac:dyDescent="0.3">
      <c r="B77" s="355" t="str">
        <f t="shared" si="10"/>
        <v>2019-2020</v>
      </c>
      <c r="C77" s="356">
        <f>IF(C66=0,"",C67/C66-1)</f>
        <v>0.41853123733549458</v>
      </c>
      <c r="D77" s="356"/>
      <c r="E77" s="356" t="str">
        <f>IF(E66=0,"",E67/E66-1)</f>
        <v/>
      </c>
      <c r="F77" s="356" t="str">
        <f>IF(F66=0,"",F67/F66-1)</f>
        <v/>
      </c>
      <c r="M77" s="7"/>
    </row>
    <row r="78" spans="1:14" x14ac:dyDescent="0.3">
      <c r="B78" s="46"/>
      <c r="C78" s="46"/>
      <c r="D78" s="46"/>
      <c r="E78" s="46"/>
      <c r="F78" s="46"/>
      <c r="G78" s="46"/>
      <c r="H78" s="46"/>
    </row>
    <row r="79" spans="1:14" x14ac:dyDescent="0.3">
      <c r="B79" s="46" t="s">
        <v>347</v>
      </c>
      <c r="C79" s="46"/>
      <c r="D79" s="46"/>
      <c r="E79" s="46"/>
      <c r="F79" s="46"/>
      <c r="G79" s="46"/>
      <c r="H79" s="46"/>
    </row>
    <row r="80" spans="1:14" x14ac:dyDescent="0.3">
      <c r="B80" s="46" t="s">
        <v>348</v>
      </c>
      <c r="C80" s="46"/>
      <c r="D80" s="46"/>
      <c r="E80" s="46"/>
      <c r="F80" s="46"/>
      <c r="G80" s="46"/>
      <c r="H80" s="46"/>
    </row>
    <row r="82" spans="1:12" x14ac:dyDescent="0.3">
      <c r="A82" s="26"/>
      <c r="B82" s="26"/>
      <c r="C82" s="26"/>
      <c r="D82" s="26"/>
      <c r="E82" s="26"/>
      <c r="F82" s="26"/>
      <c r="G82" s="26"/>
      <c r="H82" s="26"/>
      <c r="I82" s="26"/>
      <c r="J82" s="26"/>
      <c r="K82" s="26"/>
      <c r="L82" s="26"/>
    </row>
    <row r="83" spans="1:12" ht="15.6" customHeight="1" x14ac:dyDescent="0.3">
      <c r="A83" s="10" t="s">
        <v>119</v>
      </c>
      <c r="B83" s="10"/>
      <c r="C83" s="10"/>
      <c r="D83" s="10"/>
      <c r="E83" s="10"/>
      <c r="F83" s="10"/>
      <c r="G83" s="10"/>
      <c r="H83" s="10"/>
      <c r="I83" s="10"/>
      <c r="J83" s="10"/>
      <c r="K83" s="10"/>
      <c r="L83" s="26"/>
    </row>
    <row r="84" spans="1:12" x14ac:dyDescent="0.3">
      <c r="A84" s="26"/>
      <c r="B84" s="26"/>
      <c r="C84" s="26"/>
      <c r="D84" s="26"/>
      <c r="E84" s="26"/>
      <c r="F84" s="26"/>
      <c r="G84" s="26"/>
      <c r="H84" s="26"/>
      <c r="I84" s="26"/>
      <c r="J84" s="26"/>
      <c r="K84" s="26"/>
      <c r="L84" s="26"/>
    </row>
    <row r="86" spans="1:12" x14ac:dyDescent="0.3">
      <c r="A86" s="6" t="s">
        <v>1</v>
      </c>
      <c r="B86" s="9" t="s">
        <v>120</v>
      </c>
      <c r="C86" s="4"/>
      <c r="D86" s="4"/>
      <c r="E86" s="4"/>
      <c r="F86" s="4"/>
      <c r="G86" s="4"/>
      <c r="H86" s="4"/>
      <c r="I86" s="4"/>
      <c r="J86" s="4"/>
      <c r="K86" s="4"/>
      <c r="L86" s="4"/>
    </row>
    <row r="87" spans="1:12" x14ac:dyDescent="0.3">
      <c r="A87" s="7"/>
      <c r="B87" s="7"/>
      <c r="C87" s="7"/>
      <c r="D87" s="7"/>
      <c r="E87" s="7"/>
      <c r="F87" s="7"/>
      <c r="G87" s="7"/>
      <c r="H87" s="7"/>
      <c r="I87" s="7"/>
      <c r="J87" s="7"/>
      <c r="K87" s="7"/>
      <c r="L87" s="7"/>
    </row>
    <row r="88" spans="1:12" x14ac:dyDescent="0.3">
      <c r="A88" s="7" t="s">
        <v>2</v>
      </c>
      <c r="B88" s="7"/>
      <c r="C88" s="7"/>
      <c r="D88" s="7"/>
      <c r="E88" s="7"/>
      <c r="F88" s="7"/>
      <c r="G88" s="7"/>
      <c r="H88" s="7"/>
      <c r="I88" s="7"/>
      <c r="J88" s="7"/>
      <c r="K88" s="7"/>
      <c r="L88" s="7"/>
    </row>
    <row r="89" spans="1:12" x14ac:dyDescent="0.3">
      <c r="A89" s="7"/>
      <c r="B89" s="46" t="s">
        <v>360</v>
      </c>
      <c r="C89" s="46"/>
      <c r="D89" s="46"/>
      <c r="E89" s="46"/>
      <c r="F89" s="46"/>
      <c r="G89" s="46"/>
      <c r="K89" s="46"/>
      <c r="L89" s="122"/>
    </row>
    <row r="90" spans="1:12" x14ac:dyDescent="0.3">
      <c r="A90" s="7"/>
      <c r="B90" s="157" t="s">
        <v>349</v>
      </c>
      <c r="C90" s="214">
        <v>12</v>
      </c>
      <c r="D90" s="214">
        <v>24</v>
      </c>
      <c r="E90" s="214">
        <v>36</v>
      </c>
      <c r="F90" s="214">
        <v>48</v>
      </c>
      <c r="G90" s="214">
        <v>60</v>
      </c>
      <c r="K90" s="46"/>
      <c r="L90" s="122"/>
    </row>
    <row r="91" spans="1:12" x14ac:dyDescent="0.3">
      <c r="A91" s="7"/>
      <c r="B91" s="158">
        <v>2016</v>
      </c>
      <c r="C91" s="209">
        <f t="shared" ref="C91:D93" si="11">C92/1.05</f>
        <v>40.379208919582368</v>
      </c>
      <c r="D91" s="209">
        <f t="shared" si="11"/>
        <v>60.287912734330611</v>
      </c>
      <c r="E91" s="209">
        <f>E92/1.05</f>
        <v>26.070618723679946</v>
      </c>
      <c r="F91" s="209">
        <f>F92/1.05</f>
        <v>30.368968779564803</v>
      </c>
      <c r="G91" s="209">
        <f>G63</f>
        <v>60</v>
      </c>
      <c r="K91" s="46"/>
      <c r="L91" s="122"/>
    </row>
    <row r="92" spans="1:12" x14ac:dyDescent="0.3">
      <c r="A92" s="7"/>
      <c r="B92" s="158">
        <v>2017</v>
      </c>
      <c r="C92" s="209">
        <f t="shared" si="11"/>
        <v>42.398169365561486</v>
      </c>
      <c r="D92" s="209">
        <f t="shared" si="11"/>
        <v>63.302308371047147</v>
      </c>
      <c r="E92" s="209">
        <f>E93/1.05</f>
        <v>27.374149659863946</v>
      </c>
      <c r="F92" s="209">
        <f>F64</f>
        <v>31.887417218543046</v>
      </c>
      <c r="G92" s="209"/>
      <c r="K92" s="46"/>
      <c r="L92" s="122"/>
    </row>
    <row r="93" spans="1:12" x14ac:dyDescent="0.3">
      <c r="A93" s="7"/>
      <c r="B93" s="158">
        <v>2018</v>
      </c>
      <c r="C93" s="209">
        <f t="shared" si="11"/>
        <v>44.518077833839563</v>
      </c>
      <c r="D93" s="209">
        <f t="shared" si="11"/>
        <v>66.467423789599508</v>
      </c>
      <c r="E93" s="209">
        <f>E65</f>
        <v>28.742857142857144</v>
      </c>
      <c r="F93" s="209"/>
      <c r="G93" s="209"/>
      <c r="K93" s="46"/>
      <c r="L93" s="122"/>
    </row>
    <row r="94" spans="1:12" x14ac:dyDescent="0.3">
      <c r="A94" s="7"/>
      <c r="B94" s="158">
        <v>2019</v>
      </c>
      <c r="C94" s="209">
        <f>C95/1.05</f>
        <v>46.74398172553154</v>
      </c>
      <c r="D94" s="209">
        <f>D66</f>
        <v>69.790794979079493</v>
      </c>
      <c r="E94" s="209"/>
      <c r="F94" s="209"/>
      <c r="G94" s="209"/>
      <c r="K94" s="46"/>
      <c r="L94" s="122"/>
    </row>
    <row r="95" spans="1:12" x14ac:dyDescent="0.3">
      <c r="A95" s="7"/>
      <c r="B95" s="158">
        <v>2020</v>
      </c>
      <c r="C95" s="209">
        <f>C67</f>
        <v>49.081180811808117</v>
      </c>
      <c r="D95" s="209"/>
      <c r="E95" s="209"/>
      <c r="F95" s="209"/>
      <c r="G95" s="209"/>
      <c r="K95" s="46"/>
      <c r="L95" s="122"/>
    </row>
    <row r="96" spans="1:12" x14ac:dyDescent="0.3">
      <c r="A96" s="7"/>
      <c r="B96" s="46"/>
      <c r="C96" s="46"/>
      <c r="D96" s="46"/>
      <c r="E96" s="46"/>
      <c r="F96" s="46"/>
      <c r="G96" s="46"/>
      <c r="K96" s="46"/>
      <c r="L96" s="122"/>
    </row>
    <row r="97" spans="1:12" x14ac:dyDescent="0.3">
      <c r="A97" s="7"/>
      <c r="B97" s="46" t="s">
        <v>361</v>
      </c>
      <c r="C97" s="46"/>
      <c r="D97" s="46"/>
      <c r="E97" s="46"/>
      <c r="F97" s="46"/>
      <c r="G97" s="46"/>
      <c r="K97" s="46"/>
      <c r="L97" s="122"/>
    </row>
    <row r="98" spans="1:12" x14ac:dyDescent="0.3">
      <c r="A98" s="7"/>
      <c r="B98" s="157" t="s">
        <v>349</v>
      </c>
      <c r="C98" s="214">
        <v>12</v>
      </c>
      <c r="D98" s="214">
        <v>24</v>
      </c>
      <c r="E98" s="214">
        <v>36</v>
      </c>
      <c r="F98" s="214">
        <v>48</v>
      </c>
      <c r="G98" s="214">
        <v>60</v>
      </c>
      <c r="K98" s="46"/>
      <c r="L98" s="122"/>
    </row>
    <row r="99" spans="1:12" x14ac:dyDescent="0.3">
      <c r="A99" s="7"/>
      <c r="B99" s="158">
        <v>2016</v>
      </c>
      <c r="C99" s="210">
        <f>C91*C55</f>
        <v>10014.043812056427</v>
      </c>
      <c r="D99" s="210">
        <f>D91*D55</f>
        <v>13745.644103427379</v>
      </c>
      <c r="E99" s="210">
        <f>E91*E55</f>
        <v>5109.8412698412694</v>
      </c>
      <c r="F99" s="210">
        <f>F91*F55</f>
        <v>4494.6073793755904</v>
      </c>
      <c r="G99" s="210">
        <f>G91*G55</f>
        <v>3600</v>
      </c>
      <c r="K99" s="46"/>
      <c r="L99" s="122"/>
    </row>
    <row r="100" spans="1:12" x14ac:dyDescent="0.3">
      <c r="A100" s="7"/>
      <c r="B100" s="158">
        <v>2017</v>
      </c>
      <c r="C100" s="210">
        <f>C92*C56</f>
        <v>10726.736849487055</v>
      </c>
      <c r="D100" s="210">
        <f>D92*D56</f>
        <v>14686.135542082939</v>
      </c>
      <c r="E100" s="210">
        <f>E92*E56</f>
        <v>5474.8299319727894</v>
      </c>
      <c r="F100" s="210">
        <f>F92*F56</f>
        <v>4815</v>
      </c>
      <c r="G100" s="210"/>
      <c r="K100" s="46"/>
      <c r="L100" s="122"/>
    </row>
    <row r="101" spans="1:12" x14ac:dyDescent="0.3">
      <c r="A101" s="7"/>
      <c r="B101" s="158">
        <v>2018</v>
      </c>
      <c r="C101" s="210">
        <f>C93*C57</f>
        <v>11797.290625967484</v>
      </c>
      <c r="D101" s="210">
        <f>D93*D57</f>
        <v>16218.051404662279</v>
      </c>
      <c r="E101" s="210">
        <f>E93*E57</f>
        <v>6036</v>
      </c>
      <c r="F101" s="210"/>
      <c r="G101" s="210"/>
      <c r="K101" s="46"/>
      <c r="L101" s="122"/>
    </row>
    <row r="102" spans="1:12" x14ac:dyDescent="0.3">
      <c r="A102" s="7"/>
      <c r="B102" s="158">
        <v>2019</v>
      </c>
      <c r="C102" s="210">
        <f>C94*C58</f>
        <v>12153.435248638201</v>
      </c>
      <c r="D102" s="210">
        <f>D94*D58</f>
        <v>16680</v>
      </c>
      <c r="E102" s="210"/>
      <c r="F102" s="210"/>
      <c r="G102" s="210"/>
      <c r="K102" s="46"/>
      <c r="L102" s="122"/>
    </row>
    <row r="103" spans="1:12" x14ac:dyDescent="0.3">
      <c r="A103" s="7"/>
      <c r="B103" s="158">
        <v>2020</v>
      </c>
      <c r="C103" s="210">
        <f>C95*C59</f>
        <v>13301</v>
      </c>
      <c r="D103" s="210"/>
      <c r="E103" s="210"/>
      <c r="F103" s="210"/>
      <c r="G103" s="210"/>
      <c r="K103" s="46"/>
      <c r="L103" s="122"/>
    </row>
    <row r="104" spans="1:12" x14ac:dyDescent="0.3">
      <c r="A104" s="7"/>
      <c r="B104" s="46"/>
      <c r="C104" s="46"/>
      <c r="D104" s="46"/>
      <c r="E104" s="46"/>
      <c r="F104" s="46"/>
      <c r="G104" s="46"/>
      <c r="K104" s="46"/>
      <c r="L104" s="122"/>
    </row>
    <row r="105" spans="1:12" x14ac:dyDescent="0.3">
      <c r="A105" s="7"/>
      <c r="B105" s="46" t="s">
        <v>362</v>
      </c>
      <c r="C105" s="46"/>
      <c r="D105" s="46"/>
      <c r="E105" s="46"/>
      <c r="F105" s="46"/>
      <c r="G105" s="46"/>
      <c r="K105" s="46"/>
      <c r="L105" s="122"/>
    </row>
    <row r="106" spans="1:12" x14ac:dyDescent="0.3">
      <c r="A106" s="7"/>
      <c r="B106" s="157" t="s">
        <v>349</v>
      </c>
      <c r="C106" s="214">
        <v>12</v>
      </c>
      <c r="D106" s="214">
        <v>24</v>
      </c>
      <c r="E106" s="214">
        <v>36</v>
      </c>
      <c r="F106" s="214">
        <v>48</v>
      </c>
      <c r="G106" s="214">
        <v>60</v>
      </c>
      <c r="K106" s="46"/>
      <c r="L106" s="122"/>
    </row>
    <row r="107" spans="1:12" x14ac:dyDescent="0.3">
      <c r="A107" s="7"/>
      <c r="B107" s="158">
        <v>2016</v>
      </c>
      <c r="C107" s="210">
        <f>C99+C16</f>
        <v>34414.043812056429</v>
      </c>
      <c r="D107" s="210">
        <f>D99+D16</f>
        <v>56545.644103427381</v>
      </c>
      <c r="E107" s="210">
        <f>E99+E16</f>
        <v>62709.841269841272</v>
      </c>
      <c r="F107" s="210">
        <f>F99+F16</f>
        <v>69494.607379375593</v>
      </c>
      <c r="G107" s="210">
        <f>G99+G16</f>
        <v>76000</v>
      </c>
      <c r="K107" s="46"/>
      <c r="L107" s="122"/>
    </row>
    <row r="108" spans="1:12" x14ac:dyDescent="0.3">
      <c r="A108" s="7"/>
      <c r="B108" s="158">
        <v>2017</v>
      </c>
      <c r="C108" s="210">
        <f>C100+C17</f>
        <v>36691.736849487053</v>
      </c>
      <c r="D108" s="210">
        <f>D100+D17</f>
        <v>60257.135542082935</v>
      </c>
      <c r="E108" s="210">
        <f>E100+E17</f>
        <v>66815.829931972796</v>
      </c>
      <c r="F108" s="210">
        <f>F100+F17</f>
        <v>74040</v>
      </c>
      <c r="G108" s="210"/>
      <c r="K108" s="46"/>
      <c r="L108" s="122"/>
    </row>
    <row r="109" spans="1:12" x14ac:dyDescent="0.3">
      <c r="A109" s="7"/>
      <c r="B109" s="158">
        <v>2018</v>
      </c>
      <c r="C109" s="210">
        <f>C101+C18</f>
        <v>39872.290625967486</v>
      </c>
      <c r="D109" s="210">
        <f>D101+D18</f>
        <v>65494.051404662277</v>
      </c>
      <c r="E109" s="210">
        <f>E101+E18</f>
        <v>72363</v>
      </c>
      <c r="F109" s="210"/>
      <c r="G109" s="210"/>
      <c r="K109" s="46"/>
      <c r="L109" s="122"/>
    </row>
    <row r="110" spans="1:12" x14ac:dyDescent="0.3">
      <c r="A110" s="7"/>
      <c r="B110" s="158">
        <v>2019</v>
      </c>
      <c r="C110" s="210">
        <f>C102+C19</f>
        <v>40977.435248638198</v>
      </c>
      <c r="D110" s="210">
        <f>D102+D19</f>
        <v>67306</v>
      </c>
      <c r="E110" s="210"/>
      <c r="F110" s="210"/>
      <c r="G110" s="210"/>
      <c r="K110" s="46"/>
      <c r="L110" s="122"/>
    </row>
    <row r="111" spans="1:12" x14ac:dyDescent="0.3">
      <c r="A111" s="7"/>
      <c r="B111" s="158">
        <v>2020</v>
      </c>
      <c r="C111" s="210">
        <f>C103+C20</f>
        <v>44192</v>
      </c>
      <c r="D111" s="210"/>
      <c r="E111" s="210"/>
      <c r="F111" s="210"/>
      <c r="G111" s="210"/>
      <c r="K111" s="46"/>
      <c r="L111" s="122"/>
    </row>
    <row r="112" spans="1:12" x14ac:dyDescent="0.3">
      <c r="A112" s="7"/>
      <c r="B112" s="46"/>
      <c r="C112" s="46"/>
      <c r="D112" s="46"/>
      <c r="E112" s="46"/>
      <c r="F112" s="46"/>
      <c r="G112" s="46"/>
      <c r="K112" s="46"/>
      <c r="L112" s="122"/>
    </row>
    <row r="113" spans="1:12" x14ac:dyDescent="0.3">
      <c r="A113" s="7"/>
      <c r="B113" s="46" t="s">
        <v>363</v>
      </c>
      <c r="C113" s="46"/>
      <c r="D113" s="46"/>
      <c r="E113" s="46"/>
      <c r="F113" s="46"/>
      <c r="G113" s="46"/>
      <c r="K113" s="46"/>
      <c r="L113" s="122"/>
    </row>
    <row r="114" spans="1:12" x14ac:dyDescent="0.3">
      <c r="A114" s="7"/>
      <c r="B114" s="157" t="s">
        <v>349</v>
      </c>
      <c r="C114" s="157" t="s">
        <v>355</v>
      </c>
      <c r="D114" s="157" t="s">
        <v>356</v>
      </c>
      <c r="E114" s="157" t="s">
        <v>357</v>
      </c>
      <c r="F114" s="157" t="s">
        <v>358</v>
      </c>
      <c r="G114" s="157" t="s">
        <v>359</v>
      </c>
      <c r="K114" s="46"/>
      <c r="L114" s="122"/>
    </row>
    <row r="115" spans="1:12" x14ac:dyDescent="0.3">
      <c r="A115" s="7"/>
      <c r="B115" s="158">
        <v>2016</v>
      </c>
      <c r="C115" s="211">
        <f>D107/C107</f>
        <v>1.6430979286316096</v>
      </c>
      <c r="D115" s="211">
        <f>E107/D107</f>
        <v>1.1090127677233454</v>
      </c>
      <c r="E115" s="211">
        <f>F107/E107</f>
        <v>1.1081930040348753</v>
      </c>
      <c r="F115" s="211">
        <f>G107/F107</f>
        <v>1.0936100348781173</v>
      </c>
      <c r="G115" s="215"/>
      <c r="K115" s="46"/>
      <c r="L115" s="122"/>
    </row>
    <row r="116" spans="1:12" x14ac:dyDescent="0.3">
      <c r="A116" s="7"/>
      <c r="B116" s="158">
        <v>2017</v>
      </c>
      <c r="C116" s="211">
        <f>D108/C108</f>
        <v>1.6422535621375287</v>
      </c>
      <c r="D116" s="211">
        <f>E108/D108</f>
        <v>1.1088451074032442</v>
      </c>
      <c r="E116" s="211">
        <f>F108/E108</f>
        <v>1.1081206366123468</v>
      </c>
      <c r="F116" s="211"/>
      <c r="G116" s="215"/>
      <c r="K116" s="46"/>
      <c r="L116" s="122"/>
    </row>
    <row r="117" spans="1:12" x14ac:dyDescent="0.3">
      <c r="A117" s="7"/>
      <c r="B117" s="158">
        <v>2018</v>
      </c>
      <c r="C117" s="211">
        <f>D109/C109</f>
        <v>1.6425956566941804</v>
      </c>
      <c r="D117" s="211">
        <f>E109/D109</f>
        <v>1.1048789691280076</v>
      </c>
      <c r="E117" s="211"/>
      <c r="F117" s="211"/>
      <c r="G117" s="215"/>
      <c r="K117" s="46"/>
      <c r="L117" s="122"/>
    </row>
    <row r="118" spans="1:12" x14ac:dyDescent="0.3">
      <c r="A118" s="7"/>
      <c r="B118" s="158">
        <v>2019</v>
      </c>
      <c r="C118" s="211">
        <f>D110/C110</f>
        <v>1.6425137296077303</v>
      </c>
      <c r="D118" s="211"/>
      <c r="E118" s="211"/>
      <c r="F118" s="211"/>
      <c r="G118" s="215"/>
      <c r="K118" s="46"/>
      <c r="L118" s="122"/>
    </row>
    <row r="119" spans="1:12" x14ac:dyDescent="0.3">
      <c r="A119" s="7"/>
      <c r="B119" s="157">
        <v>2020</v>
      </c>
      <c r="C119" s="212"/>
      <c r="D119" s="212"/>
      <c r="E119" s="212"/>
      <c r="F119" s="212"/>
      <c r="G119" s="216"/>
      <c r="K119" s="46"/>
      <c r="L119" s="122"/>
    </row>
    <row r="120" spans="1:12" x14ac:dyDescent="0.3">
      <c r="A120" s="7"/>
      <c r="B120" s="46" t="s">
        <v>350</v>
      </c>
      <c r="C120" s="215">
        <f>AVERAGE(C115:C119)</f>
        <v>1.6426152192677623</v>
      </c>
      <c r="D120" s="215">
        <f>AVERAGE(D115:D119)</f>
        <v>1.1075789480848657</v>
      </c>
      <c r="E120" s="215">
        <f>AVERAGE(E115:E119)</f>
        <v>1.108156820323611</v>
      </c>
      <c r="F120" s="215">
        <f>AVERAGE(F115:F119)</f>
        <v>1.0936100348781173</v>
      </c>
      <c r="G120" s="215">
        <v>1</v>
      </c>
      <c r="K120" s="46"/>
      <c r="L120" s="122"/>
    </row>
    <row r="121" spans="1:12" x14ac:dyDescent="0.3">
      <c r="A121" s="7"/>
      <c r="B121" s="46" t="s">
        <v>351</v>
      </c>
      <c r="C121" s="215">
        <f t="shared" ref="C121:E121" si="12">C120*D121</f>
        <v>2.2048256120600169</v>
      </c>
      <c r="D121" s="215">
        <f t="shared" si="12"/>
        <v>1.3422654229655038</v>
      </c>
      <c r="E121" s="215">
        <f t="shared" si="12"/>
        <v>1.2118914189245278</v>
      </c>
      <c r="F121" s="215">
        <f>F120*G121</f>
        <v>1.0936100348781173</v>
      </c>
      <c r="G121" s="215">
        <f>G120</f>
        <v>1</v>
      </c>
      <c r="K121" s="46"/>
      <c r="L121" s="122"/>
    </row>
    <row r="122" spans="1:12" x14ac:dyDescent="0.3">
      <c r="A122" s="7"/>
      <c r="B122" s="46"/>
      <c r="C122" s="46"/>
      <c r="D122" s="46"/>
      <c r="E122" s="217"/>
      <c r="F122" s="217"/>
      <c r="G122" s="46"/>
      <c r="K122" s="46"/>
      <c r="L122" s="122"/>
    </row>
    <row r="123" spans="1:12" ht="62.4" x14ac:dyDescent="0.3">
      <c r="A123" s="7"/>
      <c r="B123" s="157" t="s">
        <v>349</v>
      </c>
      <c r="C123" s="156" t="s">
        <v>352</v>
      </c>
      <c r="D123" s="156" t="s">
        <v>353</v>
      </c>
      <c r="E123" s="156" t="s">
        <v>306</v>
      </c>
      <c r="F123" s="157" t="s">
        <v>354</v>
      </c>
      <c r="G123" s="133"/>
      <c r="K123" s="46"/>
      <c r="L123" s="122"/>
    </row>
    <row r="124" spans="1:12" x14ac:dyDescent="0.3">
      <c r="A124" s="7"/>
      <c r="B124" s="158">
        <v>2016</v>
      </c>
      <c r="C124" s="210">
        <f>G107</f>
        <v>76000</v>
      </c>
      <c r="D124" s="211">
        <f>G121</f>
        <v>1</v>
      </c>
      <c r="E124" s="210">
        <f>C124*D124</f>
        <v>76000</v>
      </c>
      <c r="F124" s="210">
        <f>E124-C124</f>
        <v>0</v>
      </c>
      <c r="G124" s="133"/>
      <c r="K124" s="46"/>
      <c r="L124" s="122"/>
    </row>
    <row r="125" spans="1:12" x14ac:dyDescent="0.3">
      <c r="A125" s="7"/>
      <c r="B125" s="158">
        <v>2017</v>
      </c>
      <c r="C125" s="210">
        <f>F108</f>
        <v>74040</v>
      </c>
      <c r="D125" s="211">
        <f>F121</f>
        <v>1.0936100348781173</v>
      </c>
      <c r="E125" s="210">
        <f>C125*D125</f>
        <v>80970.8869823758</v>
      </c>
      <c r="F125" s="210">
        <f>E125-C125</f>
        <v>6930.8869823757996</v>
      </c>
      <c r="G125" s="133"/>
      <c r="K125" s="46"/>
      <c r="L125" s="122"/>
    </row>
    <row r="126" spans="1:12" x14ac:dyDescent="0.3">
      <c r="A126" s="7"/>
      <c r="B126" s="158">
        <v>2018</v>
      </c>
      <c r="C126" s="210">
        <f>E109</f>
        <v>72363</v>
      </c>
      <c r="D126" s="211">
        <f>E121</f>
        <v>1.2118914189245278</v>
      </c>
      <c r="E126" s="210">
        <f>C126*D126</f>
        <v>87696.098747635609</v>
      </c>
      <c r="F126" s="210">
        <f>E126-C126</f>
        <v>15333.098747635609</v>
      </c>
      <c r="G126" s="133"/>
      <c r="K126" s="46"/>
      <c r="L126" s="122"/>
    </row>
    <row r="127" spans="1:12" x14ac:dyDescent="0.3">
      <c r="A127" s="7"/>
      <c r="B127" s="158">
        <v>2019</v>
      </c>
      <c r="C127" s="210">
        <f>D110</f>
        <v>67306</v>
      </c>
      <c r="D127" s="211">
        <f>D121</f>
        <v>1.3422654229655038</v>
      </c>
      <c r="E127" s="210">
        <f>C127*D127</f>
        <v>90342.5165581162</v>
      </c>
      <c r="F127" s="210">
        <f>E127-C127</f>
        <v>23036.5165581162</v>
      </c>
      <c r="G127" s="133"/>
      <c r="K127" s="46"/>
      <c r="L127" s="122"/>
    </row>
    <row r="128" spans="1:12" x14ac:dyDescent="0.3">
      <c r="A128" s="7"/>
      <c r="B128" s="157">
        <v>2020</v>
      </c>
      <c r="C128" s="213">
        <f>C111</f>
        <v>44192</v>
      </c>
      <c r="D128" s="212">
        <f>C121</f>
        <v>2.2048256120600169</v>
      </c>
      <c r="E128" s="213">
        <f>C128*D128</f>
        <v>97435.65344815627</v>
      </c>
      <c r="F128" s="213">
        <f>E128-C128</f>
        <v>53243.65344815627</v>
      </c>
      <c r="G128" s="133"/>
      <c r="K128" s="46"/>
      <c r="L128" s="122"/>
    </row>
    <row r="129" spans="1:12" x14ac:dyDescent="0.3">
      <c r="A129" s="7"/>
      <c r="B129" s="158" t="s">
        <v>44</v>
      </c>
      <c r="C129" s="46"/>
      <c r="D129" s="46"/>
      <c r="E129" s="210">
        <f>SUM(E124:E128)</f>
        <v>432445.15573628386</v>
      </c>
      <c r="F129" s="210">
        <f>SUM(F124:F128)</f>
        <v>98544.155736283879</v>
      </c>
      <c r="G129" s="133"/>
      <c r="K129" s="46"/>
      <c r="L129" s="122"/>
    </row>
    <row r="131" spans="1:12" x14ac:dyDescent="0.3">
      <c r="A131" s="5" t="s">
        <v>238</v>
      </c>
      <c r="B131" s="3"/>
      <c r="C131" s="3"/>
      <c r="D131" s="3"/>
      <c r="E131" s="3"/>
      <c r="F131" s="4"/>
      <c r="G131" s="4"/>
      <c r="H131" s="4"/>
      <c r="I131" s="4"/>
      <c r="J131" s="4"/>
      <c r="K131" s="4"/>
      <c r="L131" s="4"/>
    </row>
  </sheetData>
  <mergeCells count="8">
    <mergeCell ref="A3:L4"/>
    <mergeCell ref="C45:G45"/>
    <mergeCell ref="C53:G53"/>
    <mergeCell ref="C61:G61"/>
    <mergeCell ref="C6:G6"/>
    <mergeCell ref="C14:G14"/>
    <mergeCell ref="C22:G22"/>
    <mergeCell ref="C30:G30"/>
  </mergeCells>
  <pageMargins left="0.7" right="0.7" top="0.75" bottom="0.75" header="0.3" footer="0.3"/>
  <pageSetup scale="7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Scott Lennox</cp:lastModifiedBy>
  <cp:lastPrinted>2021-02-09T20:59:14Z</cp:lastPrinted>
  <dcterms:created xsi:type="dcterms:W3CDTF">2016-11-07T18:30:57Z</dcterms:created>
  <dcterms:modified xsi:type="dcterms:W3CDTF">2021-09-02T14:07:20Z</dcterms:modified>
</cp:coreProperties>
</file>