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ducation\Exams\0-Examinations\Exams\2024\Fall24\"/>
    </mc:Choice>
  </mc:AlternateContent>
  <xr:revisionPtr revIDLastSave="0" documentId="13_ncr:1_{64A222CF-692F-4BD8-9BF9-4FF3C9353A7B}" xr6:coauthVersionLast="47" xr6:coauthVersionMax="47" xr10:uidLastSave="{00000000-0000-0000-0000-000000000000}"/>
  <bookViews>
    <workbookView xWindow="-120" yWindow="-120" windowWidth="29040" windowHeight="15840" xr2:uid="{5B99CA1A-AC61-44B4-99BE-016C39E29269}"/>
  </bookViews>
  <sheets>
    <sheet name="Candidate #" sheetId="2" r:id="rId1"/>
    <sheet name="Q5" sheetId="6" r:id="rId2"/>
    <sheet name="Q10" sheetId="3" r:id="rId3"/>
    <sheet name="Q11" sheetId="5" r:id="rId4"/>
  </sheets>
  <externalReferences>
    <externalReference r:id="rId5"/>
    <externalReference r:id="rId6"/>
    <externalReference r:id="rId7"/>
  </externalReferences>
  <definedNames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2</definedName>
    <definedName name="_AtRisk_SimSetting_MultipleCPUManualCount" hidden="1">2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CurrentStock" localSheetId="1">[1]Q10!$C$95</definedName>
    <definedName name="CurrentStock">'Q10'!$C$96</definedName>
    <definedName name="InterestRate" localSheetId="1">[1]Q10!$C$96</definedName>
    <definedName name="InterestRate">'Q10'!$C$97</definedName>
    <definedName name="rate" localSheetId="1">'[2]Question (a)'!$C$3</definedName>
    <definedName name="rate">'[3]Question (a)'!$C$3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Strike" localSheetId="1">'[2]Question (a)'!$C$1</definedName>
    <definedName name="Strike">'[3]Question (a)'!$C$1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6" l="1"/>
  <c r="E79" i="6" s="1"/>
  <c r="G79" i="6" s="1"/>
  <c r="H79" i="6"/>
  <c r="I79" i="6"/>
  <c r="I80" i="6" s="1"/>
  <c r="I81" i="6" s="1"/>
  <c r="I82" i="6" s="1"/>
  <c r="I83" i="6" s="1"/>
  <c r="I84" i="6" s="1"/>
  <c r="I85" i="6" s="1"/>
  <c r="I86" i="6" s="1"/>
  <c r="I87" i="6" s="1"/>
  <c r="I88" i="6" s="1"/>
  <c r="I89" i="6" s="1"/>
  <c r="I90" i="6" s="1"/>
  <c r="I91" i="6" s="1"/>
  <c r="I92" i="6" s="1"/>
  <c r="I93" i="6" s="1"/>
  <c r="I94" i="6" s="1"/>
  <c r="I95" i="6" s="1"/>
  <c r="I96" i="6" s="1"/>
  <c r="I97" i="6" s="1"/>
  <c r="I98" i="6" s="1"/>
  <c r="I99" i="6" s="1"/>
  <c r="I100" i="6" s="1"/>
  <c r="I101" i="6" s="1"/>
  <c r="I102" i="6" s="1"/>
  <c r="I103" i="6" s="1"/>
  <c r="I104" i="6" s="1"/>
  <c r="I105" i="6" s="1"/>
  <c r="I106" i="6" s="1"/>
  <c r="I107" i="6" s="1"/>
  <c r="I108" i="6" s="1"/>
  <c r="I109" i="6" s="1"/>
  <c r="C80" i="6"/>
  <c r="C81" i="6" s="1"/>
  <c r="C113" i="6"/>
  <c r="B114" i="6"/>
  <c r="C114" i="6" s="1"/>
  <c r="C82" i="6" l="1"/>
  <c r="F81" i="6"/>
  <c r="E81" i="6" s="1"/>
  <c r="G81" i="6" s="1"/>
  <c r="H81" i="6" s="1"/>
  <c r="F80" i="6"/>
  <c r="E80" i="6" s="1"/>
  <c r="G80" i="6" s="1"/>
  <c r="H80" i="6" s="1"/>
  <c r="B115" i="6"/>
  <c r="F82" i="6" l="1"/>
  <c r="E82" i="6" s="1"/>
  <c r="G82" i="6" s="1"/>
  <c r="H82" i="6" s="1"/>
  <c r="C83" i="6"/>
  <c r="B116" i="6"/>
  <c r="C115" i="6"/>
  <c r="C116" i="6" l="1"/>
  <c r="B117" i="6"/>
  <c r="F83" i="6"/>
  <c r="E83" i="6" s="1"/>
  <c r="G83" i="6" s="1"/>
  <c r="H83" i="6" s="1"/>
  <c r="C84" i="6"/>
  <c r="C85" i="6" l="1"/>
  <c r="F84" i="6"/>
  <c r="E84" i="6" s="1"/>
  <c r="G84" i="6" s="1"/>
  <c r="H84" i="6" s="1"/>
  <c r="C117" i="6"/>
  <c r="B118" i="6"/>
  <c r="C118" i="6" l="1"/>
  <c r="B119" i="6"/>
  <c r="C86" i="6"/>
  <c r="F85" i="6"/>
  <c r="E85" i="6" s="1"/>
  <c r="G85" i="6" s="1"/>
  <c r="H85" i="6" s="1"/>
  <c r="F86" i="6" l="1"/>
  <c r="E86" i="6" s="1"/>
  <c r="G86" i="6" s="1"/>
  <c r="H86" i="6" s="1"/>
  <c r="C87" i="6"/>
  <c r="C119" i="6"/>
  <c r="B120" i="6"/>
  <c r="F87" i="6" l="1"/>
  <c r="E87" i="6" s="1"/>
  <c r="G87" i="6" s="1"/>
  <c r="H87" i="6" s="1"/>
  <c r="C88" i="6"/>
  <c r="C120" i="6"/>
  <c r="B121" i="6"/>
  <c r="C121" i="6" l="1"/>
  <c r="B122" i="6"/>
  <c r="C89" i="6"/>
  <c r="F88" i="6"/>
  <c r="E88" i="6" s="1"/>
  <c r="G88" i="6" s="1"/>
  <c r="H88" i="6" s="1"/>
  <c r="C90" i="6" l="1"/>
  <c r="F89" i="6"/>
  <c r="E89" i="6" s="1"/>
  <c r="G89" i="6" s="1"/>
  <c r="H89" i="6" s="1"/>
  <c r="C122" i="6"/>
  <c r="B123" i="6"/>
  <c r="C123" i="6" l="1"/>
  <c r="B124" i="6"/>
  <c r="F90" i="6"/>
  <c r="E90" i="6" s="1"/>
  <c r="G90" i="6" s="1"/>
  <c r="H90" i="6" s="1"/>
  <c r="C91" i="6"/>
  <c r="F91" i="6" l="1"/>
  <c r="E91" i="6" s="1"/>
  <c r="G91" i="6" s="1"/>
  <c r="H91" i="6" s="1"/>
  <c r="C92" i="6"/>
  <c r="C124" i="6"/>
  <c r="B125" i="6"/>
  <c r="C125" i="6" s="1"/>
  <c r="C93" i="6" l="1"/>
  <c r="F92" i="6"/>
  <c r="E92" i="6" s="1"/>
  <c r="G92" i="6" s="1"/>
  <c r="H92" i="6" s="1"/>
  <c r="C94" i="6" l="1"/>
  <c r="F93" i="6"/>
  <c r="E93" i="6" s="1"/>
  <c r="G93" i="6" s="1"/>
  <c r="H93" i="6" s="1"/>
  <c r="F94" i="6" l="1"/>
  <c r="E94" i="6" s="1"/>
  <c r="G94" i="6" s="1"/>
  <c r="H94" i="6" s="1"/>
  <c r="C95" i="6"/>
  <c r="F95" i="6" l="1"/>
  <c r="E95" i="6" s="1"/>
  <c r="G95" i="6" s="1"/>
  <c r="H95" i="6" s="1"/>
  <c r="C96" i="6"/>
  <c r="C97" i="6" l="1"/>
  <c r="F96" i="6"/>
  <c r="E96" i="6" s="1"/>
  <c r="G96" i="6" s="1"/>
  <c r="H96" i="6" s="1"/>
  <c r="C98" i="6" l="1"/>
  <c r="F97" i="6"/>
  <c r="E97" i="6" s="1"/>
  <c r="G97" i="6" s="1"/>
  <c r="H97" i="6" s="1"/>
  <c r="F98" i="6" l="1"/>
  <c r="E98" i="6" s="1"/>
  <c r="G98" i="6" s="1"/>
  <c r="H98" i="6" s="1"/>
  <c r="C99" i="6"/>
  <c r="F99" i="6" l="1"/>
  <c r="E99" i="6" s="1"/>
  <c r="G99" i="6" s="1"/>
  <c r="H99" i="6" s="1"/>
  <c r="C100" i="6"/>
  <c r="C101" i="6" l="1"/>
  <c r="F100" i="6"/>
  <c r="E100" i="6" s="1"/>
  <c r="G100" i="6" s="1"/>
  <c r="H100" i="6" s="1"/>
  <c r="C102" i="6" l="1"/>
  <c r="F101" i="6"/>
  <c r="E101" i="6" s="1"/>
  <c r="G101" i="6" s="1"/>
  <c r="H101" i="6" s="1"/>
  <c r="F102" i="6" l="1"/>
  <c r="E102" i="6" s="1"/>
  <c r="G102" i="6" s="1"/>
  <c r="H102" i="6" s="1"/>
  <c r="C103" i="6"/>
  <c r="F103" i="6" l="1"/>
  <c r="E103" i="6" s="1"/>
  <c r="G103" i="6" s="1"/>
  <c r="H103" i="6" s="1"/>
  <c r="C104" i="6"/>
  <c r="C105" i="6" l="1"/>
  <c r="F104" i="6"/>
  <c r="E104" i="6" s="1"/>
  <c r="G104" i="6" s="1"/>
  <c r="H104" i="6" s="1"/>
  <c r="C106" i="6" l="1"/>
  <c r="F105" i="6"/>
  <c r="E105" i="6" s="1"/>
  <c r="G105" i="6" s="1"/>
  <c r="H105" i="6" s="1"/>
  <c r="F106" i="6" l="1"/>
  <c r="E106" i="6" s="1"/>
  <c r="G106" i="6" s="1"/>
  <c r="H106" i="6" s="1"/>
  <c r="C107" i="6"/>
  <c r="F107" i="6" l="1"/>
  <c r="E107" i="6" s="1"/>
  <c r="G107" i="6" s="1"/>
  <c r="H107" i="6" s="1"/>
  <c r="C108" i="6"/>
  <c r="C109" i="6" l="1"/>
  <c r="F109" i="6" s="1"/>
  <c r="E109" i="6" s="1"/>
  <c r="G109" i="6" s="1"/>
  <c r="H109" i="6" s="1"/>
  <c r="F108" i="6"/>
  <c r="E108" i="6" s="1"/>
  <c r="G108" i="6" s="1"/>
  <c r="H108" i="6" s="1"/>
  <c r="C144" i="5" l="1"/>
  <c r="C132" i="5"/>
  <c r="H110" i="5"/>
  <c r="C121" i="5"/>
  <c r="C148" i="5"/>
  <c r="C147" i="5"/>
  <c r="C146" i="5"/>
  <c r="C136" i="5"/>
  <c r="C135" i="5"/>
  <c r="C134" i="5"/>
  <c r="C125" i="5"/>
  <c r="C124" i="5"/>
  <c r="C123" i="5"/>
  <c r="H116" i="5"/>
  <c r="D102" i="3"/>
  <c r="D103" i="3"/>
  <c r="C105" i="3"/>
  <c r="C104" i="3"/>
  <c r="D104" i="3" s="1"/>
  <c r="E101" i="3"/>
  <c r="E103" i="3" s="1"/>
  <c r="F147" i="5" l="1"/>
  <c r="F121" i="5"/>
  <c r="F123" i="5" s="1"/>
  <c r="L123" i="5" s="1"/>
  <c r="F134" i="5"/>
  <c r="F144" i="5"/>
  <c r="F145" i="5" s="1"/>
  <c r="F135" i="5"/>
  <c r="F132" i="5"/>
  <c r="F133" i="5" s="1"/>
  <c r="F146" i="5"/>
  <c r="E102" i="3"/>
  <c r="D105" i="3"/>
  <c r="D106" i="3" s="1"/>
  <c r="E105" i="3"/>
  <c r="E104" i="3"/>
  <c r="F101" i="3"/>
  <c r="F105" i="3" s="1"/>
  <c r="E106" i="3" l="1"/>
  <c r="F122" i="5"/>
  <c r="I122" i="5" s="1"/>
  <c r="I121" i="5"/>
  <c r="I123" i="5"/>
  <c r="L121" i="5"/>
  <c r="F137" i="5"/>
  <c r="H114" i="5" s="1"/>
  <c r="F149" i="5"/>
  <c r="F151" i="5" s="1"/>
  <c r="H115" i="5" s="1"/>
  <c r="F103" i="3"/>
  <c r="F102" i="3"/>
  <c r="F104" i="3"/>
  <c r="G101" i="3"/>
  <c r="F106" i="3" l="1"/>
  <c r="F126" i="5"/>
  <c r="H113" i="5" s="1"/>
  <c r="H111" i="5" s="1"/>
  <c r="F124" i="5"/>
  <c r="I124" i="5" s="1"/>
  <c r="I126" i="5" s="1"/>
  <c r="L122" i="5"/>
  <c r="G103" i="3"/>
  <c r="G102" i="3"/>
  <c r="G104" i="3"/>
  <c r="G105" i="3"/>
  <c r="H101" i="3"/>
  <c r="G106" i="3" l="1"/>
  <c r="L124" i="5"/>
  <c r="H102" i="3"/>
  <c r="H106" i="3" s="1"/>
  <c r="H103" i="3"/>
  <c r="H104" i="3"/>
  <c r="H105" i="3"/>
  <c r="I101" i="3"/>
  <c r="I102" i="3" l="1"/>
  <c r="I103" i="3"/>
  <c r="I104" i="3"/>
  <c r="I105" i="3"/>
  <c r="J101" i="3"/>
  <c r="I106" i="3" l="1"/>
  <c r="J103" i="3"/>
  <c r="J102" i="3"/>
  <c r="J104" i="3"/>
  <c r="J105" i="3"/>
  <c r="K101" i="3"/>
  <c r="J106" i="3" l="1"/>
  <c r="K103" i="3"/>
  <c r="K102" i="3"/>
  <c r="K105" i="3"/>
  <c r="K104" i="3"/>
  <c r="L101" i="3"/>
  <c r="K106" i="3" l="1"/>
  <c r="L104" i="3"/>
  <c r="L103" i="3"/>
  <c r="L102" i="3"/>
  <c r="L106" i="3" s="1"/>
  <c r="L105" i="3"/>
  <c r="M101" i="3"/>
  <c r="M103" i="3" l="1"/>
  <c r="M102" i="3"/>
  <c r="M106" i="3" s="1"/>
  <c r="M105" i="3"/>
  <c r="M104" i="3"/>
  <c r="N101" i="3"/>
  <c r="N103" i="3" l="1"/>
  <c r="N102" i="3"/>
  <c r="N106" i="3" s="1"/>
  <c r="N105" i="3"/>
  <c r="N104" i="3"/>
  <c r="O101" i="3"/>
  <c r="O102" i="3" l="1"/>
  <c r="O104" i="3"/>
  <c r="O103" i="3"/>
  <c r="O105" i="3"/>
  <c r="P101" i="3"/>
  <c r="O106" i="3" l="1"/>
  <c r="P102" i="3"/>
  <c r="P103" i="3"/>
  <c r="P105" i="3"/>
  <c r="P104" i="3"/>
  <c r="Q101" i="3"/>
  <c r="P106" i="3" l="1"/>
  <c r="Q102" i="3"/>
  <c r="Q104" i="3"/>
  <c r="Q103" i="3"/>
  <c r="Q105" i="3"/>
  <c r="R101" i="3"/>
  <c r="Q106" i="3" l="1"/>
  <c r="R102" i="3"/>
  <c r="R103" i="3"/>
  <c r="R104" i="3"/>
  <c r="R105" i="3"/>
  <c r="S101" i="3"/>
  <c r="R106" i="3" l="1"/>
  <c r="S103" i="3"/>
  <c r="S102" i="3"/>
  <c r="S106" i="3" s="1"/>
  <c r="S104" i="3"/>
  <c r="S105" i="3"/>
  <c r="T101" i="3"/>
  <c r="T103" i="3" l="1"/>
  <c r="T105" i="3"/>
  <c r="T102" i="3"/>
  <c r="T104" i="3"/>
  <c r="U101" i="3"/>
  <c r="T106" i="3" l="1"/>
  <c r="U103" i="3"/>
  <c r="U102" i="3"/>
  <c r="U105" i="3"/>
  <c r="U104" i="3"/>
  <c r="V101" i="3"/>
  <c r="U106" i="3" l="1"/>
  <c r="V103" i="3"/>
  <c r="V102" i="3"/>
  <c r="V106" i="3" s="1"/>
  <c r="V105" i="3"/>
  <c r="V104" i="3"/>
  <c r="W101" i="3"/>
  <c r="W103" i="3" l="1"/>
  <c r="W105" i="3"/>
  <c r="W102" i="3"/>
  <c r="W106" i="3" s="1"/>
  <c r="W104" i="3"/>
  <c r="X101" i="3"/>
  <c r="X102" i="3" l="1"/>
  <c r="X103" i="3"/>
  <c r="X104" i="3"/>
  <c r="X105" i="3"/>
  <c r="X106" i="3" l="1"/>
</calcChain>
</file>

<file path=xl/sharedStrings.xml><?xml version="1.0" encoding="utf-8"?>
<sst xmlns="http://schemas.openxmlformats.org/spreadsheetml/2006/main" count="111" uniqueCount="84">
  <si>
    <t>Inputs</t>
  </si>
  <si>
    <t>r_0</t>
  </si>
  <si>
    <t>γ*</t>
  </si>
  <si>
    <t>r_bar*</t>
  </si>
  <si>
    <t>σ</t>
  </si>
  <si>
    <t>T_O</t>
  </si>
  <si>
    <t>T_A</t>
  </si>
  <si>
    <t xml:space="preserve">T_B </t>
  </si>
  <si>
    <t>Vasicek</t>
  </si>
  <si>
    <t>t</t>
  </si>
  <si>
    <t>T</t>
  </si>
  <si>
    <t>A(t,T)</t>
  </si>
  <si>
    <t>B(t,T)</t>
  </si>
  <si>
    <t>Z(0,T)</t>
  </si>
  <si>
    <t>Yield</t>
  </si>
  <si>
    <t>r_t</t>
  </si>
  <si>
    <t>Time</t>
  </si>
  <si>
    <t>T_B</t>
  </si>
  <si>
    <t>B(0,T_A)</t>
  </si>
  <si>
    <t>B(0,T_B)</t>
  </si>
  <si>
    <t>Z(0,T_A)</t>
  </si>
  <si>
    <t>Z(0,T_B)</t>
  </si>
  <si>
    <t>Hedge Ratio
(Δ)</t>
  </si>
  <si>
    <t>Cash
Position</t>
  </si>
  <si>
    <t>Cash Needed for Rebalancing</t>
  </si>
  <si>
    <t>Interest</t>
  </si>
  <si>
    <t>Replicating
Portfolio</t>
  </si>
  <si>
    <t>Month</t>
  </si>
  <si>
    <t>Year</t>
  </si>
  <si>
    <t>Candidate No.</t>
  </si>
  <si>
    <t>Fill in your final answers here:</t>
  </si>
  <si>
    <t>Show your work here:</t>
  </si>
  <si>
    <t>Fill in your final answers (and show your work) here:</t>
  </si>
  <si>
    <t>Current Stock Price</t>
  </si>
  <si>
    <t>Strike</t>
  </si>
  <si>
    <t>Volatility</t>
  </si>
  <si>
    <t>Vega</t>
  </si>
  <si>
    <t>Time to Expiry</t>
  </si>
  <si>
    <t>Total Vega</t>
  </si>
  <si>
    <t>Interest rate</t>
  </si>
  <si>
    <t>Input</t>
  </si>
  <si>
    <t>Calculated Result</t>
  </si>
  <si>
    <t>spVA</t>
  </si>
  <si>
    <r>
      <t>Underlying Asset – Current Price (S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2"/>
        <color theme="1"/>
        <rFont val="Calibri"/>
        <family val="2"/>
        <scheme val="minor"/>
      </rPr>
      <t>)</t>
    </r>
  </si>
  <si>
    <t>Initial Investment/Premium</t>
  </si>
  <si>
    <t>Dividend Yield (q)</t>
  </si>
  <si>
    <t>SpVA</t>
  </si>
  <si>
    <t>Implied Volatility (σ)</t>
  </si>
  <si>
    <t>Term (T)</t>
  </si>
  <si>
    <t>Option 1</t>
  </si>
  <si>
    <t>Risk-Free Rate (r)</t>
  </si>
  <si>
    <t>Option 2</t>
  </si>
  <si>
    <t>Buffer Rate% (B)</t>
  </si>
  <si>
    <t>Option 3</t>
  </si>
  <si>
    <t>Cap Rate% (C)</t>
  </si>
  <si>
    <t>Bond</t>
  </si>
  <si>
    <t>Black Scholes Formula for Option 1</t>
  </si>
  <si>
    <t>S</t>
  </si>
  <si>
    <t>d1</t>
  </si>
  <si>
    <t>N(d1)</t>
  </si>
  <si>
    <t>N'(d1)</t>
  </si>
  <si>
    <t>K</t>
  </si>
  <si>
    <t>d2</t>
  </si>
  <si>
    <t>N(d2)</t>
  </si>
  <si>
    <t>N'(d2)</t>
  </si>
  <si>
    <t>-d1</t>
  </si>
  <si>
    <t>N(-d1)</t>
  </si>
  <si>
    <t>N'(-d1)</t>
  </si>
  <si>
    <t>r</t>
  </si>
  <si>
    <t>-d2</t>
  </si>
  <si>
    <t>N(-d2)</t>
  </si>
  <si>
    <t>N'(-d2)</t>
  </si>
  <si>
    <t>q</t>
  </si>
  <si>
    <t>Call</t>
  </si>
  <si>
    <t>Put</t>
  </si>
  <si>
    <t>Pricing Formula for Floating Lookback Call Option</t>
  </si>
  <si>
    <t>a1</t>
  </si>
  <si>
    <t>a2</t>
  </si>
  <si>
    <t>a3</t>
  </si>
  <si>
    <t>Y1`</t>
  </si>
  <si>
    <t>Pricing Formula for Fixed Lookback Put Option</t>
  </si>
  <si>
    <t>Indicate whether Long or Short Call/Put (-1 for Short positions and +1 for Long positions)</t>
  </si>
  <si>
    <t>Fill in your final answers (and show your work) here, for part c (i) and c (ii):</t>
  </si>
  <si>
    <t>&lt;--update this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</si>
</sst>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0"/>
    <numFmt numFmtId="165" formatCode="0.0000000"/>
    <numFmt numFmtId="166" formatCode="0.0%"/>
    <numFmt numFmtId="167" formatCode="_(* #,##0_);_(* \(#,##0\);_(* &quot;-&quot;??_);_(@_)"/>
    <numFmt numFmtId="168" formatCode="_-* #,##0.00_-;\-* #,##0.00_-;_-* &quot;-&quot;??_-;_-@_-"/>
    <numFmt numFmtId="169" formatCode="&quot;$&quot;#,##0.00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vertAlign val="subscript"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7" fillId="0" borderId="1" xfId="0" applyFont="1" applyBorder="1"/>
    <xf numFmtId="0" fontId="7" fillId="0" borderId="0" xfId="0" applyFont="1"/>
    <xf numFmtId="0" fontId="8" fillId="0" borderId="0" xfId="0" applyFont="1"/>
    <xf numFmtId="10" fontId="9" fillId="0" borderId="0" xfId="0" applyNumberFormat="1" applyFont="1"/>
    <xf numFmtId="9" fontId="9" fillId="0" borderId="0" xfId="0" applyNumberFormat="1" applyFont="1"/>
    <xf numFmtId="0" fontId="9" fillId="0" borderId="0" xfId="2" applyNumberFormat="1" applyFont="1"/>
    <xf numFmtId="10" fontId="8" fillId="0" borderId="0" xfId="0" applyNumberFormat="1" applyFont="1"/>
    <xf numFmtId="164" fontId="8" fillId="0" borderId="0" xfId="0" applyNumberFormat="1" applyFont="1"/>
    <xf numFmtId="165" fontId="8" fillId="0" borderId="0" xfId="0" applyNumberFormat="1" applyFont="1"/>
    <xf numFmtId="10" fontId="8" fillId="0" borderId="0" xfId="2" applyNumberFormat="1" applyFont="1"/>
    <xf numFmtId="166" fontId="9" fillId="0" borderId="0" xfId="0" applyNumberFormat="1" applyFont="1"/>
    <xf numFmtId="0" fontId="9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0" borderId="0" xfId="0" applyNumberFormat="1" applyFont="1"/>
    <xf numFmtId="0" fontId="6" fillId="0" borderId="0" xfId="3" applyFont="1"/>
    <xf numFmtId="0" fontId="3" fillId="0" borderId="0" xfId="3"/>
    <xf numFmtId="0" fontId="3" fillId="3" borderId="0" xfId="3" applyFill="1"/>
    <xf numFmtId="0" fontId="5" fillId="4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 wrapText="1"/>
    </xf>
    <xf numFmtId="0" fontId="10" fillId="0" borderId="0" xfId="3" applyFont="1"/>
    <xf numFmtId="0" fontId="10" fillId="0" borderId="0" xfId="3" applyFont="1" applyAlignment="1">
      <alignment horizontal="right"/>
    </xf>
    <xf numFmtId="0" fontId="10" fillId="0" borderId="6" xfId="3" applyFont="1" applyBorder="1"/>
    <xf numFmtId="0" fontId="10" fillId="0" borderId="7" xfId="3" applyFont="1" applyBorder="1"/>
    <xf numFmtId="0" fontId="12" fillId="0" borderId="0" xfId="3" applyFont="1"/>
    <xf numFmtId="0" fontId="0" fillId="3" borderId="0" xfId="0" applyFill="1"/>
    <xf numFmtId="0" fontId="13" fillId="0" borderId="0" xfId="3" applyFont="1"/>
    <xf numFmtId="167" fontId="11" fillId="0" borderId="0" xfId="1" applyNumberFormat="1" applyFont="1" applyFill="1"/>
    <xf numFmtId="0" fontId="0" fillId="5" borderId="0" xfId="0" applyFill="1"/>
    <xf numFmtId="9" fontId="0" fillId="5" borderId="0" xfId="2" applyFont="1" applyFill="1"/>
    <xf numFmtId="0" fontId="5" fillId="6" borderId="0" xfId="0" applyFont="1" applyFill="1"/>
    <xf numFmtId="43" fontId="10" fillId="6" borderId="3" xfId="1" applyFont="1" applyFill="1" applyBorder="1"/>
    <xf numFmtId="43" fontId="10" fillId="6" borderId="4" xfId="1" applyFont="1" applyFill="1" applyBorder="1"/>
    <xf numFmtId="43" fontId="10" fillId="6" borderId="5" xfId="1" applyFont="1" applyFill="1" applyBorder="1"/>
    <xf numFmtId="43" fontId="10" fillId="6" borderId="6" xfId="1" applyFont="1" applyFill="1" applyBorder="1"/>
    <xf numFmtId="43" fontId="10" fillId="6" borderId="0" xfId="1" applyFont="1" applyFill="1" applyBorder="1"/>
    <xf numFmtId="43" fontId="10" fillId="6" borderId="7" xfId="1" applyFont="1" applyFill="1" applyBorder="1"/>
    <xf numFmtId="43" fontId="10" fillId="6" borderId="8" xfId="1" applyFont="1" applyFill="1" applyBorder="1"/>
    <xf numFmtId="43" fontId="10" fillId="6" borderId="1" xfId="1" applyFont="1" applyFill="1" applyBorder="1"/>
    <xf numFmtId="43" fontId="10" fillId="6" borderId="9" xfId="1" applyFont="1" applyFill="1" applyBorder="1"/>
    <xf numFmtId="43" fontId="12" fillId="6" borderId="10" xfId="1" applyFont="1" applyFill="1" applyBorder="1"/>
    <xf numFmtId="43" fontId="12" fillId="6" borderId="11" xfId="1" applyFont="1" applyFill="1" applyBorder="1"/>
    <xf numFmtId="43" fontId="12" fillId="6" borderId="12" xfId="1" applyFont="1" applyFill="1" applyBorder="1"/>
    <xf numFmtId="0" fontId="5" fillId="0" borderId="0" xfId="5" applyFont="1"/>
    <xf numFmtId="0" fontId="2" fillId="0" borderId="0" xfId="5"/>
    <xf numFmtId="0" fontId="2" fillId="0" borderId="13" xfId="5" applyBorder="1"/>
    <xf numFmtId="0" fontId="2" fillId="0" borderId="14" xfId="5" applyBorder="1"/>
    <xf numFmtId="0" fontId="2" fillId="5" borderId="0" xfId="5" applyFill="1"/>
    <xf numFmtId="0" fontId="2" fillId="0" borderId="15" xfId="5" applyBorder="1"/>
    <xf numFmtId="9" fontId="2" fillId="0" borderId="16" xfId="5" applyNumberFormat="1" applyBorder="1"/>
    <xf numFmtId="0" fontId="5" fillId="6" borderId="0" xfId="5" applyFont="1" applyFill="1"/>
    <xf numFmtId="167" fontId="0" fillId="0" borderId="16" xfId="6" applyNumberFormat="1" applyFont="1" applyBorder="1"/>
    <xf numFmtId="9" fontId="0" fillId="0" borderId="16" xfId="7" applyFont="1" applyBorder="1"/>
    <xf numFmtId="0" fontId="2" fillId="0" borderId="17" xfId="5" applyBorder="1"/>
    <xf numFmtId="9" fontId="2" fillId="0" borderId="18" xfId="5" applyNumberFormat="1" applyBorder="1"/>
    <xf numFmtId="0" fontId="15" fillId="0" borderId="0" xfId="5" applyFont="1"/>
    <xf numFmtId="168" fontId="2" fillId="0" borderId="0" xfId="5" applyNumberFormat="1"/>
    <xf numFmtId="0" fontId="2" fillId="0" borderId="19" xfId="5" applyBorder="1"/>
    <xf numFmtId="9" fontId="2" fillId="0" borderId="19" xfId="5" applyNumberFormat="1" applyBorder="1"/>
    <xf numFmtId="165" fontId="2" fillId="0" borderId="0" xfId="5" applyNumberFormat="1"/>
    <xf numFmtId="169" fontId="0" fillId="0" borderId="0" xfId="6" applyNumberFormat="1" applyFont="1"/>
    <xf numFmtId="0" fontId="2" fillId="5" borderId="19" xfId="5" applyFill="1" applyBorder="1"/>
    <xf numFmtId="2" fontId="2" fillId="6" borderId="19" xfId="5" applyNumberFormat="1" applyFill="1" applyBorder="1"/>
    <xf numFmtId="0" fontId="2" fillId="6" borderId="19" xfId="5" applyFill="1" applyBorder="1"/>
    <xf numFmtId="0" fontId="2" fillId="6" borderId="14" xfId="5" applyFill="1" applyBorder="1"/>
    <xf numFmtId="2" fontId="2" fillId="6" borderId="0" xfId="5" applyNumberFormat="1" applyFill="1"/>
    <xf numFmtId="0" fontId="2" fillId="6" borderId="0" xfId="5" applyFill="1"/>
    <xf numFmtId="0" fontId="2" fillId="6" borderId="16" xfId="5" applyFill="1" applyBorder="1"/>
    <xf numFmtId="0" fontId="2" fillId="0" borderId="0" xfId="5" quotePrefix="1"/>
    <xf numFmtId="9" fontId="2" fillId="5" borderId="0" xfId="5" applyNumberFormat="1" applyFill="1"/>
    <xf numFmtId="0" fontId="2" fillId="0" borderId="16" xfId="5" applyBorder="1"/>
    <xf numFmtId="0" fontId="2" fillId="0" borderId="20" xfId="5" applyBorder="1"/>
    <xf numFmtId="0" fontId="2" fillId="0" borderId="18" xfId="5" applyBorder="1"/>
    <xf numFmtId="9" fontId="2" fillId="0" borderId="0" xfId="5" applyNumberFormat="1"/>
    <xf numFmtId="0" fontId="10" fillId="0" borderId="0" xfId="3" applyFont="1" applyAlignment="1">
      <alignment wrapText="1"/>
    </xf>
    <xf numFmtId="2" fontId="8" fillId="7" borderId="0" xfId="0" applyNumberFormat="1" applyFont="1" applyFill="1"/>
    <xf numFmtId="43" fontId="8" fillId="0" borderId="0" xfId="8" applyFont="1"/>
    <xf numFmtId="10" fontId="8" fillId="7" borderId="0" xfId="2" applyNumberFormat="1" applyFont="1" applyFill="1"/>
    <xf numFmtId="0" fontId="2" fillId="3" borderId="0" xfId="5" applyFill="1"/>
    <xf numFmtId="0" fontId="1" fillId="0" borderId="0" xfId="5" applyFont="1"/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0" fillId="0" borderId="3" xfId="3" applyFont="1" applyBorder="1" applyAlignment="1">
      <alignment horizontal="center"/>
    </xf>
    <xf numFmtId="0" fontId="10" fillId="0" borderId="4" xfId="3" applyFont="1" applyBorder="1" applyAlignment="1">
      <alignment horizontal="center"/>
    </xf>
    <xf numFmtId="0" fontId="10" fillId="0" borderId="5" xfId="3" applyFont="1" applyBorder="1" applyAlignment="1">
      <alignment horizontal="center"/>
    </xf>
  </cellXfs>
  <cellStyles count="9">
    <cellStyle name="Comma" xfId="1" builtinId="3"/>
    <cellStyle name="Comma 2" xfId="4" xr:uid="{CD2B8517-6418-43EF-BA72-9D9408588362}"/>
    <cellStyle name="Comma 3" xfId="6" xr:uid="{98101E1E-D8C5-415E-B868-B436977693A8}"/>
    <cellStyle name="Comma 4" xfId="8" xr:uid="{4809EB42-7880-42FF-B0CA-B41D96944C54}"/>
    <cellStyle name="Normal" xfId="0" builtinId="0"/>
    <cellStyle name="Normal 2" xfId="3" xr:uid="{A3E86C75-0849-4BD3-B9B9-38860D3FED73}"/>
    <cellStyle name="Normal 3" xfId="5" xr:uid="{90D8CE8B-0D82-4C05-BCF9-3E7DB8816DA8}"/>
    <cellStyle name="Percent" xfId="2" builtinId="5"/>
    <cellStyle name="Percent 2" xfId="7" xr:uid="{63457629-2AB5-40B6-87A9-E97F1380A7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Hedge Ratio and Cash Position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'Q5'!$K$111</c:f>
              <c:strCache>
                <c:ptCount val="1"/>
                <c:pt idx="0">
                  <c:v>Hedge Ratio
(Δ)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'Q5'!$B$113:$B$125</c:f>
              <c:numCache>
                <c:formatCode>0.0000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'Q5'!$K$113:$K$125</c:f>
              <c:numCache>
                <c:formatCode>_(* #,##0.00_);_(* \(#,##0.00\);_(*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3D-4C1A-8F93-DDA50888B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004752"/>
        <c:axId val="1627724176"/>
      </c:lineChart>
      <c:lineChart>
        <c:grouping val="standard"/>
        <c:varyColors val="0"/>
        <c:ser>
          <c:idx val="2"/>
          <c:order val="1"/>
          <c:tx>
            <c:strRef>
              <c:f>'Q5'!$L$111</c:f>
              <c:strCache>
                <c:ptCount val="1"/>
                <c:pt idx="0">
                  <c:v>Cash
Position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'Q5'!$C$113:$C$125</c:f>
              <c:numCache>
                <c:formatCode>0.0000</c:formatCode>
                <c:ptCount val="13"/>
                <c:pt idx="0">
                  <c:v>0</c:v>
                </c:pt>
                <c:pt idx="1">
                  <c:v>8.3333333300000006E-2</c:v>
                </c:pt>
                <c:pt idx="2">
                  <c:v>0.16666666669999999</c:v>
                </c:pt>
                <c:pt idx="3">
                  <c:v>0.25</c:v>
                </c:pt>
                <c:pt idx="4">
                  <c:v>0.33333333329999998</c:v>
                </c:pt>
                <c:pt idx="5">
                  <c:v>0.41666666670000002</c:v>
                </c:pt>
                <c:pt idx="6">
                  <c:v>0.5</c:v>
                </c:pt>
                <c:pt idx="7">
                  <c:v>0.58333333330000003</c:v>
                </c:pt>
                <c:pt idx="8">
                  <c:v>0.66666666669999997</c:v>
                </c:pt>
                <c:pt idx="9">
                  <c:v>0.75</c:v>
                </c:pt>
                <c:pt idx="10">
                  <c:v>0.83333333330000003</c:v>
                </c:pt>
                <c:pt idx="11">
                  <c:v>0.91666666669999997</c:v>
                </c:pt>
                <c:pt idx="12">
                  <c:v>1</c:v>
                </c:pt>
              </c:numCache>
            </c:numRef>
          </c:cat>
          <c:val>
            <c:numRef>
              <c:f>'Q5'!$L$113:$L$125</c:f>
              <c:numCache>
                <c:formatCode>_(* #,##0.00_);_(* \(#,##0.00\);_(*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3D-4C1A-8F93-DDA50888B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907775"/>
        <c:axId val="373984159"/>
      </c:lineChart>
      <c:catAx>
        <c:axId val="1622004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Time (Month)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724176"/>
        <c:crosses val="autoZero"/>
        <c:auto val="1"/>
        <c:lblAlgn val="ctr"/>
        <c:lblOffset val="100"/>
        <c:noMultiLvlLbl val="0"/>
      </c:catAx>
      <c:valAx>
        <c:axId val="16277241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Hedge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2004752"/>
        <c:crosses val="autoZero"/>
        <c:crossBetween val="between"/>
      </c:valAx>
      <c:valAx>
        <c:axId val="373984159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Cash Position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907775"/>
        <c:crosses val="max"/>
        <c:crossBetween val="between"/>
      </c:valAx>
      <c:catAx>
        <c:axId val="373907775"/>
        <c:scaling>
          <c:orientation val="minMax"/>
        </c:scaling>
        <c:delete val="1"/>
        <c:axPos val="b"/>
        <c:numFmt formatCode="0.0000" sourceLinked="1"/>
        <c:majorTickMark val="out"/>
        <c:minorTickMark val="none"/>
        <c:tickLblPos val="nextTo"/>
        <c:crossAx val="373984159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overlay val="0"/>
      <c:spPr>
        <a:noFill/>
        <a:ln>
          <a:solidFill>
            <a:srgbClr val="00B05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Butterfly Vega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'Q10'!$B$106</c:f>
              <c:strCache>
                <c:ptCount val="1"/>
                <c:pt idx="0">
                  <c:v>Total Vega</c:v>
                </c:pt>
              </c:strCache>
            </c:strRef>
          </c:tx>
          <c:cat>
            <c:numRef>
              <c:f>'Q10'!$D$101:$X$101</c:f>
              <c:numCache>
                <c:formatCode>General</c:formatCode>
                <c:ptCount val="21"/>
                <c:pt idx="0">
                  <c:v>0.1</c:v>
                </c:pt>
                <c:pt idx="1">
                  <c:v>0.12000000000000001</c:v>
                </c:pt>
                <c:pt idx="2">
                  <c:v>0.14000000000000001</c:v>
                </c:pt>
                <c:pt idx="3">
                  <c:v>0.16</c:v>
                </c:pt>
                <c:pt idx="4">
                  <c:v>0.18</c:v>
                </c:pt>
                <c:pt idx="5">
                  <c:v>0.19999999999999998</c:v>
                </c:pt>
                <c:pt idx="6">
                  <c:v>0.21999999999999997</c:v>
                </c:pt>
                <c:pt idx="7">
                  <c:v>0.23999999999999996</c:v>
                </c:pt>
                <c:pt idx="8">
                  <c:v>0.25999999999999995</c:v>
                </c:pt>
                <c:pt idx="9">
                  <c:v>0.27999999999999997</c:v>
                </c:pt>
                <c:pt idx="10">
                  <c:v>0.3</c:v>
                </c:pt>
                <c:pt idx="11">
                  <c:v>0.32</c:v>
                </c:pt>
                <c:pt idx="12">
                  <c:v>0.34</c:v>
                </c:pt>
                <c:pt idx="13">
                  <c:v>0.36000000000000004</c:v>
                </c:pt>
                <c:pt idx="14">
                  <c:v>0.38000000000000006</c:v>
                </c:pt>
                <c:pt idx="15">
                  <c:v>0.40000000000000008</c:v>
                </c:pt>
                <c:pt idx="16">
                  <c:v>0.4200000000000001</c:v>
                </c:pt>
                <c:pt idx="17">
                  <c:v>0.44000000000000011</c:v>
                </c:pt>
                <c:pt idx="18">
                  <c:v>0.46000000000000013</c:v>
                </c:pt>
                <c:pt idx="19">
                  <c:v>0.48000000000000015</c:v>
                </c:pt>
                <c:pt idx="20">
                  <c:v>0.50000000000000011</c:v>
                </c:pt>
              </c:numCache>
            </c:numRef>
          </c:cat>
          <c:val>
            <c:numRef>
              <c:f>'Q10'!$D$106:$X$106</c:f>
              <c:numCache>
                <c:formatCode>_(* #,##0.00_);_(* \(#,##0.00\);_(* "-"??_);_(@_)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E6-406F-84F5-DDDCC4500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177792"/>
        <c:axId val="422249600"/>
      </c:lineChart>
      <c:catAx>
        <c:axId val="422177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Volatility</a:t>
                </a:r>
              </a:p>
            </c:rich>
          </c:tx>
          <c:layout>
            <c:manualLayout>
              <c:xMode val="edge"/>
              <c:yMode val="edge"/>
              <c:x val="0.90743239853638957"/>
              <c:y val="7.7216369136472937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22249600"/>
        <c:crosses val="autoZero"/>
        <c:auto val="1"/>
        <c:lblAlgn val="ctr"/>
        <c:lblOffset val="100"/>
        <c:noMultiLvlLbl val="0"/>
      </c:catAx>
      <c:valAx>
        <c:axId val="422249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Vega</a:t>
                </a:r>
              </a:p>
            </c:rich>
          </c:tx>
          <c:overlay val="0"/>
        </c:title>
        <c:numFmt formatCode="_(* #,##0.00_);_(* \(#,##0.00\);_(* &quot;-&quot;??_);_(@_)" sourceLinked="1"/>
        <c:majorTickMark val="none"/>
        <c:minorTickMark val="none"/>
        <c:tickLblPos val="nextTo"/>
        <c:crossAx val="422177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33244</xdr:colOff>
      <xdr:row>130</xdr:row>
      <xdr:rowOff>93457</xdr:rowOff>
    </xdr:from>
    <xdr:to>
      <xdr:col>6</xdr:col>
      <xdr:colOff>223744</xdr:colOff>
      <xdr:row>143</xdr:row>
      <xdr:rowOff>195057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D25E26-99D2-43B8-A5FF-FCADE973F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0</xdr:colOff>
      <xdr:row>127</xdr:row>
      <xdr:rowOff>0</xdr:rowOff>
    </xdr:from>
    <xdr:ext cx="6040013" cy="311404"/>
    <xdr:pic>
      <xdr:nvPicPr>
        <xdr:cNvPr id="4" name="Picture 3">
          <a:extLst>
            <a:ext uri="{FF2B5EF4-FFF2-40B4-BE49-F238E27FC236}">
              <a16:creationId xmlns:a16="http://schemas.microsoft.com/office/drawing/2014/main" id="{E6878A41-C722-4E06-AB47-A7C89F62A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0" y="25203150"/>
          <a:ext cx="6040013" cy="311404"/>
        </a:xfrm>
        <a:prstGeom prst="rect">
          <a:avLst/>
        </a:prstGeom>
      </xdr:spPr>
    </xdr:pic>
    <xdr:clientData/>
  </xdr:oneCellAnchor>
  <xdr:oneCellAnchor>
    <xdr:from>
      <xdr:col>1</xdr:col>
      <xdr:colOff>225798</xdr:colOff>
      <xdr:row>36</xdr:row>
      <xdr:rowOff>148197</xdr:rowOff>
    </xdr:from>
    <xdr:ext cx="6759998" cy="3245978"/>
    <xdr:pic>
      <xdr:nvPicPr>
        <xdr:cNvPr id="5" name="Picture 4">
          <a:extLst>
            <a:ext uri="{FF2B5EF4-FFF2-40B4-BE49-F238E27FC236}">
              <a16:creationId xmlns:a16="http://schemas.microsoft.com/office/drawing/2014/main" id="{9F45A9D3-EE25-4E9D-B138-5F63EA37A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3048" y="7349097"/>
          <a:ext cx="6759998" cy="3245978"/>
        </a:xfrm>
        <a:prstGeom prst="rect">
          <a:avLst/>
        </a:prstGeom>
      </xdr:spPr>
    </xdr:pic>
    <xdr:clientData/>
  </xdr:oneCellAnchor>
  <xdr:oneCellAnchor>
    <xdr:from>
      <xdr:col>1</xdr:col>
      <xdr:colOff>509380</xdr:colOff>
      <xdr:row>59</xdr:row>
      <xdr:rowOff>41413</xdr:rowOff>
    </xdr:from>
    <xdr:ext cx="6211464" cy="562733"/>
    <xdr:pic>
      <xdr:nvPicPr>
        <xdr:cNvPr id="8" name="Picture 7">
          <a:extLst>
            <a:ext uri="{FF2B5EF4-FFF2-40B4-BE49-F238E27FC236}">
              <a16:creationId xmlns:a16="http://schemas.microsoft.com/office/drawing/2014/main" id="{95714C1D-ADC9-4953-8D8F-5EBCC3395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9674" y="11769587"/>
          <a:ext cx="6211464" cy="562733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53</xdr:row>
      <xdr:rowOff>0</xdr:rowOff>
    </xdr:from>
    <xdr:to>
      <xdr:col>9</xdr:col>
      <xdr:colOff>342953</xdr:colOff>
      <xdr:row>58</xdr:row>
      <xdr:rowOff>158620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D205A48-9D21-4EA9-8705-6F9278CE8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0294" y="10535478"/>
          <a:ext cx="7200953" cy="11525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9</xdr:col>
      <xdr:colOff>375060</xdr:colOff>
      <xdr:row>36</xdr:row>
      <xdr:rowOff>187521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A15824A-F713-433A-B1E2-ABAA45196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0294" y="198783"/>
          <a:ext cx="7233060" cy="7144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113</xdr:row>
      <xdr:rowOff>42863</xdr:rowOff>
    </xdr:from>
    <xdr:to>
      <xdr:col>11</xdr:col>
      <xdr:colOff>490537</xdr:colOff>
      <xdr:row>136</xdr:row>
      <xdr:rowOff>109539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2DF44E-7789-4A61-AC73-065920C54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4803</xdr:colOff>
      <xdr:row>43</xdr:row>
      <xdr:rowOff>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BD7F93F-4A31-B5BB-AE26-2D9CA405D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" y="176213"/>
          <a:ext cx="5667416" cy="740097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107</xdr:row>
      <xdr:rowOff>14288</xdr:rowOff>
    </xdr:from>
    <xdr:to>
      <xdr:col>6</xdr:col>
      <xdr:colOff>481057</xdr:colOff>
      <xdr:row>109</xdr:row>
      <xdr:rowOff>166693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0F0B1AF-CC97-9672-C144-747402924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19797713"/>
          <a:ext cx="6143670" cy="504829"/>
        </a:xfrm>
        <a:prstGeom prst="rect">
          <a:avLst/>
        </a:prstGeom>
      </xdr:spPr>
    </xdr:pic>
    <xdr:clientData/>
  </xdr:twoCellAnchor>
  <xdr:twoCellAnchor editAs="oneCell">
    <xdr:from>
      <xdr:col>0</xdr:col>
      <xdr:colOff>627531</xdr:colOff>
      <xdr:row>43</xdr:row>
      <xdr:rowOff>95251</xdr:rowOff>
    </xdr:from>
    <xdr:to>
      <xdr:col>6</xdr:col>
      <xdr:colOff>363956</xdr:colOff>
      <xdr:row>84</xdr:row>
      <xdr:rowOff>79615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09193BD-3BA6-505D-CAC5-44D4719B1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7531" y="7563972"/>
          <a:ext cx="6076994" cy="71057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22412</xdr:colOff>
      <xdr:row>149</xdr:row>
      <xdr:rowOff>134470</xdr:rowOff>
    </xdr:from>
    <xdr:to>
      <xdr:col>4</xdr:col>
      <xdr:colOff>389123</xdr:colOff>
      <xdr:row>151</xdr:row>
      <xdr:rowOff>44823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BA9E67-459A-4AF5-8ECA-79798A33A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0737" y="7654458"/>
          <a:ext cx="366711" cy="272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14940</xdr:colOff>
      <xdr:row>147</xdr:row>
      <xdr:rowOff>134470</xdr:rowOff>
    </xdr:from>
    <xdr:to>
      <xdr:col>4</xdr:col>
      <xdr:colOff>276411</xdr:colOff>
      <xdr:row>149</xdr:row>
      <xdr:rowOff>110390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54898F-5364-4B71-AE14-7DD4FCD2B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3265" y="7292508"/>
          <a:ext cx="261471" cy="337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61632</xdr:colOff>
      <xdr:row>135</xdr:row>
      <xdr:rowOff>162485</xdr:rowOff>
    </xdr:from>
    <xdr:to>
      <xdr:col>4</xdr:col>
      <xdr:colOff>309964</xdr:colOff>
      <xdr:row>137</xdr:row>
      <xdr:rowOff>42704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72DF6E-05BC-444F-901D-CFAD57155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09957" y="5139298"/>
          <a:ext cx="248332" cy="242169"/>
        </a:xfrm>
        <a:prstGeom prst="rect">
          <a:avLst/>
        </a:prstGeom>
      </xdr:spPr>
    </xdr:pic>
    <xdr:clientData/>
  </xdr:twoCellAnchor>
  <xdr:twoCellAnchor editAs="oneCell">
    <xdr:from>
      <xdr:col>1</xdr:col>
      <xdr:colOff>140074</xdr:colOff>
      <xdr:row>0</xdr:row>
      <xdr:rowOff>173689</xdr:rowOff>
    </xdr:from>
    <xdr:to>
      <xdr:col>7</xdr:col>
      <xdr:colOff>958103</xdr:colOff>
      <xdr:row>64</xdr:row>
      <xdr:rowOff>90656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094E190-7C4C-9AFC-F950-FE17D974D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3633" y="173689"/>
          <a:ext cx="8197103" cy="11391791"/>
        </a:xfrm>
        <a:prstGeom prst="rect">
          <a:avLst/>
        </a:prstGeom>
      </xdr:spPr>
    </xdr:pic>
    <xdr:clientData/>
  </xdr:twoCellAnchor>
  <xdr:twoCellAnchor editAs="oneCell">
    <xdr:from>
      <xdr:col>1</xdr:col>
      <xdr:colOff>240928</xdr:colOff>
      <xdr:row>63</xdr:row>
      <xdr:rowOff>28014</xdr:rowOff>
    </xdr:from>
    <xdr:to>
      <xdr:col>7</xdr:col>
      <xdr:colOff>834838</xdr:colOff>
      <xdr:row>97</xdr:row>
      <xdr:rowOff>109683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68E96AA-7A6D-E9AC-D4B9-E385D8FEC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24487" y="11323543"/>
          <a:ext cx="7972984" cy="61776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leco-my.sharepoint.com/personal/jaesoo_lew_cleco_com/Documents/PCMigration/Papers/QFI/2024/QFI%20QF%201024_v4.xlsx" TargetMode="External"/><Relationship Id="rId1" Type="http://schemas.openxmlformats.org/officeDocument/2006/relationships/externalLinkPath" Target="https://cleco-my.sharepoint.com/personal/jaesoo_lew_cleco_com/Documents/PCMigration/Papers/QFI/2024/QFI%20QF%201024_v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lai\SynologyDrive\Documents\SOA%20volunteer\QFI%20Quantitative%20Finance\Fall%202024%20Exam\QFI%20QF%202024%20Fall%20(Topic%203)%20Yong%20Jiang_DRAFT_1008_v1104_revised.xlsx" TargetMode="External"/><Relationship Id="rId1" Type="http://schemas.openxmlformats.org/officeDocument/2006/relationships/externalLinkPath" Target="https://cleco-my.sharepoint.com/personal/jaesoo_lew_cleco_com/Documents/PCMigration/Papers/QFI/2024/QFI%20QF%202024%20Fall%20(Topic%203)%20Yong%20Jiang_DRAFT_1008_v1104_revised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lai\SynologyDrive\Documents\SOA%20volunteer\QFI%20Quantitative%20Finance\Fall%202024%20Exam\QFI%20QF%202024%20Fall%20(Topic%203)%20Yong%20Jiang_DRAFT_1008_v1104_revised.xlsx" TargetMode="External"/><Relationship Id="rId1" Type="http://schemas.openxmlformats.org/officeDocument/2006/relationships/externalLinkPath" Target="file:///C:\Users\chlai\SynologyDrive\Documents\SOA%20volunteer\QFI%20Quantitative%20Finance\Fall%202024%20Exam\QFI%20QF%202024%20Fall%20(Topic%203)%20Yong%20Jiang_DRAFT_1008_v1104_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ndidate #"/>
      <sheetName val="Q5"/>
      <sheetName val="Q10"/>
      <sheetName val="Q11"/>
    </sheetNames>
    <sheetDataSet>
      <sheetData sheetId="0"/>
      <sheetData sheetId="1">
        <row r="110">
          <cell r="K110" t="str">
            <v>Hedge Ratio
(Δ)</v>
          </cell>
        </row>
      </sheetData>
      <sheetData sheetId="2">
        <row r="95">
          <cell r="C95">
            <v>200</v>
          </cell>
        </row>
        <row r="96">
          <cell r="C96">
            <v>0.1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uestion (a)"/>
      <sheetName val="question (c) Vega_vs_vol"/>
      <sheetName val="supporting graphs for (c)"/>
      <sheetName val="Just some background (notused)"/>
    </sheetNames>
    <sheetDataSet>
      <sheetData sheetId="0">
        <row r="1">
          <cell r="C1">
            <v>100</v>
          </cell>
        </row>
        <row r="3">
          <cell r="C3">
            <v>0.03</v>
          </cell>
        </row>
      </sheetData>
      <sheetData sheetId="1">
        <row r="3">
          <cell r="F3" t="str">
            <v>volatility at t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uestion (a)"/>
      <sheetName val="question (c) Vega_vs_vol"/>
      <sheetName val="supporting graphs for (c)"/>
      <sheetName val="Just some background (notused)"/>
    </sheetNames>
    <sheetDataSet>
      <sheetData sheetId="0">
        <row r="1">
          <cell r="C1">
            <v>100</v>
          </cell>
        </row>
        <row r="3">
          <cell r="C3">
            <v>0.03</v>
          </cell>
        </row>
      </sheetData>
      <sheetData sheetId="1">
        <row r="3">
          <cell r="F3" t="str">
            <v>volatility at t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D2295-C93B-45E6-A1A5-12AF774077C8}">
  <dimension ref="A1:C1"/>
  <sheetViews>
    <sheetView tabSelected="1" workbookViewId="0"/>
  </sheetViews>
  <sheetFormatPr defaultColWidth="8.375" defaultRowHeight="15" x14ac:dyDescent="0.25"/>
  <cols>
    <col min="1" max="1" width="13.5" style="21" bestFit="1" customWidth="1"/>
    <col min="2" max="2" width="8.375" style="21"/>
    <col min="3" max="3" width="15.375" style="21" customWidth="1"/>
    <col min="4" max="16384" width="8.375" style="21"/>
  </cols>
  <sheetData>
    <row r="1" spans="1:3" ht="15.75" x14ac:dyDescent="0.25">
      <c r="A1" s="20" t="s">
        <v>29</v>
      </c>
      <c r="C1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B76B0-A808-421A-8D07-9F14B55B761C}">
  <dimension ref="B64:Y130"/>
  <sheetViews>
    <sheetView showGridLines="0" zoomScale="115" zoomScaleNormal="115" workbookViewId="0"/>
  </sheetViews>
  <sheetFormatPr defaultColWidth="11.25" defaultRowHeight="15.75" x14ac:dyDescent="0.25"/>
  <cols>
    <col min="1" max="1" width="4.75" customWidth="1"/>
    <col min="13" max="13" width="14.875" bestFit="1" customWidth="1"/>
    <col min="18" max="18" width="12.5" bestFit="1" customWidth="1"/>
  </cols>
  <sheetData>
    <row r="64" spans="2:14" x14ac:dyDescent="0.25">
      <c r="B64" s="23" t="s">
        <v>82</v>
      </c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</row>
    <row r="66" spans="2:25" s="3" customFormat="1" x14ac:dyDescent="0.25">
      <c r="B66" s="1" t="s">
        <v>0</v>
      </c>
      <c r="C66" s="1"/>
      <c r="D66" s="2"/>
    </row>
    <row r="67" spans="2:25" s="3" customFormat="1" x14ac:dyDescent="0.25">
      <c r="B67" s="3" t="s">
        <v>1</v>
      </c>
      <c r="C67" s="4">
        <v>0.05</v>
      </c>
      <c r="D67" s="4"/>
      <c r="Y67" s="5"/>
    </row>
    <row r="68" spans="2:25" s="3" customFormat="1" x14ac:dyDescent="0.25">
      <c r="B68" s="3" t="s">
        <v>2</v>
      </c>
      <c r="C68" s="6">
        <v>0.46529999999999999</v>
      </c>
      <c r="D68" s="6"/>
      <c r="H68" s="7"/>
      <c r="I68" s="7"/>
      <c r="J68" s="7"/>
      <c r="M68" s="7"/>
      <c r="Q68" s="7"/>
      <c r="R68" s="7"/>
    </row>
    <row r="69" spans="2:25" s="3" customFormat="1" x14ac:dyDescent="0.25">
      <c r="B69" s="3" t="s">
        <v>3</v>
      </c>
      <c r="C69" s="4">
        <v>0.04</v>
      </c>
      <c r="D69" s="4"/>
      <c r="E69" s="7"/>
      <c r="H69" s="7"/>
      <c r="I69" s="7"/>
      <c r="J69" s="7"/>
      <c r="M69" s="7"/>
      <c r="Q69" s="7"/>
      <c r="R69" s="7"/>
    </row>
    <row r="70" spans="2:25" s="3" customFormat="1" x14ac:dyDescent="0.25">
      <c r="B70" s="3" t="s">
        <v>4</v>
      </c>
      <c r="C70" s="4">
        <v>3.2000000000000001E-2</v>
      </c>
      <c r="D70" s="4"/>
      <c r="E70" s="8"/>
      <c r="K70" s="9"/>
      <c r="L70" s="10"/>
      <c r="M70" s="9"/>
      <c r="N70" s="9"/>
      <c r="O70" s="9"/>
      <c r="P70" s="9"/>
      <c r="Y70" s="11"/>
    </row>
    <row r="71" spans="2:25" s="3" customFormat="1" x14ac:dyDescent="0.25">
      <c r="B71" s="3" t="s">
        <v>5</v>
      </c>
      <c r="C71" s="12">
        <v>1</v>
      </c>
      <c r="D71" s="12"/>
      <c r="Y71" s="12"/>
    </row>
    <row r="72" spans="2:25" s="3" customFormat="1" x14ac:dyDescent="0.25">
      <c r="B72" s="3" t="s">
        <v>6</v>
      </c>
      <c r="C72" s="12">
        <v>1.5</v>
      </c>
      <c r="D72" s="12"/>
    </row>
    <row r="73" spans="2:25" s="3" customFormat="1" x14ac:dyDescent="0.25">
      <c r="B73" s="3" t="s">
        <v>7</v>
      </c>
      <c r="C73" s="12">
        <v>2.5</v>
      </c>
      <c r="D73" s="12"/>
      <c r="F73"/>
    </row>
    <row r="74" spans="2:25" s="3" customFormat="1" x14ac:dyDescent="0.25">
      <c r="C74" s="12"/>
    </row>
    <row r="75" spans="2:25" s="3" customFormat="1" x14ac:dyDescent="0.25"/>
    <row r="76" spans="2:25" s="3" customFormat="1" x14ac:dyDescent="0.25">
      <c r="B76" s="2" t="s">
        <v>8</v>
      </c>
    </row>
    <row r="77" spans="2:25" s="3" customFormat="1" x14ac:dyDescent="0.25">
      <c r="B77" s="2"/>
    </row>
    <row r="78" spans="2:25" s="3" customFormat="1" x14ac:dyDescent="0.25">
      <c r="B78" s="13" t="s">
        <v>9</v>
      </c>
      <c r="C78" s="13" t="s">
        <v>10</v>
      </c>
      <c r="D78" s="14"/>
      <c r="E78" s="13" t="s">
        <v>11</v>
      </c>
      <c r="F78" s="13" t="s">
        <v>12</v>
      </c>
      <c r="G78" s="13" t="s">
        <v>13</v>
      </c>
      <c r="H78" s="15" t="s">
        <v>14</v>
      </c>
      <c r="I78" s="15" t="s">
        <v>15</v>
      </c>
    </row>
    <row r="79" spans="2:25" s="3" customFormat="1" x14ac:dyDescent="0.25">
      <c r="B79" s="16">
        <v>0</v>
      </c>
      <c r="C79" s="17">
        <v>0</v>
      </c>
      <c r="E79" s="8">
        <f t="shared" ref="E79:E109" si="0">(F79-(C79-B79))*($C$69-$C$70^2/(2*$C$68^2))-$C$70^2*F79^2/(4*$C$68)</f>
        <v>0</v>
      </c>
      <c r="F79" s="8">
        <f t="shared" ref="F79:F109" si="1">1/$C$68*(1-EXP(-$C$68*(C79-B79)))</f>
        <v>0</v>
      </c>
      <c r="G79" s="8">
        <f t="shared" ref="G79:G109" si="2">EXP(E79-F79*I79)</f>
        <v>1</v>
      </c>
      <c r="H79" s="10">
        <f>C67</f>
        <v>0.05</v>
      </c>
      <c r="I79" s="7">
        <f>C67</f>
        <v>0.05</v>
      </c>
      <c r="L79" s="16"/>
      <c r="M79" s="8"/>
    </row>
    <row r="80" spans="2:25" s="3" customFormat="1" x14ac:dyDescent="0.25">
      <c r="B80" s="16">
        <v>0</v>
      </c>
      <c r="C80" s="17">
        <f t="shared" ref="C80:C109" si="3">ROUND(C79+1/12,10)</f>
        <v>8.3333333300000006E-2</v>
      </c>
      <c r="E80" s="8">
        <f t="shared" si="0"/>
        <v>-6.3701811942061266E-5</v>
      </c>
      <c r="F80" s="8">
        <f t="shared" si="1"/>
        <v>8.1738389389672192E-2</v>
      </c>
      <c r="G80" s="8">
        <f t="shared" si="2"/>
        <v>0.99588954392511675</v>
      </c>
      <c r="H80" s="10">
        <f t="shared" ref="H80:H109" si="4">-LN(G80)/C80</f>
        <v>4.9427126671049156E-2</v>
      </c>
      <c r="I80" s="7">
        <f t="shared" ref="I80:I109" si="5">I79+$C$68*($C$69-I79)/12</f>
        <v>4.9612250000000004E-2</v>
      </c>
      <c r="L80" s="16"/>
      <c r="M80"/>
      <c r="N80"/>
    </row>
    <row r="81" spans="2:14" s="3" customFormat="1" x14ac:dyDescent="0.25">
      <c r="B81" s="16">
        <v>0</v>
      </c>
      <c r="C81" s="17">
        <f t="shared" si="3"/>
        <v>0.16666666660000001</v>
      </c>
      <c r="E81" s="8">
        <f t="shared" si="0"/>
        <v>-2.5119955677482299E-4</v>
      </c>
      <c r="F81" s="8">
        <f t="shared" si="1"/>
        <v>0.16036803303054625</v>
      </c>
      <c r="G81" s="8">
        <f t="shared" si="2"/>
        <v>0.99188545517975713</v>
      </c>
      <c r="H81" s="10">
        <f t="shared" si="4"/>
        <v>4.8885881617949711E-2</v>
      </c>
      <c r="I81" s="7">
        <f t="shared" si="5"/>
        <v>4.9239535006250001E-2</v>
      </c>
      <c r="L81" s="16"/>
      <c r="M81"/>
      <c r="N81"/>
    </row>
    <row r="82" spans="2:14" s="3" customFormat="1" x14ac:dyDescent="0.25">
      <c r="B82" s="16">
        <v>0</v>
      </c>
      <c r="C82" s="17">
        <f t="shared" si="3"/>
        <v>0.24999999989999999</v>
      </c>
      <c r="E82" s="8">
        <f t="shared" si="0"/>
        <v>-5.572672389713044E-4</v>
      </c>
      <c r="F82" s="8">
        <f t="shared" si="1"/>
        <v>0.236007165453579</v>
      </c>
      <c r="G82" s="8">
        <f t="shared" si="2"/>
        <v>0.98797923595396142</v>
      </c>
      <c r="H82" s="10">
        <f t="shared" si="4"/>
        <v>4.8374390803522793E-2</v>
      </c>
      <c r="I82" s="7">
        <f t="shared" si="5"/>
        <v>4.8881272036382657E-2</v>
      </c>
      <c r="L82" s="16"/>
      <c r="M82"/>
      <c r="N82"/>
    </row>
    <row r="83" spans="2:14" s="3" customFormat="1" x14ac:dyDescent="0.25">
      <c r="B83" s="16">
        <v>0</v>
      </c>
      <c r="C83" s="17">
        <f t="shared" si="3"/>
        <v>0.33333333320000003</v>
      </c>
      <c r="E83" s="8">
        <f t="shared" si="0"/>
        <v>-9.7691625156131755E-4</v>
      </c>
      <c r="F83" s="8">
        <f t="shared" si="1"/>
        <v>0.30876952439087685</v>
      </c>
      <c r="G83" s="8">
        <f t="shared" si="2"/>
        <v>0.98416311144831581</v>
      </c>
      <c r="H83" s="10">
        <f t="shared" si="4"/>
        <v>4.7890896019680128E-2</v>
      </c>
      <c r="I83" s="7">
        <f t="shared" si="5"/>
        <v>4.8536900713171918E-2</v>
      </c>
      <c r="L83" s="16"/>
      <c r="M83"/>
      <c r="N83"/>
    </row>
    <row r="84" spans="2:14" s="3" customFormat="1" x14ac:dyDescent="0.25">
      <c r="B84" s="16">
        <v>0</v>
      </c>
      <c r="C84" s="17">
        <f t="shared" si="3"/>
        <v>0.4166666665</v>
      </c>
      <c r="E84" s="8">
        <f t="shared" si="0"/>
        <v>-1.5053834651007677E-3</v>
      </c>
      <c r="F84" s="8">
        <f t="shared" si="1"/>
        <v>0.37876452180187287</v>
      </c>
      <c r="G84" s="8">
        <f t="shared" si="2"/>
        <v>0.9804299672392307</v>
      </c>
      <c r="H84" s="10">
        <f t="shared" si="4"/>
        <v>4.7433747512979844E-2</v>
      </c>
      <c r="I84" s="7">
        <f t="shared" si="5"/>
        <v>4.8205882388018678E-2</v>
      </c>
      <c r="L84" s="16"/>
      <c r="M84"/>
      <c r="N84"/>
    </row>
    <row r="85" spans="2:14" s="3" customFormat="1" x14ac:dyDescent="0.25">
      <c r="B85" s="16">
        <v>0</v>
      </c>
      <c r="C85" s="17">
        <f t="shared" si="3"/>
        <v>0.49999999979999998</v>
      </c>
      <c r="E85" s="8">
        <f t="shared" si="0"/>
        <v>-2.1381199847387935E-3</v>
      </c>
      <c r="F85" s="8">
        <f t="shared" si="1"/>
        <v>0.44609740839488798</v>
      </c>
      <c r="G85" s="8">
        <f t="shared" si="2"/>
        <v>0.9767732923575323</v>
      </c>
      <c r="H85" s="10">
        <f t="shared" si="4"/>
        <v>4.7001397090318683E-2</v>
      </c>
      <c r="I85" s="7">
        <f t="shared" si="5"/>
        <v>4.7887699298423257E-2</v>
      </c>
      <c r="L85" s="16"/>
      <c r="M85"/>
      <c r="N85"/>
    </row>
    <row r="86" spans="2:14" s="3" customFormat="1" x14ac:dyDescent="0.25">
      <c r="B86" s="16">
        <v>0</v>
      </c>
      <c r="C86" s="17">
        <f t="shared" si="3"/>
        <v>0.58333333310000002</v>
      </c>
      <c r="E86" s="8">
        <f t="shared" si="0"/>
        <v>-2.8707805339234249E-3</v>
      </c>
      <c r="F86" s="8">
        <f t="shared" si="1"/>
        <v>0.5108694318914645</v>
      </c>
      <c r="G86" s="8">
        <f t="shared" si="2"/>
        <v>0.97318712751140068</v>
      </c>
      <c r="H86" s="10">
        <f t="shared" si="4"/>
        <v>4.6592391672946216E-2</v>
      </c>
      <c r="I86" s="7">
        <f t="shared" si="5"/>
        <v>4.7581853758126895E-2</v>
      </c>
      <c r="L86" s="16"/>
      <c r="M86"/>
      <c r="N86"/>
    </row>
    <row r="87" spans="2:14" s="3" customFormat="1" x14ac:dyDescent="0.25">
      <c r="B87" s="16">
        <v>0</v>
      </c>
      <c r="C87" s="17">
        <f t="shared" si="3"/>
        <v>0.66666666640000005</v>
      </c>
      <c r="E87" s="8">
        <f t="shared" si="0"/>
        <v>-3.6992134260609086E-3</v>
      </c>
      <c r="F87" s="8">
        <f t="shared" si="1"/>
        <v>0.57317798927145169</v>
      </c>
      <c r="G87" s="8">
        <f t="shared" si="2"/>
        <v>0.96966601794820051</v>
      </c>
      <c r="H87" s="10">
        <f t="shared" si="4"/>
        <v>4.6205367269122756E-2</v>
      </c>
      <c r="I87" s="7">
        <f t="shared" si="5"/>
        <v>4.7287867378655528E-2</v>
      </c>
      <c r="L87" s="16"/>
      <c r="M87"/>
      <c r="N87"/>
    </row>
    <row r="88" spans="2:14" s="3" customFormat="1" x14ac:dyDescent="0.25">
      <c r="B88" s="16">
        <v>0</v>
      </c>
      <c r="C88" s="17">
        <f t="shared" si="3"/>
        <v>0.74999999969999998</v>
      </c>
      <c r="E88" s="8">
        <f t="shared" si="0"/>
        <v>-4.6194510880233032E-3</v>
      </c>
      <c r="F88" s="8">
        <f t="shared" si="1"/>
        <v>0.63311677322777427</v>
      </c>
      <c r="G88" s="8">
        <f t="shared" si="2"/>
        <v>0.96620497050528054</v>
      </c>
      <c r="H88" s="10">
        <f t="shared" si="4"/>
        <v>4.5839043337738639E-2</v>
      </c>
      <c r="I88" s="7">
        <f t="shared" si="5"/>
        <v>4.7005280321048157E-2</v>
      </c>
      <c r="L88" s="16"/>
      <c r="M88" s="8"/>
    </row>
    <row r="89" spans="2:14" s="3" customFormat="1" x14ac:dyDescent="0.25">
      <c r="B89" s="16">
        <v>0</v>
      </c>
      <c r="C89" s="17">
        <f t="shared" si="3"/>
        <v>0.83333333300000001</v>
      </c>
      <c r="E89" s="8">
        <f t="shared" si="0"/>
        <v>-5.6277011017977739E-3</v>
      </c>
      <c r="F89" s="8">
        <f t="shared" si="1"/>
        <v>0.69077591305110531</v>
      </c>
      <c r="G89" s="8">
        <f t="shared" si="2"/>
        <v>0.96279941444847983</v>
      </c>
      <c r="H89" s="10">
        <f t="shared" si="4"/>
        <v>4.5492217517068431E-2</v>
      </c>
      <c r="I89" s="7">
        <f t="shared" si="5"/>
        <v>4.6733650576599513E-2</v>
      </c>
      <c r="L89" s="16"/>
      <c r="M89" s="8"/>
    </row>
    <row r="90" spans="2:14" s="3" customFormat="1" x14ac:dyDescent="0.25">
      <c r="B90" s="16">
        <v>0</v>
      </c>
      <c r="C90" s="17">
        <f t="shared" si="3"/>
        <v>0.91666666630000004</v>
      </c>
      <c r="E90" s="8">
        <f t="shared" si="0"/>
        <v>-6.7203377328019422E-3</v>
      </c>
      <c r="F90" s="8">
        <f t="shared" si="1"/>
        <v>0.7462421101562895</v>
      </c>
      <c r="G90" s="8">
        <f t="shared" si="2"/>
        <v>0.95944516573981475</v>
      </c>
      <c r="H90" s="10">
        <f t="shared" si="4"/>
        <v>4.5163760694562474E-2</v>
      </c>
      <c r="I90" s="7">
        <f t="shared" si="5"/>
        <v>4.6472553275491865E-2</v>
      </c>
      <c r="L90" s="16"/>
      <c r="M90" s="8"/>
    </row>
    <row r="91" spans="2:14" s="3" customFormat="1" x14ac:dyDescent="0.25">
      <c r="B91" s="16">
        <v>0</v>
      </c>
      <c r="C91" s="17">
        <f t="shared" si="3"/>
        <v>0.99999999959999997</v>
      </c>
      <c r="E91" s="8">
        <f t="shared" si="0"/>
        <v>-7.8938939154650292E-3</v>
      </c>
      <c r="F91" s="8">
        <f t="shared" si="1"/>
        <v>0.79959876845430755</v>
      </c>
      <c r="G91" s="8">
        <f t="shared" si="2"/>
        <v>0.95613839441342652</v>
      </c>
      <c r="H91" s="10">
        <f t="shared" si="4"/>
        <v>4.485261239519709E-2</v>
      </c>
      <c r="I91" s="7">
        <f t="shared" si="5"/>
        <v>4.6221580022234671E-2</v>
      </c>
      <c r="L91" s="16"/>
      <c r="M91" s="8"/>
    </row>
    <row r="92" spans="2:14" s="3" customFormat="1" x14ac:dyDescent="0.25">
      <c r="B92" s="16">
        <v>0</v>
      </c>
      <c r="C92" s="17">
        <f t="shared" si="3"/>
        <v>1.0833333328999999</v>
      </c>
      <c r="E92" s="8">
        <f t="shared" si="0"/>
        <v>-9.1450536686052391E-3</v>
      </c>
      <c r="F92" s="8">
        <f t="shared" si="1"/>
        <v>0.85092611976582166</v>
      </c>
      <c r="G92" s="8">
        <f t="shared" si="2"/>
        <v>0.95287559477204309</v>
      </c>
      <c r="H92" s="10">
        <f t="shared" si="4"/>
        <v>4.4557776467403755E-2</v>
      </c>
      <c r="I92" s="7">
        <f t="shared" si="5"/>
        <v>4.5980338256872519E-2</v>
      </c>
      <c r="L92" s="16"/>
      <c r="M92" s="8"/>
    </row>
    <row r="93" spans="2:14" s="3" customFormat="1" x14ac:dyDescent="0.25">
      <c r="B93" s="16">
        <v>0</v>
      </c>
      <c r="C93" s="17">
        <f t="shared" si="3"/>
        <v>1.1666666662</v>
      </c>
      <c r="E93" s="8">
        <f t="shared" si="0"/>
        <v>-1.0470644914930872E-2</v>
      </c>
      <c r="F93" s="8">
        <f t="shared" si="1"/>
        <v>0.90030134446488153</v>
      </c>
      <c r="G93" s="8">
        <f t="shared" si="2"/>
        <v>0.94965355814552088</v>
      </c>
      <c r="H93" s="10">
        <f t="shared" si="4"/>
        <v>4.4278317047003746E-2</v>
      </c>
      <c r="I93" s="7">
        <f t="shared" si="5"/>
        <v>4.5748450640962286E-2</v>
      </c>
      <c r="L93" s="16"/>
      <c r="M93" s="8"/>
    </row>
    <row r="94" spans="2:14" s="3" customFormat="1" x14ac:dyDescent="0.25">
      <c r="B94" s="16">
        <v>0</v>
      </c>
      <c r="C94" s="17">
        <f t="shared" si="3"/>
        <v>1.2499999995</v>
      </c>
      <c r="E94" s="8">
        <f t="shared" si="0"/>
        <v>-1.1867632680664649E-2</v>
      </c>
      <c r="F94" s="8">
        <f t="shared" si="1"/>
        <v>0.94779868753420426</v>
      </c>
      <c r="G94" s="8">
        <f t="shared" si="2"/>
        <v>0.94646934797899385</v>
      </c>
      <c r="H94" s="10">
        <f t="shared" si="4"/>
        <v>4.4013354780880927E-2</v>
      </c>
      <c r="I94" s="7">
        <f t="shared" si="5"/>
        <v>4.5525554467358974E-2</v>
      </c>
      <c r="L94" s="16"/>
      <c r="M94" s="8"/>
    </row>
    <row r="95" spans="2:14" s="3" customFormat="1" x14ac:dyDescent="0.25">
      <c r="B95" s="16">
        <v>0</v>
      </c>
      <c r="C95" s="17">
        <f t="shared" si="3"/>
        <v>1.3333333328000001</v>
      </c>
      <c r="E95" s="8">
        <f t="shared" si="0"/>
        <v>-1.3333112652847874E-2</v>
      </c>
      <c r="F95" s="8">
        <f t="shared" si="1"/>
        <v>0.99348957020653994</v>
      </c>
      <c r="G95" s="8">
        <f t="shared" si="2"/>
        <v>0.94332027704119381</v>
      </c>
      <c r="H95" s="10">
        <f t="shared" si="4"/>
        <v>4.3762063293344353E-2</v>
      </c>
      <c r="I95" s="7">
        <f t="shared" si="5"/>
        <v>4.5311301092887127E-2</v>
      </c>
      <c r="L95" s="16"/>
      <c r="M95" s="8"/>
    </row>
    <row r="96" spans="2:14" s="3" customFormat="1" x14ac:dyDescent="0.25">
      <c r="B96" s="16">
        <v>0</v>
      </c>
      <c r="C96" s="17">
        <f t="shared" si="3"/>
        <v>1.4166666661</v>
      </c>
      <c r="E96" s="8">
        <f t="shared" si="0"/>
        <v>-1.4864305073330216E-2</v>
      </c>
      <c r="F96" s="8">
        <f t="shared" si="1"/>
        <v>1.0374426973599931</v>
      </c>
      <c r="G96" s="8">
        <f t="shared" si="2"/>
        <v>0.94020388656398657</v>
      </c>
      <c r="H96" s="10">
        <f t="shared" si="4"/>
        <v>4.3523665879270187E-2</v>
      </c>
      <c r="I96" s="7">
        <f t="shared" si="5"/>
        <v>4.510535539301043E-2</v>
      </c>
      <c r="L96" s="16"/>
      <c r="M96" s="8"/>
    </row>
    <row r="97" spans="2:23" s="3" customFormat="1" x14ac:dyDescent="0.25">
      <c r="B97" s="16">
        <v>0</v>
      </c>
      <c r="C97" s="17">
        <f t="shared" si="3"/>
        <v>1.4999999994</v>
      </c>
      <c r="E97" s="8">
        <f t="shared" si="0"/>
        <v>-1.6458548949801213E-2</v>
      </c>
      <c r="F97" s="8">
        <f t="shared" si="1"/>
        <v>1.0797241608287937</v>
      </c>
      <c r="G97" s="8">
        <f t="shared" si="2"/>
        <v>0.93711792714241582</v>
      </c>
      <c r="H97" s="10">
        <f t="shared" si="4"/>
        <v>4.3297432409169619E-2</v>
      </c>
      <c r="I97" s="7">
        <f t="shared" si="5"/>
        <v>4.4907395237646447E-2</v>
      </c>
      <c r="L97" s="16"/>
      <c r="M97" s="8"/>
    </row>
    <row r="98" spans="2:23" s="3" customFormat="1" x14ac:dyDescent="0.25">
      <c r="B98" s="16">
        <v>0</v>
      </c>
      <c r="C98" s="17">
        <f t="shared" si="3"/>
        <v>1.5833333327000001</v>
      </c>
      <c r="E98" s="8">
        <f t="shared" si="0"/>
        <v>-1.8113296565476712E-2</v>
      </c>
      <c r="F98" s="8">
        <f t="shared" si="1"/>
        <v>1.1203975387848621</v>
      </c>
      <c r="G98" s="8">
        <f t="shared" si="2"/>
        <v>0.93406034124082371</v>
      </c>
      <c r="H98" s="10">
        <f t="shared" si="4"/>
        <v>4.3082676432322303E-2</v>
      </c>
      <c r="I98" s="7">
        <f t="shared" si="5"/>
        <v>4.4717110987306706E-2</v>
      </c>
      <c r="L98" s="16"/>
      <c r="M98" s="8"/>
    </row>
    <row r="99" spans="2:23" s="3" customFormat="1" x14ac:dyDescent="0.25">
      <c r="B99" s="16">
        <v>0</v>
      </c>
      <c r="C99" s="17">
        <f t="shared" si="3"/>
        <v>1.666666666</v>
      </c>
      <c r="E99" s="8">
        <f t="shared" si="0"/>
        <v>-1.9826108270225126E-2</v>
      </c>
      <c r="F99" s="8">
        <f t="shared" si="1"/>
        <v>1.1595239913396067</v>
      </c>
      <c r="G99" s="8">
        <f t="shared" si="2"/>
        <v>0.93102924716517865</v>
      </c>
      <c r="H99" s="10">
        <f t="shared" si="4"/>
        <v>4.2878752465032442E-2</v>
      </c>
      <c r="I99" s="7">
        <f t="shared" si="5"/>
        <v>4.4534205008773892E-2</v>
      </c>
      <c r="L99" s="16"/>
      <c r="M99" s="8"/>
    </row>
    <row r="100" spans="2:23" s="3" customFormat="1" x14ac:dyDescent="0.25">
      <c r="B100" s="16">
        <v>0</v>
      </c>
      <c r="C100" s="17">
        <f t="shared" si="3"/>
        <v>1.7499999992999999</v>
      </c>
      <c r="E100" s="8">
        <f t="shared" si="0"/>
        <v>-2.1594647537010354E-2</v>
      </c>
      <c r="F100" s="8">
        <f t="shared" si="1"/>
        <v>1.1971623525097113</v>
      </c>
      <c r="G100" s="8">
        <f t="shared" si="2"/>
        <v>0.92802292437477441</v>
      </c>
      <c r="H100" s="10">
        <f t="shared" si="4"/>
        <v>4.2685053451926414E-2</v>
      </c>
      <c r="I100" s="7">
        <f t="shared" si="5"/>
        <v>4.4358391209558687E-2</v>
      </c>
      <c r="L100" s="16"/>
      <c r="M100" s="8"/>
    </row>
    <row r="101" spans="2:23" s="3" customFormat="1" x14ac:dyDescent="0.25">
      <c r="B101" s="16">
        <v>0</v>
      </c>
      <c r="C101" s="17">
        <f t="shared" si="3"/>
        <v>1.8333333326000001</v>
      </c>
      <c r="E101" s="8">
        <f t="shared" si="0"/>
        <v>-2.3416676268545242E-2</v>
      </c>
      <c r="F101" s="8">
        <f t="shared" si="1"/>
        <v>1.2333692186851997</v>
      </c>
      <c r="G101" s="8">
        <f t="shared" si="2"/>
        <v>0.92503980001816033</v>
      </c>
      <c r="H101" s="10">
        <f t="shared" si="4"/>
        <v>4.250100838901251E-2</v>
      </c>
      <c r="I101" s="7">
        <f t="shared" si="5"/>
        <v>4.4189394590408049E-2</v>
      </c>
      <c r="L101" s="16"/>
      <c r="M101" s="8"/>
    </row>
    <row r="102" spans="2:23" s="3" customFormat="1" x14ac:dyDescent="0.25">
      <c r="B102" s="16">
        <v>0</v>
      </c>
      <c r="C102" s="17">
        <f t="shared" si="3"/>
        <v>1.9166666659</v>
      </c>
      <c r="E102" s="8">
        <f t="shared" si="0"/>
        <v>-2.5290050339998819E-2</v>
      </c>
      <c r="F102" s="8">
        <f t="shared" si="1"/>
        <v>1.2681990337328055</v>
      </c>
      <c r="G102" s="8">
        <f t="shared" si="2"/>
        <v>0.92207843658867172</v>
      </c>
      <c r="H102" s="10">
        <f t="shared" si="4"/>
        <v>4.2326080097970155E-2</v>
      </c>
      <c r="I102" s="7">
        <f t="shared" si="5"/>
        <v>4.4026950815164979E-2</v>
      </c>
      <c r="L102" s="16"/>
      <c r="M102" s="8"/>
    </row>
    <row r="103" spans="2:23" s="3" customFormat="1" x14ac:dyDescent="0.25">
      <c r="B103" s="16">
        <v>0</v>
      </c>
      <c r="C103" s="17">
        <f t="shared" si="3"/>
        <v>1.9999999991999999</v>
      </c>
      <c r="E103" s="8">
        <f t="shared" si="0"/>
        <v>-2.7212715364484958E-2</v>
      </c>
      <c r="F103" s="8">
        <f t="shared" si="1"/>
        <v>1.3017041708626158</v>
      </c>
      <c r="G103" s="8">
        <f t="shared" si="2"/>
        <v>0.91913752060438303</v>
      </c>
      <c r="H103" s="10">
        <f t="shared" si="4"/>
        <v>4.2159763141835532E-2</v>
      </c>
      <c r="I103" s="7">
        <f t="shared" si="5"/>
        <v>4.3870805797306955E-2</v>
      </c>
      <c r="L103" s="16"/>
      <c r="M103" s="8"/>
    </row>
    <row r="104" spans="2:23" s="3" customFormat="1" x14ac:dyDescent="0.25">
      <c r="B104" s="16">
        <v>0</v>
      </c>
      <c r="C104" s="17">
        <f t="shared" si="3"/>
        <v>2.0833333325000001</v>
      </c>
      <c r="E104" s="8">
        <f t="shared" si="0"/>
        <v>-2.9182702668885323E-2</v>
      </c>
      <c r="F104" s="8">
        <f t="shared" si="1"/>
        <v>1.3339350113810917</v>
      </c>
      <c r="G104" s="8">
        <f t="shared" si="2"/>
        <v>0.91621585222583424</v>
      </c>
      <c r="H104" s="10">
        <f t="shared" si="4"/>
        <v>4.2001581872898361E-2</v>
      </c>
      <c r="I104" s="7">
        <f t="shared" si="5"/>
        <v>4.372071530251638E-2</v>
      </c>
      <c r="L104" s="16"/>
      <c r="M104" s="8"/>
    </row>
    <row r="105" spans="2:23" s="3" customFormat="1" x14ac:dyDescent="0.25">
      <c r="B105" s="16">
        <v>0</v>
      </c>
      <c r="C105" s="17">
        <f t="shared" si="3"/>
        <v>2.1666666657999998</v>
      </c>
      <c r="E105" s="8">
        <f t="shared" si="0"/>
        <v>-3.1198125468329486E-2</v>
      </c>
      <c r="F105" s="8">
        <f t="shared" si="1"/>
        <v>1.3649400204488851</v>
      </c>
      <c r="G105" s="8">
        <f t="shared" si="2"/>
        <v>0.91331233573256743</v>
      </c>
      <c r="H105" s="10">
        <f t="shared" si="4"/>
        <v>4.1851088604234865E-2</v>
      </c>
      <c r="I105" s="7">
        <f t="shared" si="5"/>
        <v>4.3576444566661307E-2</v>
      </c>
      <c r="L105" s="16"/>
      <c r="M105" s="8"/>
    </row>
    <row r="106" spans="2:23" s="3" customFormat="1" x14ac:dyDescent="0.25">
      <c r="B106" s="16">
        <v>0</v>
      </c>
      <c r="C106" s="17">
        <f t="shared" si="3"/>
        <v>2.2499999990999999</v>
      </c>
      <c r="E106" s="8">
        <f t="shared" si="0"/>
        <v>-3.3257175228373757E-2</v>
      </c>
      <c r="F106" s="8">
        <f t="shared" si="1"/>
        <v>1.3947658199573676</v>
      </c>
      <c r="G106" s="8">
        <f t="shared" si="2"/>
        <v>0.91042597078646748</v>
      </c>
      <c r="H106" s="10">
        <f t="shared" si="4"/>
        <v>4.1707861896865379E-2</v>
      </c>
      <c r="I106" s="7">
        <f t="shared" si="5"/>
        <v>4.3437767928589013E-2</v>
      </c>
      <c r="L106" s="16"/>
      <c r="M106" s="8"/>
    </row>
    <row r="107" spans="2:23" s="3" customFormat="1" x14ac:dyDescent="0.25">
      <c r="B107" s="16">
        <v>0</v>
      </c>
      <c r="C107" s="17">
        <f t="shared" si="3"/>
        <v>2.3333333324000001</v>
      </c>
      <c r="E107" s="8">
        <f t="shared" si="0"/>
        <v>-3.5358118204590477E-2</v>
      </c>
      <c r="F107" s="8">
        <f t="shared" si="1"/>
        <v>1.4234572586334577</v>
      </c>
      <c r="G107" s="8">
        <f t="shared" si="2"/>
        <v>0.90755584441618664</v>
      </c>
      <c r="H107" s="10">
        <f t="shared" si="4"/>
        <v>4.1571504955056328E-2</v>
      </c>
      <c r="I107" s="7">
        <f t="shared" si="5"/>
        <v>4.3304468477157972E-2</v>
      </c>
      <c r="L107" s="16"/>
      <c r="M107" s="8"/>
    </row>
    <row r="108" spans="2:23" s="3" customFormat="1" x14ac:dyDescent="0.25">
      <c r="B108" s="16">
        <v>0</v>
      </c>
      <c r="C108" s="17">
        <f t="shared" si="3"/>
        <v>2.4166666657000002</v>
      </c>
      <c r="E108" s="8">
        <f t="shared" si="0"/>
        <v>-3.7499292149906736E-2</v>
      </c>
      <c r="F108" s="8">
        <f t="shared" si="1"/>
        <v>1.4510574794781566</v>
      </c>
      <c r="G108" s="8">
        <f t="shared" si="2"/>
        <v>0.90470112366263833</v>
      </c>
      <c r="H108" s="10">
        <f t="shared" si="4"/>
        <v>4.1441644122776178E-2</v>
      </c>
      <c r="I108" s="7">
        <f t="shared" si="5"/>
        <v>4.317633771195617E-2</v>
      </c>
      <c r="L108" s="16"/>
      <c r="M108" s="8"/>
    </row>
    <row r="109" spans="2:23" s="3" customFormat="1" x14ac:dyDescent="0.25">
      <c r="B109" s="16">
        <v>0</v>
      </c>
      <c r="C109" s="17">
        <f t="shared" si="3"/>
        <v>2.4999999989999999</v>
      </c>
      <c r="E109" s="8">
        <f t="shared" si="0"/>
        <v>-3.9679103180615162E-2</v>
      </c>
      <c r="F109" s="8">
        <f t="shared" si="1"/>
        <v>1.4776079846402057</v>
      </c>
      <c r="G109" s="8">
        <f t="shared" si="2"/>
        <v>0.90186104883071005</v>
      </c>
      <c r="H109" s="10">
        <f t="shared" si="4"/>
        <v>4.1317927474777902E-2</v>
      </c>
      <c r="I109" s="7">
        <f t="shared" si="5"/>
        <v>4.3053175217175069E-2</v>
      </c>
      <c r="L109" s="16"/>
      <c r="M109" s="8"/>
    </row>
    <row r="110" spans="2:23" s="3" customFormat="1" x14ac:dyDescent="0.25">
      <c r="B110" s="16"/>
      <c r="C110" s="16"/>
      <c r="E110" s="8"/>
      <c r="F110" s="8"/>
      <c r="G110" s="8"/>
      <c r="H110" s="8"/>
      <c r="S110" s="10"/>
      <c r="V110" s="16"/>
      <c r="W110" s="8"/>
    </row>
    <row r="111" spans="2:23" ht="34.15" customHeight="1" x14ac:dyDescent="0.25">
      <c r="B111" s="85" t="s">
        <v>16</v>
      </c>
      <c r="C111" s="85"/>
      <c r="D111" s="85" t="s">
        <v>15</v>
      </c>
      <c r="E111" s="87" t="s">
        <v>6</v>
      </c>
      <c r="F111" s="87" t="s">
        <v>17</v>
      </c>
      <c r="G111" s="87" t="s">
        <v>18</v>
      </c>
      <c r="H111" s="87" t="s">
        <v>19</v>
      </c>
      <c r="I111" s="88" t="s">
        <v>20</v>
      </c>
      <c r="J111" s="88" t="s">
        <v>21</v>
      </c>
      <c r="K111" s="87" t="s">
        <v>22</v>
      </c>
      <c r="L111" s="87" t="s">
        <v>23</v>
      </c>
      <c r="M111" s="87" t="s">
        <v>24</v>
      </c>
      <c r="N111" s="87" t="s">
        <v>25</v>
      </c>
      <c r="O111" s="87" t="s">
        <v>26</v>
      </c>
    </row>
    <row r="112" spans="2:23" x14ac:dyDescent="0.25">
      <c r="B112" s="18" t="s">
        <v>27</v>
      </c>
      <c r="C112" s="18" t="s">
        <v>28</v>
      </c>
      <c r="D112" s="86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</row>
    <row r="113" spans="2:15" x14ac:dyDescent="0.25">
      <c r="B113" s="8">
        <v>0</v>
      </c>
      <c r="C113" s="8">
        <f t="shared" ref="C113:C125" si="6">ROUND(B113/12,10)</f>
        <v>0</v>
      </c>
      <c r="D113" s="82"/>
      <c r="E113" s="8"/>
      <c r="F113" s="8"/>
      <c r="G113" s="8"/>
      <c r="H113" s="8"/>
      <c r="I113" s="80"/>
      <c r="J113" s="80"/>
      <c r="K113" s="81">
        <v>0</v>
      </c>
      <c r="L113" s="81">
        <v>0</v>
      </c>
      <c r="M113" s="3"/>
      <c r="N113" s="3"/>
      <c r="O113" s="80"/>
    </row>
    <row r="114" spans="2:15" x14ac:dyDescent="0.25">
      <c r="B114" s="8">
        <f t="shared" ref="B114:B125" si="7">B113+1</f>
        <v>1</v>
      </c>
      <c r="C114" s="8">
        <f t="shared" si="6"/>
        <v>8.3333333300000006E-2</v>
      </c>
      <c r="D114" s="82"/>
      <c r="E114" s="8"/>
      <c r="F114" s="8"/>
      <c r="G114" s="8"/>
      <c r="H114" s="8"/>
      <c r="I114" s="80"/>
      <c r="J114" s="80"/>
      <c r="K114" s="81">
        <v>0</v>
      </c>
      <c r="L114" s="81">
        <v>0</v>
      </c>
      <c r="M114" s="19"/>
      <c r="N114" s="19"/>
      <c r="O114" s="80"/>
    </row>
    <row r="115" spans="2:15" x14ac:dyDescent="0.25">
      <c r="B115" s="8">
        <f t="shared" si="7"/>
        <v>2</v>
      </c>
      <c r="C115" s="8">
        <f t="shared" si="6"/>
        <v>0.16666666669999999</v>
      </c>
      <c r="D115" s="82"/>
      <c r="E115" s="8"/>
      <c r="F115" s="8"/>
      <c r="G115" s="8"/>
      <c r="H115" s="8"/>
      <c r="I115" s="80"/>
      <c r="J115" s="80"/>
      <c r="K115" s="81">
        <v>0</v>
      </c>
      <c r="L115" s="81">
        <v>0</v>
      </c>
      <c r="M115" s="19"/>
      <c r="N115" s="19"/>
      <c r="O115" s="80"/>
    </row>
    <row r="116" spans="2:15" x14ac:dyDescent="0.25">
      <c r="B116" s="8">
        <f t="shared" si="7"/>
        <v>3</v>
      </c>
      <c r="C116" s="8">
        <f t="shared" si="6"/>
        <v>0.25</v>
      </c>
      <c r="D116" s="82"/>
      <c r="E116" s="8"/>
      <c r="F116" s="8"/>
      <c r="G116" s="8"/>
      <c r="H116" s="8"/>
      <c r="I116" s="80"/>
      <c r="J116" s="80"/>
      <c r="K116" s="81">
        <v>0</v>
      </c>
      <c r="L116" s="81">
        <v>0</v>
      </c>
      <c r="M116" s="19"/>
      <c r="N116" s="19"/>
      <c r="O116" s="80"/>
    </row>
    <row r="117" spans="2:15" x14ac:dyDescent="0.25">
      <c r="B117" s="8">
        <f t="shared" si="7"/>
        <v>4</v>
      </c>
      <c r="C117" s="8">
        <f t="shared" si="6"/>
        <v>0.33333333329999998</v>
      </c>
      <c r="D117" s="82"/>
      <c r="E117" s="8"/>
      <c r="F117" s="8"/>
      <c r="G117" s="8"/>
      <c r="H117" s="8"/>
      <c r="I117" s="80"/>
      <c r="J117" s="80"/>
      <c r="K117" s="81">
        <v>0</v>
      </c>
      <c r="L117" s="81">
        <v>0</v>
      </c>
      <c r="M117" s="19"/>
      <c r="N117" s="19"/>
      <c r="O117" s="80"/>
    </row>
    <row r="118" spans="2:15" x14ac:dyDescent="0.25">
      <c r="B118" s="8">
        <f t="shared" si="7"/>
        <v>5</v>
      </c>
      <c r="C118" s="8">
        <f t="shared" si="6"/>
        <v>0.41666666670000002</v>
      </c>
      <c r="D118" s="82"/>
      <c r="E118" s="8"/>
      <c r="F118" s="8"/>
      <c r="G118" s="8"/>
      <c r="H118" s="8"/>
      <c r="I118" s="80"/>
      <c r="J118" s="80"/>
      <c r="K118" s="81">
        <v>0</v>
      </c>
      <c r="L118" s="81">
        <v>0</v>
      </c>
      <c r="M118" s="19"/>
      <c r="N118" s="19"/>
      <c r="O118" s="80"/>
    </row>
    <row r="119" spans="2:15" x14ac:dyDescent="0.25">
      <c r="B119" s="8">
        <f t="shared" si="7"/>
        <v>6</v>
      </c>
      <c r="C119" s="8">
        <f t="shared" si="6"/>
        <v>0.5</v>
      </c>
      <c r="D119" s="82"/>
      <c r="E119" s="8"/>
      <c r="F119" s="8"/>
      <c r="G119" s="8"/>
      <c r="H119" s="8"/>
      <c r="I119" s="80"/>
      <c r="J119" s="80"/>
      <c r="K119" s="81">
        <v>0</v>
      </c>
      <c r="L119" s="81">
        <v>0</v>
      </c>
      <c r="M119" s="19"/>
      <c r="N119" s="19"/>
      <c r="O119" s="80"/>
    </row>
    <row r="120" spans="2:15" x14ac:dyDescent="0.25">
      <c r="B120" s="8">
        <f t="shared" si="7"/>
        <v>7</v>
      </c>
      <c r="C120" s="8">
        <f t="shared" si="6"/>
        <v>0.58333333330000003</v>
      </c>
      <c r="D120" s="82"/>
      <c r="E120" s="8"/>
      <c r="F120" s="8"/>
      <c r="G120" s="8"/>
      <c r="H120" s="8"/>
      <c r="I120" s="80"/>
      <c r="J120" s="80"/>
      <c r="K120" s="81">
        <v>0</v>
      </c>
      <c r="L120" s="81">
        <v>0</v>
      </c>
      <c r="M120" s="19"/>
      <c r="N120" s="19"/>
      <c r="O120" s="80"/>
    </row>
    <row r="121" spans="2:15" x14ac:dyDescent="0.25">
      <c r="B121" s="8">
        <f t="shared" si="7"/>
        <v>8</v>
      </c>
      <c r="C121" s="8">
        <f t="shared" si="6"/>
        <v>0.66666666669999997</v>
      </c>
      <c r="D121" s="82"/>
      <c r="E121" s="8"/>
      <c r="F121" s="8"/>
      <c r="G121" s="8"/>
      <c r="H121" s="8"/>
      <c r="I121" s="80"/>
      <c r="J121" s="80"/>
      <c r="K121" s="81">
        <v>0</v>
      </c>
      <c r="L121" s="81">
        <v>0</v>
      </c>
      <c r="M121" s="19"/>
      <c r="N121" s="19"/>
      <c r="O121" s="80"/>
    </row>
    <row r="122" spans="2:15" x14ac:dyDescent="0.25">
      <c r="B122" s="8">
        <f t="shared" si="7"/>
        <v>9</v>
      </c>
      <c r="C122" s="8">
        <f t="shared" si="6"/>
        <v>0.75</v>
      </c>
      <c r="D122" s="82"/>
      <c r="E122" s="8"/>
      <c r="F122" s="8"/>
      <c r="G122" s="8"/>
      <c r="H122" s="8"/>
      <c r="I122" s="80"/>
      <c r="J122" s="80"/>
      <c r="K122" s="81">
        <v>0</v>
      </c>
      <c r="L122" s="81">
        <v>0</v>
      </c>
      <c r="M122" s="19"/>
      <c r="N122" s="19"/>
      <c r="O122" s="80"/>
    </row>
    <row r="123" spans="2:15" x14ac:dyDescent="0.25">
      <c r="B123" s="8">
        <f t="shared" si="7"/>
        <v>10</v>
      </c>
      <c r="C123" s="8">
        <f t="shared" si="6"/>
        <v>0.83333333330000003</v>
      </c>
      <c r="D123" s="82"/>
      <c r="E123" s="8"/>
      <c r="F123" s="8"/>
      <c r="G123" s="8"/>
      <c r="H123" s="8"/>
      <c r="I123" s="80"/>
      <c r="J123" s="80"/>
      <c r="K123" s="81">
        <v>0</v>
      </c>
      <c r="L123" s="81">
        <v>0</v>
      </c>
      <c r="M123" s="19"/>
      <c r="N123" s="19"/>
      <c r="O123" s="80"/>
    </row>
    <row r="124" spans="2:15" x14ac:dyDescent="0.25">
      <c r="B124" s="8">
        <f t="shared" si="7"/>
        <v>11</v>
      </c>
      <c r="C124" s="8">
        <f t="shared" si="6"/>
        <v>0.91666666669999997</v>
      </c>
      <c r="D124" s="82"/>
      <c r="E124" s="8"/>
      <c r="F124" s="8"/>
      <c r="G124" s="8"/>
      <c r="H124" s="8"/>
      <c r="I124" s="80"/>
      <c r="J124" s="80"/>
      <c r="K124" s="81">
        <v>0</v>
      </c>
      <c r="L124" s="81">
        <v>0</v>
      </c>
      <c r="M124" s="19"/>
      <c r="N124" s="19"/>
      <c r="O124" s="80"/>
    </row>
    <row r="125" spans="2:15" x14ac:dyDescent="0.25">
      <c r="B125" s="8">
        <f t="shared" si="7"/>
        <v>12</v>
      </c>
      <c r="C125" s="8">
        <f t="shared" si="6"/>
        <v>1</v>
      </c>
      <c r="D125" s="82"/>
      <c r="E125" s="8"/>
      <c r="F125" s="8"/>
      <c r="G125" s="8"/>
      <c r="H125" s="8"/>
      <c r="I125" s="80"/>
      <c r="J125" s="80"/>
      <c r="K125" s="81">
        <v>0</v>
      </c>
      <c r="L125" s="81">
        <v>0</v>
      </c>
      <c r="M125" s="19"/>
      <c r="N125" s="19"/>
      <c r="O125" s="80"/>
    </row>
    <row r="130" spans="2:14" x14ac:dyDescent="0.25">
      <c r="B130" s="23" t="s">
        <v>32</v>
      </c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</row>
  </sheetData>
  <mergeCells count="13">
    <mergeCell ref="H111:H112"/>
    <mergeCell ref="O111:O112"/>
    <mergeCell ref="I111:I112"/>
    <mergeCell ref="J111:J112"/>
    <mergeCell ref="K111:K112"/>
    <mergeCell ref="L111:L112"/>
    <mergeCell ref="M111:M112"/>
    <mergeCell ref="N111:N112"/>
    <mergeCell ref="B111:C111"/>
    <mergeCell ref="D111:D112"/>
    <mergeCell ref="E111:E112"/>
    <mergeCell ref="F111:F112"/>
    <mergeCell ref="G111:G1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5E8D4-B36B-4BAB-BE96-60701A498026}">
  <dimension ref="B86:X112"/>
  <sheetViews>
    <sheetView showGridLines="0" zoomScaleNormal="100" workbookViewId="0"/>
  </sheetViews>
  <sheetFormatPr defaultRowHeight="15" x14ac:dyDescent="0.25"/>
  <cols>
    <col min="1" max="1" width="9" style="25"/>
    <col min="2" max="2" width="29.25" style="25" customWidth="1"/>
    <col min="3" max="3" width="12.875" style="25" bestFit="1" customWidth="1"/>
    <col min="4" max="4" width="8.625" style="25" customWidth="1"/>
    <col min="5" max="5" width="12.375" style="25" customWidth="1"/>
    <col min="6" max="6" width="11.375" style="25" bestFit="1" customWidth="1"/>
    <col min="7" max="7" width="13.375" style="25" bestFit="1" customWidth="1"/>
    <col min="8" max="8" width="10.375" style="25" customWidth="1"/>
    <col min="9" max="19" width="8.625" style="25" customWidth="1"/>
    <col min="20" max="20" width="9" style="25"/>
    <col min="21" max="25" width="8.625" style="25" customWidth="1"/>
    <col min="26" max="16384" width="9" style="25"/>
  </cols>
  <sheetData>
    <row r="86" spans="2:14" x14ac:dyDescent="0.25">
      <c r="B86" s="23" t="s">
        <v>30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</row>
    <row r="87" spans="2:14" ht="15.75" x14ac:dyDescent="0.25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</row>
    <row r="88" spans="2:14" ht="15.75" x14ac:dyDescent="0.25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</row>
    <row r="89" spans="2:14" ht="15.75" x14ac:dyDescent="0.25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</row>
    <row r="90" spans="2:14" ht="15.75" x14ac:dyDescent="0.25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</row>
    <row r="91" spans="2:14" ht="15.75" x14ac:dyDescent="0.25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2:14" ht="15.75" x14ac:dyDescent="0.25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</row>
    <row r="94" spans="2:14" x14ac:dyDescent="0.25">
      <c r="B94" s="23" t="s">
        <v>31</v>
      </c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</row>
    <row r="96" spans="2:14" ht="15.75" x14ac:dyDescent="0.25">
      <c r="B96" s="25" t="s">
        <v>33</v>
      </c>
      <c r="C96" s="33">
        <v>120</v>
      </c>
      <c r="F96" s="26"/>
      <c r="G96" s="33"/>
      <c r="H96" t="s">
        <v>40</v>
      </c>
    </row>
    <row r="97" spans="2:24" ht="15.75" x14ac:dyDescent="0.25">
      <c r="B97" s="25" t="s">
        <v>39</v>
      </c>
      <c r="C97" s="34">
        <v>0.1</v>
      </c>
      <c r="G97" s="35"/>
      <c r="H97" t="s">
        <v>41</v>
      </c>
    </row>
    <row r="98" spans="2:24" ht="15.75" x14ac:dyDescent="0.25">
      <c r="B98" s="25" t="s">
        <v>37</v>
      </c>
      <c r="C98" s="33">
        <v>7</v>
      </c>
    </row>
    <row r="99" spans="2:24" x14ac:dyDescent="0.25">
      <c r="C99" s="32"/>
    </row>
    <row r="100" spans="2:24" x14ac:dyDescent="0.25">
      <c r="B100" s="31" t="s">
        <v>36</v>
      </c>
      <c r="D100" s="89" t="s">
        <v>35</v>
      </c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1"/>
    </row>
    <row r="101" spans="2:24" ht="45" x14ac:dyDescent="0.25">
      <c r="B101" s="79" t="s">
        <v>81</v>
      </c>
      <c r="C101" s="26" t="s">
        <v>34</v>
      </c>
      <c r="D101" s="27">
        <v>0.1</v>
      </c>
      <c r="E101" s="25">
        <f>D101+0.02</f>
        <v>0.12000000000000001</v>
      </c>
      <c r="F101" s="25">
        <f t="shared" ref="F101:X101" si="0">E101+0.02</f>
        <v>0.14000000000000001</v>
      </c>
      <c r="G101" s="25">
        <f t="shared" si="0"/>
        <v>0.16</v>
      </c>
      <c r="H101" s="25">
        <f t="shared" si="0"/>
        <v>0.18</v>
      </c>
      <c r="I101" s="25">
        <f t="shared" si="0"/>
        <v>0.19999999999999998</v>
      </c>
      <c r="J101" s="25">
        <f t="shared" si="0"/>
        <v>0.21999999999999997</v>
      </c>
      <c r="K101" s="25">
        <f t="shared" si="0"/>
        <v>0.23999999999999996</v>
      </c>
      <c r="L101" s="25">
        <f t="shared" si="0"/>
        <v>0.25999999999999995</v>
      </c>
      <c r="M101" s="25">
        <f t="shared" si="0"/>
        <v>0.27999999999999997</v>
      </c>
      <c r="N101" s="25">
        <f t="shared" si="0"/>
        <v>0.3</v>
      </c>
      <c r="O101" s="25">
        <f t="shared" si="0"/>
        <v>0.32</v>
      </c>
      <c r="P101" s="25">
        <f t="shared" si="0"/>
        <v>0.34</v>
      </c>
      <c r="Q101" s="25">
        <f t="shared" si="0"/>
        <v>0.36000000000000004</v>
      </c>
      <c r="R101" s="25">
        <f t="shared" si="0"/>
        <v>0.38000000000000006</v>
      </c>
      <c r="S101" s="25">
        <f t="shared" si="0"/>
        <v>0.40000000000000008</v>
      </c>
      <c r="T101" s="25">
        <f t="shared" si="0"/>
        <v>0.4200000000000001</v>
      </c>
      <c r="U101" s="25">
        <f t="shared" si="0"/>
        <v>0.44000000000000011</v>
      </c>
      <c r="V101" s="25">
        <f t="shared" si="0"/>
        <v>0.46000000000000013</v>
      </c>
      <c r="W101" s="25">
        <f t="shared" si="0"/>
        <v>0.48000000000000015</v>
      </c>
      <c r="X101" s="28">
        <f t="shared" si="0"/>
        <v>0.50000000000000011</v>
      </c>
    </row>
    <row r="102" spans="2:24" ht="15.75" x14ac:dyDescent="0.25">
      <c r="B102" s="33"/>
      <c r="C102" s="33">
        <v>120</v>
      </c>
      <c r="D102" s="36">
        <f t="shared" ref="D102:M105" si="1">CurrentStock*NORMDIST((LN($C$96/$C102)+(InterestRate+0.5*D$101^2)*$C$98)/(D$101*SQRT($C$98)),0,1,FALSE)*SQRT($C$98)</f>
        <v>2.6718157143219545</v>
      </c>
      <c r="E102" s="37">
        <f t="shared" si="1"/>
        <v>7.7551157979116896</v>
      </c>
      <c r="F102" s="37">
        <f t="shared" si="1"/>
        <v>14.711713281931241</v>
      </c>
      <c r="G102" s="37">
        <f t="shared" si="1"/>
        <v>22.240629728346946</v>
      </c>
      <c r="H102" s="37">
        <f t="shared" si="1"/>
        <v>29.45640490596222</v>
      </c>
      <c r="I102" s="37">
        <f t="shared" si="1"/>
        <v>35.927689163770978</v>
      </c>
      <c r="J102" s="37">
        <f t="shared" si="1"/>
        <v>41.513463164870032</v>
      </c>
      <c r="K102" s="37">
        <f t="shared" si="1"/>
        <v>46.222624925431603</v>
      </c>
      <c r="L102" s="37">
        <f t="shared" si="1"/>
        <v>50.129357013667637</v>
      </c>
      <c r="M102" s="37">
        <f t="shared" si="1"/>
        <v>53.328970104394998</v>
      </c>
      <c r="N102" s="37">
        <f t="shared" ref="N102:X105" si="2">CurrentStock*NORMDIST((LN($C$96/$C102)+(InterestRate+0.5*N$101^2)*$C$98)/(N$101*SQRT($C$98)),0,1,FALSE)*SQRT($C$98)</f>
        <v>55.917052942149226</v>
      </c>
      <c r="O102" s="37">
        <f t="shared" si="2"/>
        <v>57.980770304872955</v>
      </c>
      <c r="P102" s="37">
        <f t="shared" si="2"/>
        <v>59.596098946723295</v>
      </c>
      <c r="Q102" s="37">
        <f t="shared" si="2"/>
        <v>60.827777761156831</v>
      </c>
      <c r="R102" s="37">
        <f t="shared" si="2"/>
        <v>61.730368913847045</v>
      </c>
      <c r="S102" s="37">
        <f t="shared" si="2"/>
        <v>62.349664057794719</v>
      </c>
      <c r="T102" s="37">
        <f t="shared" si="2"/>
        <v>62.724090082614232</v>
      </c>
      <c r="U102" s="37">
        <f t="shared" si="2"/>
        <v>62.885974639464337</v>
      </c>
      <c r="V102" s="37">
        <f t="shared" si="2"/>
        <v>62.862629206821055</v>
      </c>
      <c r="W102" s="37">
        <f t="shared" si="2"/>
        <v>62.677251190953633</v>
      </c>
      <c r="X102" s="38">
        <f t="shared" si="2"/>
        <v>62.349664057794719</v>
      </c>
    </row>
    <row r="103" spans="2:24" ht="15.75" x14ac:dyDescent="0.25">
      <c r="B103" s="33"/>
      <c r="C103" s="33">
        <v>120</v>
      </c>
      <c r="D103" s="39">
        <f t="shared" si="1"/>
        <v>2.6718157143219545</v>
      </c>
      <c r="E103" s="40">
        <f t="shared" si="1"/>
        <v>7.7551157979116896</v>
      </c>
      <c r="F103" s="40">
        <f t="shared" si="1"/>
        <v>14.711713281931241</v>
      </c>
      <c r="G103" s="40">
        <f t="shared" si="1"/>
        <v>22.240629728346946</v>
      </c>
      <c r="H103" s="40">
        <f t="shared" si="1"/>
        <v>29.45640490596222</v>
      </c>
      <c r="I103" s="40">
        <f t="shared" si="1"/>
        <v>35.927689163770978</v>
      </c>
      <c r="J103" s="40">
        <f t="shared" si="1"/>
        <v>41.513463164870032</v>
      </c>
      <c r="K103" s="40">
        <f t="shared" si="1"/>
        <v>46.222624925431603</v>
      </c>
      <c r="L103" s="40">
        <f t="shared" si="1"/>
        <v>50.129357013667637</v>
      </c>
      <c r="M103" s="40">
        <f t="shared" si="1"/>
        <v>53.328970104394998</v>
      </c>
      <c r="N103" s="40">
        <f t="shared" si="2"/>
        <v>55.917052942149226</v>
      </c>
      <c r="O103" s="40">
        <f t="shared" si="2"/>
        <v>57.980770304872955</v>
      </c>
      <c r="P103" s="40">
        <f t="shared" si="2"/>
        <v>59.596098946723295</v>
      </c>
      <c r="Q103" s="40">
        <f t="shared" si="2"/>
        <v>60.827777761156831</v>
      </c>
      <c r="R103" s="40">
        <f t="shared" si="2"/>
        <v>61.730368913847045</v>
      </c>
      <c r="S103" s="40">
        <f t="shared" si="2"/>
        <v>62.349664057794719</v>
      </c>
      <c r="T103" s="40">
        <f t="shared" si="2"/>
        <v>62.724090082614232</v>
      </c>
      <c r="U103" s="40">
        <f t="shared" si="2"/>
        <v>62.885974639464337</v>
      </c>
      <c r="V103" s="40">
        <f t="shared" si="2"/>
        <v>62.862629206821055</v>
      </c>
      <c r="W103" s="40">
        <f t="shared" si="2"/>
        <v>62.677251190953633</v>
      </c>
      <c r="X103" s="41">
        <f t="shared" si="2"/>
        <v>62.349664057794719</v>
      </c>
    </row>
    <row r="104" spans="2:24" ht="15.75" x14ac:dyDescent="0.25">
      <c r="B104" s="33"/>
      <c r="C104" s="33">
        <f>C96</f>
        <v>120</v>
      </c>
      <c r="D104" s="39">
        <f t="shared" si="1"/>
        <v>2.6718157143219545</v>
      </c>
      <c r="E104" s="40">
        <f t="shared" si="1"/>
        <v>7.7551157979116896</v>
      </c>
      <c r="F104" s="40">
        <f t="shared" si="1"/>
        <v>14.711713281931241</v>
      </c>
      <c r="G104" s="40">
        <f t="shared" si="1"/>
        <v>22.240629728346946</v>
      </c>
      <c r="H104" s="40">
        <f t="shared" si="1"/>
        <v>29.45640490596222</v>
      </c>
      <c r="I104" s="40">
        <f t="shared" si="1"/>
        <v>35.927689163770978</v>
      </c>
      <c r="J104" s="40">
        <f t="shared" si="1"/>
        <v>41.513463164870032</v>
      </c>
      <c r="K104" s="40">
        <f t="shared" si="1"/>
        <v>46.222624925431603</v>
      </c>
      <c r="L104" s="40">
        <f t="shared" si="1"/>
        <v>50.129357013667637</v>
      </c>
      <c r="M104" s="40">
        <f t="shared" si="1"/>
        <v>53.328970104394998</v>
      </c>
      <c r="N104" s="40">
        <f t="shared" si="2"/>
        <v>55.917052942149226</v>
      </c>
      <c r="O104" s="40">
        <f t="shared" si="2"/>
        <v>57.980770304872955</v>
      </c>
      <c r="P104" s="40">
        <f t="shared" si="2"/>
        <v>59.596098946723295</v>
      </c>
      <c r="Q104" s="40">
        <f t="shared" si="2"/>
        <v>60.827777761156831</v>
      </c>
      <c r="R104" s="40">
        <f t="shared" si="2"/>
        <v>61.730368913847045</v>
      </c>
      <c r="S104" s="40">
        <f t="shared" si="2"/>
        <v>62.349664057794719</v>
      </c>
      <c r="T104" s="40">
        <f t="shared" si="2"/>
        <v>62.724090082614232</v>
      </c>
      <c r="U104" s="40">
        <f t="shared" si="2"/>
        <v>62.885974639464337</v>
      </c>
      <c r="V104" s="40">
        <f t="shared" si="2"/>
        <v>62.862629206821055</v>
      </c>
      <c r="W104" s="40">
        <f t="shared" si="2"/>
        <v>62.677251190953633</v>
      </c>
      <c r="X104" s="41">
        <f t="shared" si="2"/>
        <v>62.349664057794719</v>
      </c>
    </row>
    <row r="105" spans="2:24" ht="15.75" x14ac:dyDescent="0.25">
      <c r="B105" s="33"/>
      <c r="C105" s="33">
        <f>C96</f>
        <v>120</v>
      </c>
      <c r="D105" s="42">
        <f t="shared" si="1"/>
        <v>2.6718157143219545</v>
      </c>
      <c r="E105" s="43">
        <f t="shared" si="1"/>
        <v>7.7551157979116896</v>
      </c>
      <c r="F105" s="43">
        <f t="shared" si="1"/>
        <v>14.711713281931241</v>
      </c>
      <c r="G105" s="43">
        <f t="shared" si="1"/>
        <v>22.240629728346946</v>
      </c>
      <c r="H105" s="43">
        <f t="shared" si="1"/>
        <v>29.45640490596222</v>
      </c>
      <c r="I105" s="43">
        <f t="shared" si="1"/>
        <v>35.927689163770978</v>
      </c>
      <c r="J105" s="43">
        <f t="shared" si="1"/>
        <v>41.513463164870032</v>
      </c>
      <c r="K105" s="43">
        <f t="shared" si="1"/>
        <v>46.222624925431603</v>
      </c>
      <c r="L105" s="43">
        <f t="shared" si="1"/>
        <v>50.129357013667637</v>
      </c>
      <c r="M105" s="43">
        <f t="shared" si="1"/>
        <v>53.328970104394998</v>
      </c>
      <c r="N105" s="43">
        <f t="shared" si="2"/>
        <v>55.917052942149226</v>
      </c>
      <c r="O105" s="43">
        <f t="shared" si="2"/>
        <v>57.980770304872955</v>
      </c>
      <c r="P105" s="43">
        <f t="shared" si="2"/>
        <v>59.596098946723295</v>
      </c>
      <c r="Q105" s="43">
        <f t="shared" si="2"/>
        <v>60.827777761156831</v>
      </c>
      <c r="R105" s="43">
        <f t="shared" si="2"/>
        <v>61.730368913847045</v>
      </c>
      <c r="S105" s="43">
        <f t="shared" si="2"/>
        <v>62.349664057794719</v>
      </c>
      <c r="T105" s="43">
        <f t="shared" si="2"/>
        <v>62.724090082614232</v>
      </c>
      <c r="U105" s="43">
        <f t="shared" si="2"/>
        <v>62.885974639464337</v>
      </c>
      <c r="V105" s="43">
        <f t="shared" si="2"/>
        <v>62.862629206821055</v>
      </c>
      <c r="W105" s="43">
        <f t="shared" si="2"/>
        <v>62.677251190953633</v>
      </c>
      <c r="X105" s="44">
        <f t="shared" si="2"/>
        <v>62.349664057794719</v>
      </c>
    </row>
    <row r="106" spans="2:24" ht="15.75" thickBot="1" x14ac:dyDescent="0.3">
      <c r="B106" s="29" t="s">
        <v>38</v>
      </c>
      <c r="D106" s="45">
        <f>SUMPRODUCT($B102:$B105,D102:D105)</f>
        <v>0</v>
      </c>
      <c r="E106" s="46">
        <f t="shared" ref="E106:X106" si="3">SUMPRODUCT($B102:$B105,E102:E105)</f>
        <v>0</v>
      </c>
      <c r="F106" s="46">
        <f t="shared" si="3"/>
        <v>0</v>
      </c>
      <c r="G106" s="46">
        <f t="shared" si="3"/>
        <v>0</v>
      </c>
      <c r="H106" s="46">
        <f t="shared" si="3"/>
        <v>0</v>
      </c>
      <c r="I106" s="46">
        <f t="shared" si="3"/>
        <v>0</v>
      </c>
      <c r="J106" s="46">
        <f t="shared" si="3"/>
        <v>0</v>
      </c>
      <c r="K106" s="46">
        <f t="shared" si="3"/>
        <v>0</v>
      </c>
      <c r="L106" s="46">
        <f t="shared" si="3"/>
        <v>0</v>
      </c>
      <c r="M106" s="46">
        <f t="shared" si="3"/>
        <v>0</v>
      </c>
      <c r="N106" s="46">
        <f t="shared" si="3"/>
        <v>0</v>
      </c>
      <c r="O106" s="46">
        <f t="shared" si="3"/>
        <v>0</v>
      </c>
      <c r="P106" s="46">
        <f t="shared" si="3"/>
        <v>0</v>
      </c>
      <c r="Q106" s="46">
        <f t="shared" si="3"/>
        <v>0</v>
      </c>
      <c r="R106" s="46">
        <f t="shared" si="3"/>
        <v>0</v>
      </c>
      <c r="S106" s="46">
        <f t="shared" si="3"/>
        <v>0</v>
      </c>
      <c r="T106" s="46">
        <f t="shared" si="3"/>
        <v>0</v>
      </c>
      <c r="U106" s="46">
        <f t="shared" si="3"/>
        <v>0</v>
      </c>
      <c r="V106" s="46">
        <f t="shared" si="3"/>
        <v>0</v>
      </c>
      <c r="W106" s="46">
        <f t="shared" si="3"/>
        <v>0</v>
      </c>
      <c r="X106" s="47">
        <f t="shared" si="3"/>
        <v>0</v>
      </c>
    </row>
    <row r="107" spans="2:24" ht="15.75" thickTop="1" x14ac:dyDescent="0.25"/>
    <row r="112" spans="2:24" x14ac:dyDescent="0.25">
      <c r="B112" s="23" t="s">
        <v>30</v>
      </c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</row>
  </sheetData>
  <mergeCells count="1">
    <mergeCell ref="D100:X100"/>
  </mergeCells>
  <pageMargins left="0.7" right="0.7" top="0.75" bottom="0.75" header="0.3" footer="0.3"/>
  <pageSetup orientation="portrait" r:id="rId1"/>
  <headerFooter>
    <oddFooter>&amp;L&amp;1#&amp;"Calibri"&amp;10&amp;K000000Confidential (C3)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9B6E8-F6C4-4C88-9478-4D0976E0935C}">
  <dimension ref="B100:N158"/>
  <sheetViews>
    <sheetView showGridLines="0" zoomScale="85" zoomScaleNormal="85" workbookViewId="0"/>
  </sheetViews>
  <sheetFormatPr defaultRowHeight="15" x14ac:dyDescent="0.25"/>
  <cols>
    <col min="1" max="1" width="9" style="49"/>
    <col min="2" max="2" width="39.875" style="49" customWidth="1"/>
    <col min="3" max="3" width="16.875" style="49" customWidth="1"/>
    <col min="4" max="4" width="9" style="49" customWidth="1"/>
    <col min="5" max="5" width="9.5" style="49" customWidth="1"/>
    <col min="6" max="6" width="9.625" style="49" customWidth="1"/>
    <col min="7" max="7" width="12.25" style="49" customWidth="1"/>
    <col min="8" max="8" width="14.875" style="49" customWidth="1"/>
    <col min="9" max="12" width="8.25" style="49" customWidth="1"/>
    <col min="13" max="13" width="11.5" style="49" customWidth="1"/>
    <col min="14" max="20" width="8.125" style="49" customWidth="1"/>
    <col min="21" max="16384" width="9" style="49"/>
  </cols>
  <sheetData>
    <row r="100" spans="2:14" x14ac:dyDescent="0.25">
      <c r="B100" s="23" t="s">
        <v>30</v>
      </c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</row>
    <row r="101" spans="2:14" ht="15.75" x14ac:dyDescent="0.25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</row>
    <row r="102" spans="2:14" ht="15.75" x14ac:dyDescent="0.25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</row>
    <row r="103" spans="2:14" ht="15.75" x14ac:dyDescent="0.25"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</row>
    <row r="104" spans="2:14" ht="15.75" x14ac:dyDescent="0.25"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</row>
    <row r="105" spans="2:14" ht="15.75" x14ac:dyDescent="0.25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</row>
    <row r="106" spans="2:14" x14ac:dyDescent="0.25"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</row>
    <row r="107" spans="2:14" x14ac:dyDescent="0.25">
      <c r="B107" s="23" t="s">
        <v>31</v>
      </c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</row>
    <row r="109" spans="2:14" ht="15.75" thickBot="1" x14ac:dyDescent="0.3">
      <c r="B109" s="48" t="s">
        <v>42</v>
      </c>
    </row>
    <row r="110" spans="2:14" ht="18" x14ac:dyDescent="0.35">
      <c r="B110" s="50" t="s">
        <v>43</v>
      </c>
      <c r="C110" s="51">
        <v>100</v>
      </c>
      <c r="F110" s="49" t="s">
        <v>44</v>
      </c>
      <c r="H110" s="49">
        <f>$C$110</f>
        <v>100</v>
      </c>
      <c r="L110" s="52"/>
      <c r="M110" s="49" t="s">
        <v>40</v>
      </c>
    </row>
    <row r="111" spans="2:14" x14ac:dyDescent="0.25">
      <c r="B111" s="53" t="s">
        <v>45</v>
      </c>
      <c r="C111" s="54">
        <v>0</v>
      </c>
      <c r="F111" s="49" t="s">
        <v>46</v>
      </c>
      <c r="H111" s="55" t="e">
        <f>SUM(H113:H116)</f>
        <v>#DIV/0!</v>
      </c>
      <c r="L111" s="55"/>
      <c r="M111" s="49" t="s">
        <v>41</v>
      </c>
    </row>
    <row r="112" spans="2:14" x14ac:dyDescent="0.25">
      <c r="B112" s="53" t="s">
        <v>47</v>
      </c>
      <c r="C112" s="54">
        <v>0.2</v>
      </c>
    </row>
    <row r="113" spans="2:12" ht="15.75" x14ac:dyDescent="0.25">
      <c r="B113" s="53" t="s">
        <v>48</v>
      </c>
      <c r="C113" s="56">
        <v>3</v>
      </c>
      <c r="F113" s="49" t="s">
        <v>49</v>
      </c>
      <c r="H113" s="83" t="e">
        <f>-F126</f>
        <v>#DIV/0!</v>
      </c>
      <c r="I113" s="84" t="s">
        <v>83</v>
      </c>
    </row>
    <row r="114" spans="2:12" ht="15.75" x14ac:dyDescent="0.25">
      <c r="B114" s="53" t="s">
        <v>50</v>
      </c>
      <c r="C114" s="57">
        <v>0.05</v>
      </c>
      <c r="F114" s="49" t="s">
        <v>51</v>
      </c>
      <c r="H114" s="83" t="e">
        <f>F137</f>
        <v>#DIV/0!</v>
      </c>
      <c r="I114" s="84" t="s">
        <v>83</v>
      </c>
    </row>
    <row r="115" spans="2:12" x14ac:dyDescent="0.25">
      <c r="B115" s="53" t="s">
        <v>52</v>
      </c>
      <c r="C115" s="54">
        <v>0.15</v>
      </c>
      <c r="F115" s="49" t="s">
        <v>53</v>
      </c>
      <c r="H115" s="83" t="e">
        <f>-F151</f>
        <v>#DIV/0!</v>
      </c>
      <c r="I115" s="84" t="s">
        <v>83</v>
      </c>
    </row>
    <row r="116" spans="2:12" ht="19.5" thickBot="1" x14ac:dyDescent="0.35">
      <c r="B116" s="58" t="s">
        <v>54</v>
      </c>
      <c r="C116" s="59">
        <v>0.35</v>
      </c>
      <c r="D116" s="60"/>
      <c r="F116" s="49" t="s">
        <v>55</v>
      </c>
      <c r="H116" s="61">
        <f>C110*EXP(-C114*C113)</f>
        <v>86.070797642505781</v>
      </c>
    </row>
    <row r="117" spans="2:12" x14ac:dyDescent="0.25">
      <c r="B117" s="62"/>
      <c r="C117" s="63"/>
    </row>
    <row r="118" spans="2:12" x14ac:dyDescent="0.25">
      <c r="B118" s="48"/>
      <c r="H118" s="64"/>
    </row>
    <row r="119" spans="2:12" ht="15.75" x14ac:dyDescent="0.25">
      <c r="H119" s="65"/>
    </row>
    <row r="120" spans="2:12" ht="15.75" thickBot="1" x14ac:dyDescent="0.3">
      <c r="B120" s="48" t="s">
        <v>56</v>
      </c>
    </row>
    <row r="121" spans="2:12" x14ac:dyDescent="0.25">
      <c r="B121" s="50" t="s">
        <v>57</v>
      </c>
      <c r="C121" s="66">
        <f>$C$110</f>
        <v>100</v>
      </c>
      <c r="D121" s="62"/>
      <c r="E121" s="62" t="s">
        <v>58</v>
      </c>
      <c r="F121" s="67" t="e">
        <f>(LN(C121/C122)+(C124-C125)*C123+0.5*C126^2*C123)/(C126*SQRT(C123))</f>
        <v>#DIV/0!</v>
      </c>
      <c r="G121" s="62"/>
      <c r="H121" s="62" t="s">
        <v>59</v>
      </c>
      <c r="I121" s="68" t="e">
        <f>_xlfn.NORM.S.DIST(F121,TRUE)</f>
        <v>#DIV/0!</v>
      </c>
      <c r="J121" s="62"/>
      <c r="K121" s="62" t="s">
        <v>60</v>
      </c>
      <c r="L121" s="69" t="e">
        <f>EXP(-(F121^2)/2)/SQRT(2*PI())</f>
        <v>#DIV/0!</v>
      </c>
    </row>
    <row r="122" spans="2:12" x14ac:dyDescent="0.25">
      <c r="B122" s="53" t="s">
        <v>61</v>
      </c>
      <c r="C122" s="52"/>
      <c r="E122" s="49" t="s">
        <v>62</v>
      </c>
      <c r="F122" s="70" t="e">
        <f>F121-C126*SQRT(C123)</f>
        <v>#DIV/0!</v>
      </c>
      <c r="H122" s="49" t="s">
        <v>63</v>
      </c>
      <c r="I122" s="71" t="e">
        <f>_xlfn.NORM.S.DIST(F122,TRUE)</f>
        <v>#DIV/0!</v>
      </c>
      <c r="K122" s="49" t="s">
        <v>64</v>
      </c>
      <c r="L122" s="72" t="e">
        <f>EXP(-(F122^2)/2)/SQRT(2*PI())</f>
        <v>#DIV/0!</v>
      </c>
    </row>
    <row r="123" spans="2:12" x14ac:dyDescent="0.25">
      <c r="B123" s="53" t="s">
        <v>10</v>
      </c>
      <c r="C123" s="52">
        <f>$C$113</f>
        <v>3</v>
      </c>
      <c r="E123" s="73" t="s">
        <v>65</v>
      </c>
      <c r="F123" s="70" t="e">
        <f>-F121</f>
        <v>#DIV/0!</v>
      </c>
      <c r="H123" s="49" t="s">
        <v>66</v>
      </c>
      <c r="I123" s="71" t="e">
        <f>_xlfn.NORM.S.DIST(F123,TRUE)</f>
        <v>#DIV/0!</v>
      </c>
      <c r="K123" s="49" t="s">
        <v>67</v>
      </c>
      <c r="L123" s="72" t="e">
        <f>EXP(-(F123^2)/2)/SQRT(2*PI())</f>
        <v>#DIV/0!</v>
      </c>
    </row>
    <row r="124" spans="2:12" x14ac:dyDescent="0.25">
      <c r="B124" s="53" t="s">
        <v>68</v>
      </c>
      <c r="C124" s="74">
        <f>$C$114</f>
        <v>0.05</v>
      </c>
      <c r="E124" s="73" t="s">
        <v>69</v>
      </c>
      <c r="F124" s="70" t="e">
        <f>-F122</f>
        <v>#DIV/0!</v>
      </c>
      <c r="H124" s="49" t="s">
        <v>70</v>
      </c>
      <c r="I124" s="71" t="e">
        <f>_xlfn.NORM.S.DIST(F124,TRUE)</f>
        <v>#DIV/0!</v>
      </c>
      <c r="K124" s="49" t="s">
        <v>71</v>
      </c>
      <c r="L124" s="72" t="e">
        <f>EXP(-(F124^2)/2)/SQRT(2*PI())</f>
        <v>#DIV/0!</v>
      </c>
    </row>
    <row r="125" spans="2:12" x14ac:dyDescent="0.25">
      <c r="B125" s="53" t="s">
        <v>72</v>
      </c>
      <c r="C125" s="74">
        <f>$C$111</f>
        <v>0</v>
      </c>
      <c r="L125" s="75"/>
    </row>
    <row r="126" spans="2:12" x14ac:dyDescent="0.25">
      <c r="B126" s="53" t="s">
        <v>4</v>
      </c>
      <c r="C126" s="74"/>
      <c r="E126" s="49" t="s">
        <v>73</v>
      </c>
      <c r="F126" s="49" t="e">
        <f>C121*EXP(-C125*C123)*I121-C122*EXP(-C124*C123)*I122</f>
        <v>#DIV/0!</v>
      </c>
      <c r="H126" s="49" t="s">
        <v>74</v>
      </c>
      <c r="I126" s="49" t="e">
        <f>C122*EXP(-C124*C123)*I124-C121*EXP(-C125*C123)*I123</f>
        <v>#DIV/0!</v>
      </c>
      <c r="L126" s="75"/>
    </row>
    <row r="127" spans="2:12" ht="15.75" thickBot="1" x14ac:dyDescent="0.3">
      <c r="B127" s="58"/>
      <c r="C127" s="76"/>
      <c r="D127" s="76"/>
      <c r="E127" s="76"/>
      <c r="F127" s="76"/>
      <c r="G127" s="76"/>
      <c r="H127" s="76"/>
      <c r="I127" s="76"/>
      <c r="J127" s="76"/>
      <c r="K127" s="76"/>
      <c r="L127" s="77"/>
    </row>
    <row r="131" spans="2:12" ht="15.75" thickBot="1" x14ac:dyDescent="0.3">
      <c r="B131" s="48" t="s">
        <v>75</v>
      </c>
    </row>
    <row r="132" spans="2:12" x14ac:dyDescent="0.25">
      <c r="B132" s="50" t="s">
        <v>57</v>
      </c>
      <c r="C132" s="66">
        <f>$C$110</f>
        <v>100</v>
      </c>
      <c r="D132" s="62"/>
      <c r="E132" s="62" t="s">
        <v>76</v>
      </c>
      <c r="F132" s="67" t="e">
        <f>(LN(C132/MIN(C132,C133))+(C135-C136+POWER(C137,2)*0.5)*C134)/(C137*SQRT(C134))</f>
        <v>#DIV/0!</v>
      </c>
      <c r="G132" s="62"/>
      <c r="H132" s="62"/>
      <c r="I132" s="62"/>
      <c r="J132" s="62"/>
      <c r="K132" s="62"/>
      <c r="L132" s="51"/>
    </row>
    <row r="133" spans="2:12" x14ac:dyDescent="0.25">
      <c r="B133" s="53" t="s">
        <v>61</v>
      </c>
      <c r="C133" s="52"/>
      <c r="E133" s="49" t="s">
        <v>77</v>
      </c>
      <c r="F133" s="70" t="e">
        <f>F132-C137*SQRT(C134)</f>
        <v>#DIV/0!</v>
      </c>
      <c r="L133" s="75"/>
    </row>
    <row r="134" spans="2:12" x14ac:dyDescent="0.25">
      <c r="B134" s="53" t="s">
        <v>10</v>
      </c>
      <c r="C134" s="52">
        <f>$C$113</f>
        <v>3</v>
      </c>
      <c r="E134" s="73" t="s">
        <v>78</v>
      </c>
      <c r="F134" s="70" t="e">
        <f>(LN(C132/MIN(C132,C133))+(-C135+C136+POWER(C137,2)*0.5)*C134)/(C137*SQRT(C134))</f>
        <v>#DIV/0!</v>
      </c>
      <c r="L134" s="75"/>
    </row>
    <row r="135" spans="2:12" x14ac:dyDescent="0.25">
      <c r="B135" s="53" t="s">
        <v>68</v>
      </c>
      <c r="C135" s="74">
        <f>$C$114</f>
        <v>0.05</v>
      </c>
      <c r="E135" s="73" t="s">
        <v>79</v>
      </c>
      <c r="F135" s="70" t="e">
        <f>-(2*(C135-C136-0.5*POWER(C137,2))*LN(C132/MIN(C132,C133)))/POWER(C137,2)</f>
        <v>#DIV/0!</v>
      </c>
      <c r="L135" s="75"/>
    </row>
    <row r="136" spans="2:12" x14ac:dyDescent="0.25">
      <c r="B136" s="53" t="s">
        <v>72</v>
      </c>
      <c r="C136" s="74">
        <f>$C$111</f>
        <v>0</v>
      </c>
      <c r="L136" s="75"/>
    </row>
    <row r="137" spans="2:12" x14ac:dyDescent="0.25">
      <c r="B137" s="53" t="s">
        <v>4</v>
      </c>
      <c r="C137" s="74"/>
      <c r="F137" s="49" t="e">
        <f>C132*EXP(-C136*C134)*_xlfn.NORM.S.DIST(F132,TRUE)-C132*EXP(-C136*C134)*POWER(C137,2)*_xlfn.NORM.S.DIST(-F132,TRUE)/(2*(C135-C136))-MIN(C132,C133)*EXP(-C135*C134)*(_xlfn.NORM.S.DIST(F133,TRUE)-EXP(F135)*POWER(C137,2)*_xlfn.NORM.S.DIST(-F134,TRUE)/(2*(C135-C136)))</f>
        <v>#DIV/0!</v>
      </c>
      <c r="L137" s="75"/>
    </row>
    <row r="138" spans="2:12" x14ac:dyDescent="0.25">
      <c r="B138" s="53"/>
      <c r="C138" s="78"/>
      <c r="L138" s="75"/>
    </row>
    <row r="139" spans="2:12" x14ac:dyDescent="0.25">
      <c r="B139" s="53"/>
      <c r="C139" s="78"/>
      <c r="L139" s="75"/>
    </row>
    <row r="140" spans="2:12" ht="15.75" thickBot="1" x14ac:dyDescent="0.3">
      <c r="B140" s="58"/>
      <c r="C140" s="76"/>
      <c r="D140" s="76"/>
      <c r="E140" s="76"/>
      <c r="F140" s="76"/>
      <c r="G140" s="76"/>
      <c r="H140" s="76"/>
      <c r="I140" s="76"/>
      <c r="J140" s="76"/>
      <c r="K140" s="76"/>
      <c r="L140" s="77"/>
    </row>
    <row r="143" spans="2:12" ht="15.75" thickBot="1" x14ac:dyDescent="0.3">
      <c r="B143" s="48" t="s">
        <v>80</v>
      </c>
    </row>
    <row r="144" spans="2:12" x14ac:dyDescent="0.25">
      <c r="B144" s="50" t="s">
        <v>57</v>
      </c>
      <c r="C144" s="66">
        <f>$C$110</f>
        <v>100</v>
      </c>
      <c r="D144" s="62"/>
      <c r="E144" s="62" t="s">
        <v>76</v>
      </c>
      <c r="F144" s="67" t="e">
        <f>(LN(C144/MIN(C144,C145))+(C147-C148+POWER(C149,2)*0.5)*C146)/(C149*SQRT(C146))</f>
        <v>#DIV/0!</v>
      </c>
      <c r="G144" s="62"/>
      <c r="H144" s="62"/>
      <c r="I144" s="62"/>
      <c r="J144" s="62"/>
      <c r="K144" s="62"/>
      <c r="L144" s="51"/>
    </row>
    <row r="145" spans="2:12" x14ac:dyDescent="0.25">
      <c r="B145" s="53" t="s">
        <v>61</v>
      </c>
      <c r="C145" s="52"/>
      <c r="E145" s="49" t="s">
        <v>77</v>
      </c>
      <c r="F145" s="70" t="e">
        <f>F144-C149*SQRT(C146)</f>
        <v>#DIV/0!</v>
      </c>
      <c r="L145" s="75"/>
    </row>
    <row r="146" spans="2:12" x14ac:dyDescent="0.25">
      <c r="B146" s="53" t="s">
        <v>10</v>
      </c>
      <c r="C146" s="52">
        <f>$C$113</f>
        <v>3</v>
      </c>
      <c r="E146" s="73" t="s">
        <v>78</v>
      </c>
      <c r="F146" s="70" t="e">
        <f>(LN(C144/MIN(C144,C145))+(-C147+C148+POWER(C149,2)*0.5)*C146)/(C149*SQRT(C146))</f>
        <v>#DIV/0!</v>
      </c>
      <c r="L146" s="75"/>
    </row>
    <row r="147" spans="2:12" x14ac:dyDescent="0.25">
      <c r="B147" s="53" t="s">
        <v>68</v>
      </c>
      <c r="C147" s="74">
        <f>$C$114</f>
        <v>0.05</v>
      </c>
      <c r="E147" s="73" t="s">
        <v>79</v>
      </c>
      <c r="F147" s="70" t="e">
        <f>-(2*(C147-C148-0.5*POWER(C149,2))*LN(C144/MIN(C144,C145)))/POWER(C149,2)</f>
        <v>#DIV/0!</v>
      </c>
      <c r="L147" s="75"/>
    </row>
    <row r="148" spans="2:12" x14ac:dyDescent="0.25">
      <c r="B148" s="53" t="s">
        <v>72</v>
      </c>
      <c r="C148" s="74">
        <f>$C$111</f>
        <v>0</v>
      </c>
      <c r="L148" s="75"/>
    </row>
    <row r="149" spans="2:12" x14ac:dyDescent="0.25">
      <c r="B149" s="53" t="s">
        <v>4</v>
      </c>
      <c r="C149" s="74"/>
      <c r="F149" s="49" t="e">
        <f>C144*EXP(-C148*C146)*_xlfn.NORM.S.DIST(F144,TRUE)-C144*EXP(-C148*C146)*POWER(C149,2)*_xlfn.NORM.S.DIST(-F144,TRUE)/(2*(C147-C148))-MIN(C144,C145)*EXP(-C147*C146)*(_xlfn.NORM.S.DIST(F145,TRUE)-EXP(F147)*POWER(C149,2)*_xlfn.NORM.S.DIST(-F146,TRUE)/(2*(C147-C148)))</f>
        <v>#DIV/0!</v>
      </c>
      <c r="L149" s="75"/>
    </row>
    <row r="150" spans="2:12" x14ac:dyDescent="0.25">
      <c r="B150" s="53"/>
      <c r="C150" s="78"/>
      <c r="L150" s="75"/>
    </row>
    <row r="151" spans="2:12" x14ac:dyDescent="0.25">
      <c r="B151" s="53"/>
      <c r="C151" s="78"/>
      <c r="F151" s="49" t="e">
        <f>F149+C145*EXP(-C147*C146)-C144*EXP(-C148*C146)</f>
        <v>#DIV/0!</v>
      </c>
      <c r="L151" s="75"/>
    </row>
    <row r="152" spans="2:12" ht="15.75" thickBot="1" x14ac:dyDescent="0.3">
      <c r="B152" s="58"/>
      <c r="C152" s="76"/>
      <c r="D152" s="76"/>
      <c r="E152" s="76"/>
      <c r="F152" s="76"/>
      <c r="G152" s="76"/>
      <c r="H152" s="76"/>
      <c r="I152" s="76"/>
      <c r="J152" s="76"/>
      <c r="K152" s="76"/>
      <c r="L152" s="77"/>
    </row>
    <row r="154" spans="2:12" x14ac:dyDescent="0.25">
      <c r="C154" s="78"/>
    </row>
    <row r="155" spans="2:12" x14ac:dyDescent="0.25">
      <c r="C155" s="78"/>
    </row>
    <row r="156" spans="2:12" x14ac:dyDescent="0.25">
      <c r="C156" s="78"/>
    </row>
    <row r="157" spans="2:12" x14ac:dyDescent="0.25">
      <c r="C157" s="78"/>
    </row>
    <row r="158" spans="2:12" x14ac:dyDescent="0.25">
      <c r="C158" s="78"/>
    </row>
  </sheetData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Candidate #</vt:lpstr>
      <vt:lpstr>Q5</vt:lpstr>
      <vt:lpstr>Q10</vt:lpstr>
      <vt:lpstr>Q11</vt:lpstr>
      <vt:lpstr>CurrentStock</vt:lpstr>
      <vt:lpstr>InterestRate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2024-06-08T19:17:17Z</dcterms:created>
  <dcterms:modified xsi:type="dcterms:W3CDTF">2024-09-30T16:39:39Z</dcterms:modified>
</cp:coreProperties>
</file>